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07arap\Documents\0. Sprawozdania\2025\Badanie bilansu 2025\"/>
    </mc:Choice>
  </mc:AlternateContent>
  <bookViews>
    <workbookView xWindow="0" yWindow="0" windowWidth="16428" windowHeight="4788" activeTab="2"/>
  </bookViews>
  <sheets>
    <sheet name="obrotówka" sheetId="1" r:id="rId1"/>
    <sheet name="bilans " sheetId="4" r:id="rId2"/>
    <sheet name="noty do bilansu" sheetId="48" r:id="rId3"/>
    <sheet name="środki trwałe - amortyzacja " sheetId="63" r:id="rId4"/>
    <sheet name="RZiS, koszty rodz." sheetId="3" r:id="rId5"/>
    <sheet name="noty do RZiS" sheetId="47" r:id="rId6"/>
    <sheet name="Przepływy" sheetId="12" r:id="rId7"/>
    <sheet name="FC Spr.z syt.finans." sheetId="11" r:id="rId8"/>
    <sheet name="CF dział.operac." sheetId="18" r:id="rId9"/>
    <sheet name="FC Spr.z przepł.pien." sheetId="19" r:id="rId10"/>
    <sheet name="bilans, RZiS,przepływy,kapitały" sheetId="46" r:id="rId11"/>
    <sheet name="noty do przepływów" sheetId="49" r:id="rId12"/>
    <sheet name="noty pozostałe" sheetId="50" r:id="rId13"/>
    <sheet name="wycena rezerw aktuarialnych" sheetId="14" r:id="rId14"/>
    <sheet name="SF Spr.z całk.doch." sheetId="5" r:id="rId15"/>
    <sheet name="SF-A-060 Nal.z tyt.dostaw i usł" sheetId="28" r:id="rId16"/>
    <sheet name="SF-Z-020 Zobow.z tyt.dost.i usł" sheetId="31" r:id="rId17"/>
    <sheet name="SF-A-090 Instr.poch... śr.pieni" sheetId="29" r:id="rId18"/>
    <sheet name="SF-A-150 Pozostałe aktywa krótk" sheetId="30" r:id="rId19"/>
    <sheet name="STS" sheetId="54" r:id="rId20"/>
    <sheet name="IF 090 oprocentow.kredyty i poż" sheetId="64" r:id="rId21"/>
    <sheet name="SF-A-050 Pożyczki i należn." sheetId="58" r:id="rId22"/>
    <sheet name="SF-Inne nal.finans" sheetId="61" r:id="rId23"/>
    <sheet name="SF Inne zobowiązania finans" sheetId="57" r:id="rId24"/>
    <sheet name="FC Kapitały" sheetId="17" r:id="rId25"/>
    <sheet name="SF-Zapasy" sheetId="60" r:id="rId26"/>
    <sheet name="SF-Z-070 Pozost.zob.niefinans" sheetId="34" r:id="rId27"/>
    <sheet name="CF-IC Cash f. w rozbiciu" sheetId="40" r:id="rId28"/>
    <sheet name="SF-A-011 - Zmiany śr.trw.w bud." sheetId="35" r:id="rId29"/>
    <sheet name="SF-A-014 - Prawa do uż.aktywów" sheetId="36" r:id="rId30"/>
    <sheet name="SF-A-031 - Zmiany WN" sheetId="37" r:id="rId31"/>
    <sheet name="FC Spraw.z całk.doch" sheetId="16" r:id="rId32"/>
    <sheet name="SF Spr.z syt.finans." sheetId="6" r:id="rId33"/>
    <sheet name="SF-Z-040-M Stan rezerw KRDŁ" sheetId="33" r:id="rId34"/>
    <sheet name="SF-A-110 - Pozostałe aktywa dłu" sheetId="38" r:id="rId35"/>
    <sheet name="SF Kapitały" sheetId="7" r:id="rId36"/>
    <sheet name="SF dział.operac." sheetId="20" r:id="rId37"/>
    <sheet name="SF Spr.z przepł.pien." sheetId="21" r:id="rId38"/>
    <sheet name="SF-A-010" sheetId="65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</externalReferences>
  <definedNames>
    <definedName name="\l" localSheetId="7">'[1]302_06'!#REF!</definedName>
    <definedName name="\l" localSheetId="6">'[1]302_06'!#REF!</definedName>
    <definedName name="\l">'[1]302_06'!#REF!</definedName>
    <definedName name="\o" localSheetId="7">'[1]302_06'!#REF!</definedName>
    <definedName name="\o" localSheetId="6">'[1]302_06'!#REF!</definedName>
    <definedName name="\o">'[1]302_06'!#REF!</definedName>
    <definedName name="\p" localSheetId="7">'[1]302_06'!#REF!</definedName>
    <definedName name="\p" localSheetId="6">'[1]302_06'!#REF!</definedName>
    <definedName name="\p">'[1]302_06'!#REF!</definedName>
    <definedName name="___________________________cf1">#N/A</definedName>
    <definedName name="__________________________cf1">#N/A</definedName>
    <definedName name="_________________________cf1">#N/A</definedName>
    <definedName name="________________________cf1">#N/A</definedName>
    <definedName name="_______________________cf1">#N/A</definedName>
    <definedName name="______________________cf1">#N/A</definedName>
    <definedName name="_____________________cf1">#N/A</definedName>
    <definedName name="____________________cf1">#N/A</definedName>
    <definedName name="___________________cf1">#N/A</definedName>
    <definedName name="__________________cf1">#N/A</definedName>
    <definedName name="_________________cf1">#N/A</definedName>
    <definedName name="________________cf1">#N/A</definedName>
    <definedName name="_______________cf1">#N/A</definedName>
    <definedName name="______________cf1">#N/A</definedName>
    <definedName name="_____________cf1">#N/A</definedName>
    <definedName name="____________cf1">#N/A</definedName>
    <definedName name="___________a2">#N/A</definedName>
    <definedName name="___________cf1">#N/A</definedName>
    <definedName name="__________a2">[2]!_xlbgnm.a2</definedName>
    <definedName name="__________cf1">[3]!__________cf1</definedName>
    <definedName name="_________a2">[3]!_________a2</definedName>
    <definedName name="_________cf1">[3]!_________cf1</definedName>
    <definedName name="________a2">#N/A</definedName>
    <definedName name="________cf1">#N/A</definedName>
    <definedName name="________DAT1" localSheetId="7">#REF!</definedName>
    <definedName name="________DAT1" localSheetId="6">#REF!</definedName>
    <definedName name="________DAT1">#REF!</definedName>
    <definedName name="________DAT2" localSheetId="7">#REF!</definedName>
    <definedName name="________DAT2" localSheetId="6">#REF!</definedName>
    <definedName name="________DAT2">#REF!</definedName>
    <definedName name="________DAT3" localSheetId="7">#REF!</definedName>
    <definedName name="________DAT3" localSheetId="6">#REF!</definedName>
    <definedName name="________DAT3">#REF!</definedName>
    <definedName name="________DAT4" localSheetId="7">#REF!</definedName>
    <definedName name="________DAT4" localSheetId="6">#REF!</definedName>
    <definedName name="________DAT4">#REF!</definedName>
    <definedName name="________DAT5" localSheetId="7">#REF!</definedName>
    <definedName name="________DAT5" localSheetId="6">#REF!</definedName>
    <definedName name="________DAT5">#REF!</definedName>
    <definedName name="________DAT6" localSheetId="7">#REF!</definedName>
    <definedName name="________DAT6" localSheetId="6">#REF!</definedName>
    <definedName name="________DAT6">#REF!</definedName>
    <definedName name="________DAT7" localSheetId="7">#REF!</definedName>
    <definedName name="________DAT7" localSheetId="6">#REF!</definedName>
    <definedName name="________DAT7">#REF!</definedName>
    <definedName name="_______a2">[3]!_______a2</definedName>
    <definedName name="_______cf1">#N/A</definedName>
    <definedName name="_______DAT1" localSheetId="7">#REF!</definedName>
    <definedName name="_______DAT1" localSheetId="6">#REF!</definedName>
    <definedName name="_______DAT1">#REF!</definedName>
    <definedName name="_______DAT2" localSheetId="7">#REF!</definedName>
    <definedName name="_______DAT2" localSheetId="6">#REF!</definedName>
    <definedName name="_______DAT2">#REF!</definedName>
    <definedName name="_______DAT3" localSheetId="7">#REF!</definedName>
    <definedName name="_______DAT3" localSheetId="6">#REF!</definedName>
    <definedName name="_______DAT3">#REF!</definedName>
    <definedName name="_______DAT4" localSheetId="7">#REF!</definedName>
    <definedName name="_______DAT4" localSheetId="6">#REF!</definedName>
    <definedName name="_______DAT4">#REF!</definedName>
    <definedName name="_______DAT5" localSheetId="7">#REF!</definedName>
    <definedName name="_______DAT5" localSheetId="6">#REF!</definedName>
    <definedName name="_______DAT5">#REF!</definedName>
    <definedName name="_______DAT6" localSheetId="7">#REF!</definedName>
    <definedName name="_______DAT6" localSheetId="6">#REF!</definedName>
    <definedName name="_______DAT6">#REF!</definedName>
    <definedName name="_______DAT7" localSheetId="7">#REF!</definedName>
    <definedName name="_______DAT7" localSheetId="6">#REF!</definedName>
    <definedName name="_______DAT7">#REF!</definedName>
    <definedName name="_______vm1" localSheetId="7">#REF!</definedName>
    <definedName name="_______vm1" localSheetId="6">#REF!</definedName>
    <definedName name="_______vm1">#REF!</definedName>
    <definedName name="_______vm2" localSheetId="7">#REF!</definedName>
    <definedName name="_______vm2" localSheetId="6">#REF!</definedName>
    <definedName name="_______vm2">#REF!</definedName>
    <definedName name="______a2">#N/A</definedName>
    <definedName name="______cf1">[3]!______cf1</definedName>
    <definedName name="______DAT1" localSheetId="7">#REF!</definedName>
    <definedName name="______DAT1" localSheetId="6">#REF!</definedName>
    <definedName name="______DAT1">#REF!</definedName>
    <definedName name="______DAT2" localSheetId="7">#REF!</definedName>
    <definedName name="______DAT2" localSheetId="6">#REF!</definedName>
    <definedName name="______DAT2">#REF!</definedName>
    <definedName name="______DAT3" localSheetId="7">#REF!</definedName>
    <definedName name="______DAT3" localSheetId="6">#REF!</definedName>
    <definedName name="______DAT3">#REF!</definedName>
    <definedName name="______DAT4" localSheetId="7">#REF!</definedName>
    <definedName name="______DAT4" localSheetId="6">#REF!</definedName>
    <definedName name="______DAT4">#REF!</definedName>
    <definedName name="______DAT5" localSheetId="7">#REF!</definedName>
    <definedName name="______DAT5" localSheetId="6">#REF!</definedName>
    <definedName name="______DAT5">#REF!</definedName>
    <definedName name="______DAT6" localSheetId="7">#REF!</definedName>
    <definedName name="______DAT6" localSheetId="6">#REF!</definedName>
    <definedName name="______DAT6">#REF!</definedName>
    <definedName name="______DAT7" localSheetId="7">#REF!</definedName>
    <definedName name="______DAT7" localSheetId="6">#REF!</definedName>
    <definedName name="______DAT7">#REF!</definedName>
    <definedName name="______mth1">[4]idx!$K$3</definedName>
    <definedName name="______ref1">[5]ZE_w05!$J$6</definedName>
    <definedName name="______vm1" localSheetId="7">#REF!</definedName>
    <definedName name="______vm1" localSheetId="6">#REF!</definedName>
    <definedName name="______vm1">#REF!</definedName>
    <definedName name="______vm2" localSheetId="7">#REF!</definedName>
    <definedName name="______vm2" localSheetId="6">#REF!</definedName>
    <definedName name="______vm2">#REF!</definedName>
    <definedName name="_____a2">#N/A</definedName>
    <definedName name="_____cf1">#N/A</definedName>
    <definedName name="_____DAT1" localSheetId="7">#REF!</definedName>
    <definedName name="_____DAT1" localSheetId="6">#REF!</definedName>
    <definedName name="_____DAT1">#REF!</definedName>
    <definedName name="_____DAT2" localSheetId="7">#REF!</definedName>
    <definedName name="_____DAT2" localSheetId="6">#REF!</definedName>
    <definedName name="_____DAT2">#REF!</definedName>
    <definedName name="_____DAT3" localSheetId="7">#REF!</definedName>
    <definedName name="_____DAT3" localSheetId="6">#REF!</definedName>
    <definedName name="_____DAT3">#REF!</definedName>
    <definedName name="_____DAT4" localSheetId="7">#REF!</definedName>
    <definedName name="_____DAT4" localSheetId="6">#REF!</definedName>
    <definedName name="_____DAT4">#REF!</definedName>
    <definedName name="_____DAT5" localSheetId="7">#REF!</definedName>
    <definedName name="_____DAT5" localSheetId="6">#REF!</definedName>
    <definedName name="_____DAT5">#REF!</definedName>
    <definedName name="_____DAT6" localSheetId="7">#REF!</definedName>
    <definedName name="_____DAT6" localSheetId="6">#REF!</definedName>
    <definedName name="_____DAT6">#REF!</definedName>
    <definedName name="_____DAT7" localSheetId="7">#REF!</definedName>
    <definedName name="_____DAT7" localSheetId="6">#REF!</definedName>
    <definedName name="_____DAT7">#REF!</definedName>
    <definedName name="_____mth1">[4]idx!$K$3</definedName>
    <definedName name="_____ref1">[5]ZE_w05!$J$6</definedName>
    <definedName name="_____vm1" localSheetId="7">#REF!</definedName>
    <definedName name="_____vm1" localSheetId="6">#REF!</definedName>
    <definedName name="_____vm1">#REF!</definedName>
    <definedName name="_____vm2" localSheetId="7">#REF!</definedName>
    <definedName name="_____vm2" localSheetId="6">#REF!</definedName>
    <definedName name="_____vm2">#REF!</definedName>
    <definedName name="____a2">[3]!____a2</definedName>
    <definedName name="____cf1">#N/A</definedName>
    <definedName name="____DAT1" localSheetId="7">#REF!</definedName>
    <definedName name="____DAT1" localSheetId="6">#REF!</definedName>
    <definedName name="____DAT1">#REF!</definedName>
    <definedName name="____DAT2" localSheetId="7">#REF!</definedName>
    <definedName name="____DAT2" localSheetId="6">#REF!</definedName>
    <definedName name="____DAT2">#REF!</definedName>
    <definedName name="____DAT3" localSheetId="7">#REF!</definedName>
    <definedName name="____DAT3" localSheetId="6">#REF!</definedName>
    <definedName name="____DAT3">#REF!</definedName>
    <definedName name="____DAT4" localSheetId="7">#REF!</definedName>
    <definedName name="____DAT4" localSheetId="6">#REF!</definedName>
    <definedName name="____DAT4">#REF!</definedName>
    <definedName name="____DAT5" localSheetId="7">#REF!</definedName>
    <definedName name="____DAT5" localSheetId="6">#REF!</definedName>
    <definedName name="____DAT5">#REF!</definedName>
    <definedName name="____DAT6" localSheetId="7">#REF!</definedName>
    <definedName name="____DAT6" localSheetId="6">#REF!</definedName>
    <definedName name="____DAT6">#REF!</definedName>
    <definedName name="____DAT7" localSheetId="7">#REF!</definedName>
    <definedName name="____DAT7" localSheetId="6">#REF!</definedName>
    <definedName name="____DAT7">#REF!</definedName>
    <definedName name="____mth1">[4]idx!$K$3</definedName>
    <definedName name="____ref1">[5]ZE_w05!$J$6</definedName>
    <definedName name="___a2">#N/A</definedName>
    <definedName name="___cf1">#N/A</definedName>
    <definedName name="___DAT1" localSheetId="7">#REF!</definedName>
    <definedName name="___DAT1" localSheetId="6">#REF!</definedName>
    <definedName name="___DAT1">#REF!</definedName>
    <definedName name="___DAT10" localSheetId="7">#REF!</definedName>
    <definedName name="___DAT10" localSheetId="6">#REF!</definedName>
    <definedName name="___DAT10">#REF!</definedName>
    <definedName name="___DAT11" localSheetId="7">#REF!</definedName>
    <definedName name="___DAT11" localSheetId="6">#REF!</definedName>
    <definedName name="___DAT11">#REF!</definedName>
    <definedName name="___DAT12" localSheetId="7">#REF!</definedName>
    <definedName name="___DAT12" localSheetId="6">#REF!</definedName>
    <definedName name="___DAT12">#REF!</definedName>
    <definedName name="___DAT2" localSheetId="7">#REF!</definedName>
    <definedName name="___DAT2" localSheetId="6">#REF!</definedName>
    <definedName name="___DAT2">#REF!</definedName>
    <definedName name="___DAT3" localSheetId="7">#REF!</definedName>
    <definedName name="___DAT3" localSheetId="6">#REF!</definedName>
    <definedName name="___DAT3">#REF!</definedName>
    <definedName name="___DAT4" localSheetId="7">#REF!</definedName>
    <definedName name="___DAT4" localSheetId="6">#REF!</definedName>
    <definedName name="___DAT4">#REF!</definedName>
    <definedName name="___DAT5" localSheetId="7">#REF!</definedName>
    <definedName name="___DAT5" localSheetId="6">#REF!</definedName>
    <definedName name="___DAT5">#REF!</definedName>
    <definedName name="___DAT6" localSheetId="7">#REF!</definedName>
    <definedName name="___DAT6" localSheetId="6">#REF!</definedName>
    <definedName name="___DAT6">#REF!</definedName>
    <definedName name="___DAT7" localSheetId="7">#REF!</definedName>
    <definedName name="___DAT7" localSheetId="6">#REF!</definedName>
    <definedName name="___DAT7">#REF!</definedName>
    <definedName name="___DAT8" localSheetId="7">#REF!</definedName>
    <definedName name="___DAT8" localSheetId="6">#REF!</definedName>
    <definedName name="___DAT8">#REF!</definedName>
    <definedName name="___DAT9" localSheetId="7">#REF!</definedName>
    <definedName name="___DAT9" localSheetId="6">#REF!</definedName>
    <definedName name="___DAT9">#REF!</definedName>
    <definedName name="___mth1">[4]idx!$K$3</definedName>
    <definedName name="___ref1">[5]ZE_w05!$J$6</definedName>
    <definedName name="___vm1" localSheetId="7">#REF!</definedName>
    <definedName name="___vm1" localSheetId="6">#REF!</definedName>
    <definedName name="___vm1">#REF!</definedName>
    <definedName name="___vm2" localSheetId="7">#REF!</definedName>
    <definedName name="___vm2" localSheetId="6">#REF!</definedName>
    <definedName name="___vm2">#REF!</definedName>
    <definedName name="__123Graph_A" localSheetId="7" hidden="1">#REF!</definedName>
    <definedName name="__123Graph_A" localSheetId="6" hidden="1">#REF!</definedName>
    <definedName name="__123Graph_A" hidden="1">#REF!</definedName>
    <definedName name="__123Graph_B" localSheetId="7" hidden="1">#REF!</definedName>
    <definedName name="__123Graph_B" localSheetId="6" hidden="1">#REF!</definedName>
    <definedName name="__123Graph_B" hidden="1">#REF!</definedName>
    <definedName name="__123Graph_C" localSheetId="7" hidden="1">#REF!</definedName>
    <definedName name="__123Graph_C" localSheetId="6" hidden="1">#REF!</definedName>
    <definedName name="__123Graph_C" hidden="1">#REF!</definedName>
    <definedName name="__123Graph_D" localSheetId="7" hidden="1">#REF!</definedName>
    <definedName name="__123Graph_D" localSheetId="6" hidden="1">#REF!</definedName>
    <definedName name="__123Graph_D" hidden="1">#REF!</definedName>
    <definedName name="__123Graph_X" localSheetId="7" hidden="1">#REF!</definedName>
    <definedName name="__123Graph_X" localSheetId="6" hidden="1">#REF!</definedName>
    <definedName name="__123Graph_X" hidden="1">#REF!</definedName>
    <definedName name="__a2">#N/A</definedName>
    <definedName name="__cf1">#N/A</definedName>
    <definedName name="__DAT1" localSheetId="7">#REF!</definedName>
    <definedName name="__DAT1" localSheetId="6">#REF!</definedName>
    <definedName name="__DAT1">#REF!</definedName>
    <definedName name="__DAT10" localSheetId="7">#REF!</definedName>
    <definedName name="__DAT10" localSheetId="6">#REF!</definedName>
    <definedName name="__DAT10">#REF!</definedName>
    <definedName name="__DAT11" localSheetId="7">#REF!</definedName>
    <definedName name="__DAT11" localSheetId="6">#REF!</definedName>
    <definedName name="__DAT11">#REF!</definedName>
    <definedName name="__DAT12" localSheetId="7">#REF!</definedName>
    <definedName name="__DAT12" localSheetId="6">#REF!</definedName>
    <definedName name="__DAT12">#REF!</definedName>
    <definedName name="__DAT2" localSheetId="7">#REF!</definedName>
    <definedName name="__DAT2" localSheetId="6">#REF!</definedName>
    <definedName name="__DAT2">#REF!</definedName>
    <definedName name="__DAT3" localSheetId="7">#REF!</definedName>
    <definedName name="__DAT3" localSheetId="6">#REF!</definedName>
    <definedName name="__DAT3">#REF!</definedName>
    <definedName name="__DAT4" localSheetId="7">#REF!</definedName>
    <definedName name="__DAT4" localSheetId="6">#REF!</definedName>
    <definedName name="__DAT4">#REF!</definedName>
    <definedName name="__DAT5" localSheetId="7">#REF!</definedName>
    <definedName name="__DAT5" localSheetId="6">#REF!</definedName>
    <definedName name="__DAT5">#REF!</definedName>
    <definedName name="__DAT6" localSheetId="7">#REF!</definedName>
    <definedName name="__DAT6" localSheetId="6">#REF!</definedName>
    <definedName name="__DAT6">#REF!</definedName>
    <definedName name="__DAT7" localSheetId="7">#REF!</definedName>
    <definedName name="__DAT7" localSheetId="6">#REF!</definedName>
    <definedName name="__DAT7">#REF!</definedName>
    <definedName name="__DAT8" localSheetId="7">#REF!</definedName>
    <definedName name="__DAT8" localSheetId="6">#REF!</definedName>
    <definedName name="__DAT8">#REF!</definedName>
    <definedName name="__DAT9" localSheetId="7">#REF!</definedName>
    <definedName name="__DAT9" localSheetId="6">#REF!</definedName>
    <definedName name="__DAT9">#REF!</definedName>
    <definedName name="__mth1">[4]idx!$K$3</definedName>
    <definedName name="__ref1">[5]ZE_w05!$J$6</definedName>
    <definedName name="__vm1" localSheetId="7">#REF!</definedName>
    <definedName name="__vm1" localSheetId="6">#REF!</definedName>
    <definedName name="__vm1">#REF!</definedName>
    <definedName name="__vm2" localSheetId="7">#REF!</definedName>
    <definedName name="__vm2" localSheetId="6">#REF!</definedName>
    <definedName name="__vm2">#REF!</definedName>
    <definedName name="_01KaucjeBZ">[6]INNE!$D$2</definedName>
    <definedName name="_10Kod__.KoniecProgramu">[0]!_10Kod__.KoniecProgramu</definedName>
    <definedName name="_12Kod__.PrzeliczWszystkieArkusze">#N/A</definedName>
    <definedName name="_13Kod__.PrzeliczWszystkieArkusze">[0]!_13Kod__.PrzeliczWszystkieArkusze</definedName>
    <definedName name="_14Kod__.PrzeliczWszystkieArkusze">[0]!_14Kod__.PrzeliczWszystkieArkusze</definedName>
    <definedName name="_15Kod__.PrzeliczWszystkieArkusze">[0]!_15Kod__.PrzeliczWszystkieArkusze</definedName>
    <definedName name="_17Kod__.UstawArkusz">#N/A</definedName>
    <definedName name="_18Kod__.UstawArkusz">[0]!_18Kod__.UstawArkusz</definedName>
    <definedName name="_19Kod__.UstawArkusz">[0]!_19Kod__.UstawArkusz</definedName>
    <definedName name="_1BZ_MA10998">[6]OBR01!$S$25</definedName>
    <definedName name="_1BZ_MA11110">[6]OBR01!$S$26</definedName>
    <definedName name="_1BZ_MA11130">[6]OBR01!$S$27</definedName>
    <definedName name="_1BZ_MA11998">[6]OBR01!$S$43</definedName>
    <definedName name="_1BZ_MA12240">[6]OBR01!$S$48</definedName>
    <definedName name="_1BZ_MA12298">[6]OBR01!$S$50</definedName>
    <definedName name="_1BZ_MA12411">[6]OBR01!$S$52</definedName>
    <definedName name="_1BZ_MA12498">[6]OBR01!$S$55</definedName>
    <definedName name="_1BZ_MA20799">[6]OBR01!$S$177</definedName>
    <definedName name="_1BZ_MA40195">[6]OBR01!$S$288</definedName>
    <definedName name="_1BZ_MA40269">[6]OBR01!$S$311</definedName>
    <definedName name="_1BZ_MA50110">[6]OBR01!$S$342</definedName>
    <definedName name="_1BZ_MA50250">[6]OBR01!$S$344</definedName>
    <definedName name="_1BZ_MA50260">[6]OBR01!$S$345</definedName>
    <definedName name="_1BZ_MA50310">[6]OBR01!$S$347</definedName>
    <definedName name="_1BZ_MA59999">[6]OBR01!$S$364</definedName>
    <definedName name="_1BZ_MA60229">[6]OBR01!$S$372</definedName>
    <definedName name="_1BZ_MA61998">[6]OBR01!$S$398</definedName>
    <definedName name="_1BZ_MA70210">[6]OBR01!$S$401</definedName>
    <definedName name="_1BZ_MA70499">[6]OBR01!$S$411</definedName>
    <definedName name="_1BZ_MA70599">[6]OBR01!$S$413</definedName>
    <definedName name="_1BZ_MA70610">[6]OBR01!$S$414</definedName>
    <definedName name="_1BZ_MA72900">[6]OBR01!$S$442</definedName>
    <definedName name="_1BZ_MA72910">[6]OBR01!$S$443</definedName>
    <definedName name="_1BZ_MA72990">[6]OBR01!$S$444</definedName>
    <definedName name="_1BZ_MA74799">[6]OBR01!$S$511</definedName>
    <definedName name="_1BZ_MA75299">[6]OBR01!$S$526</definedName>
    <definedName name="_1BZ_MA75610">[6]OBR01!$S$537</definedName>
    <definedName name="_1BZ_WN20399">[6]OBR01!$Q$80</definedName>
    <definedName name="_1BZ_WN20519">[6]OBR01!$Q$89</definedName>
    <definedName name="_1BZ_WN20525">[6]OBR01!$Q$93</definedName>
    <definedName name="_1BZ_WN20526">[6]OBR01!$Q$94</definedName>
    <definedName name="_1BZ_WN20527">[6]OBR01!$Q$95</definedName>
    <definedName name="_1BZ_WN20529">[6]OBR01!$Q$96</definedName>
    <definedName name="_1BZ_WN20539">[6]OBR01!$Q$102</definedName>
    <definedName name="_1BZ_WN20543">[6]OBR01!$Q$105</definedName>
    <definedName name="_1BZ_WN20549">[6]OBR01!$Q$110</definedName>
    <definedName name="_1BZ_WN20551">[6]OBR01!$Q$111</definedName>
    <definedName name="_1BZ_WN20558">[6]OBR01!$Q$117</definedName>
    <definedName name="_1BZ_WN20559">[6]OBR01!$Q$118</definedName>
    <definedName name="_1BZ_WN20599">[6]OBR01!$Q$134</definedName>
    <definedName name="_1BZ_WN20619">[6]OBR01!$Q$140</definedName>
    <definedName name="_1BZ_WN20629">[6]OBR01!$Q$143</definedName>
    <definedName name="_1BZ_WN20639">[6]OBR01!$Q$147</definedName>
    <definedName name="_1BZ_WN20649">[6]OBR01!$Q$151</definedName>
    <definedName name="_1BZ_WN20659">[6]OBR01!$Q$154</definedName>
    <definedName name="_1BZ_WN20669">[6]OBR01!$Q$163</definedName>
    <definedName name="_1BZ_WN20679">[6]OBR01!$Q$166</definedName>
    <definedName name="_1BZ_WN20699">[6]OBR01!$Q$174</definedName>
    <definedName name="_1BZ_WN20799">[6]OBR01!$Q$177</definedName>
    <definedName name="_1BZ_WN21110">[6]OBR01!$Q$181</definedName>
    <definedName name="_1BZ_WN21498">[6]OBR01!$Q$200</definedName>
    <definedName name="_1BZ_WN22298">[6]OBR01!$Q$222</definedName>
    <definedName name="_1BZ_WN22499">[6]OBR01!$Q$226</definedName>
    <definedName name="_1BZ_WN23010">[6]OBR01!$Q$231</definedName>
    <definedName name="_1BZ_WN30198">[6]OBR01!$Q$238</definedName>
    <definedName name="_1BZ_WN30205">[6]OBR01!$Q$239</definedName>
    <definedName name="_1BZ_WN30229">[6]OBR01!$Q$244</definedName>
    <definedName name="_1BZ_WN30239">[6]OBR01!$Q$249</definedName>
    <definedName name="_1BZ_WN30249">[6]OBR01!$Q$252</definedName>
    <definedName name="_1BZ_WN30259">[6]OBR01!$Q$257</definedName>
    <definedName name="_1BZ_WN30279">[6]OBR01!$Q$260</definedName>
    <definedName name="_1BZ_WN40119">[6]OBR01!$Q$271</definedName>
    <definedName name="_1BZ_WN40129">[6]OBR01!$Q$274</definedName>
    <definedName name="_1BZ_WN40139">[6]OBR01!$Q$281</definedName>
    <definedName name="_1BZ_WN40149">[6]OBR01!$Q$286</definedName>
    <definedName name="_1BZ_WN40191">[6]OBR01!$Q$287</definedName>
    <definedName name="_1BZ_WN40229">[6]OBR01!$Q$300</definedName>
    <definedName name="_1BZ_WN40269">[6]OBR01!$Q$311</definedName>
    <definedName name="_1BZ_WN40399">[6]OBR01!$Q$334</definedName>
    <definedName name="_1BZ_WN40449">[6]OBR01!$Q$339</definedName>
    <definedName name="_1BZ_WN50520">[6]OBR01!$Q$349</definedName>
    <definedName name="_1BZ_WN50610">[6]OBR01!$Q$351</definedName>
    <definedName name="_1BZ_WN70210">[6]OBR01!$Q$401</definedName>
    <definedName name="_1BZ_WN70399">[6]OBR01!$Q$406</definedName>
    <definedName name="_1BZ_WN70499">[6]OBR01!$Q$411</definedName>
    <definedName name="_1BZ_WN70599">[6]OBR01!$Q$413</definedName>
    <definedName name="_1BZ_WN72900">[6]OBR01!$Q$442</definedName>
    <definedName name="_1BZ_WN72910">[6]OBR01!$Q$443</definedName>
    <definedName name="_1BZ_WN73320">[6]OBR01!$Q$492</definedName>
    <definedName name="_20Kod__.UstawArkusz">[0]!_20Kod__.UstawArkusz</definedName>
    <definedName name="_2Kod__.DOABOUT">#N/A</definedName>
    <definedName name="_3Kod__.DOABOUT">[0]!_3Kod__.DOABOUT</definedName>
    <definedName name="_4Kod__.DOABOUT">[0]!_4Kod__.DOABOUT</definedName>
    <definedName name="_5Kod__.DOABOUT">[0]!_5Kod__.DOABOUT</definedName>
    <definedName name="_7Kod__.KoniecProgramu">#N/A</definedName>
    <definedName name="_8Kod__.KoniecProgramu">[0]!_8Kod__.KoniecProgramu</definedName>
    <definedName name="_9Kod__.KoniecProgramu">[0]!_9Kod__.KoniecProgramu</definedName>
    <definedName name="_a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2">#N/A</definedName>
    <definedName name="_aa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a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a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cf1">#N/A</definedName>
    <definedName name="_DAT1" localSheetId="7">#REF!</definedName>
    <definedName name="_DAT1" localSheetId="6">#REF!</definedName>
    <definedName name="_DAT1">#REF!</definedName>
    <definedName name="_DAT10" localSheetId="7">#REF!</definedName>
    <definedName name="_DAT10" localSheetId="6">#REF!</definedName>
    <definedName name="_DAT10">#REF!</definedName>
    <definedName name="_DAT11" localSheetId="7">#REF!</definedName>
    <definedName name="_DAT11" localSheetId="6">#REF!</definedName>
    <definedName name="_DAT11">#REF!</definedName>
    <definedName name="_DAT12" localSheetId="7">#REF!</definedName>
    <definedName name="_DAT12" localSheetId="6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 localSheetId="7">#REF!</definedName>
    <definedName name="_DAT2" localSheetId="6">#REF!</definedName>
    <definedName name="_DAT2">#REF!</definedName>
    <definedName name="_DAT20">#REF!</definedName>
    <definedName name="_DAT21">#REF!</definedName>
    <definedName name="_DAT22">#REF!</definedName>
    <definedName name="_DAT3" localSheetId="7">#REF!</definedName>
    <definedName name="_DAT3" localSheetId="6">#REF!</definedName>
    <definedName name="_DAT3">#REF!</definedName>
    <definedName name="_DAT4" localSheetId="7">#REF!</definedName>
    <definedName name="_DAT4" localSheetId="6">#REF!</definedName>
    <definedName name="_DAT4">#REF!</definedName>
    <definedName name="_DAT5" localSheetId="7">#REF!</definedName>
    <definedName name="_DAT5" localSheetId="6">#REF!</definedName>
    <definedName name="_DAT5">#REF!</definedName>
    <definedName name="_DAT6" localSheetId="7">#REF!</definedName>
    <definedName name="_DAT6" localSheetId="6">#REF!</definedName>
    <definedName name="_DAT6">#REF!</definedName>
    <definedName name="_DAT7" localSheetId="7">#REF!</definedName>
    <definedName name="_DAT7" localSheetId="6">#REF!</definedName>
    <definedName name="_DAT7">#REF!</definedName>
    <definedName name="_DAT8" localSheetId="7">#REF!</definedName>
    <definedName name="_DAT8" localSheetId="6">#REF!</definedName>
    <definedName name="_DAT8">#REF!</definedName>
    <definedName name="_DAT9" localSheetId="7">#REF!</definedName>
    <definedName name="_DAT9" localSheetId="6">#REF!</definedName>
    <definedName name="_DAT9">#REF!</definedName>
    <definedName name="_Fill" localSheetId="7" hidden="1">#REF!</definedName>
    <definedName name="_Fill" localSheetId="6" hidden="1">#REF!</definedName>
    <definedName name="_Fill" hidden="1">#REF!</definedName>
    <definedName name="_xlnm._FilterDatabase" localSheetId="1" hidden="1">'bilans '!$A$1:$O$598</definedName>
    <definedName name="_xlnm._FilterDatabase" localSheetId="7" hidden="1">'FC Spr.z syt.finans.'!$B$1:$D$88</definedName>
    <definedName name="_xlnm._FilterDatabase" localSheetId="11" hidden="1">'noty do przepływów'!$B$1:$C$69</definedName>
    <definedName name="_xlnm._FilterDatabase" localSheetId="0" hidden="1">obrotówka!$A$1:$M$1680</definedName>
    <definedName name="_xlnm._FilterDatabase" localSheetId="6" hidden="1">Przepływy!$B$1:$D$278</definedName>
    <definedName name="_xlnm._FilterDatabase" localSheetId="4" hidden="1">'RZiS, koszty rodz.'!$D$1:$D$479</definedName>
    <definedName name="_xlnm._FilterDatabase" localSheetId="22" hidden="1">'SF-Inne nal.finans'!$D$1:$F$36</definedName>
    <definedName name="_xlnm._FilterDatabase" localSheetId="19" hidden="1">STS!$K$1:$K$100</definedName>
    <definedName name="_Key1" localSheetId="7" hidden="1">#REF!</definedName>
    <definedName name="_Key1" localSheetId="6" hidden="1">#REF!</definedName>
    <definedName name="_Key1" hidden="1">#REF!</definedName>
    <definedName name="_mth1">[4]idx!$K$3</definedName>
    <definedName name="_Order1" hidden="1">0</definedName>
    <definedName name="_q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q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q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ref1">[5]ZE_w05!$J$6</definedName>
    <definedName name="_sa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sa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sa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Sort" localSheetId="7" hidden="1">#REF!</definedName>
    <definedName name="_Sort" localSheetId="6" hidden="1">#REF!</definedName>
    <definedName name="_Sort" hidden="1">#REF!</definedName>
    <definedName name="_Toc385242671" localSheetId="10">'bilans, RZiS,przepływy,kapitały'!$A$1</definedName>
    <definedName name="_Toc385242671" localSheetId="14">'SF Spr.z całk.doch.'!$A$1</definedName>
    <definedName name="_Toc385242675" localSheetId="10">'bilans, RZiS,przepływy,kapitały'!$A$85</definedName>
    <definedName name="_Toc385242675" localSheetId="35">'SF Kapitały'!$A$3</definedName>
    <definedName name="_Toc385242677" localSheetId="10">'bilans, RZiS,przepływy,kapitały'!$A$105</definedName>
    <definedName name="_Toc400538930" localSheetId="10">'bilans, RZiS,przepływy,kapitały'!$A$84</definedName>
    <definedName name="_Toc400538930" localSheetId="35">'SF Kapitały'!$A$1</definedName>
    <definedName name="_Toc400538943" localSheetId="2">'noty do bilansu'!$A$68</definedName>
    <definedName name="_Toc400538947" localSheetId="2">'noty do bilansu'!$A$144</definedName>
    <definedName name="_Toc400538950" localSheetId="2">'noty do bilansu'!$A$178</definedName>
    <definedName name="_Toc400538956" localSheetId="2">'noty do bilansu'!$A$232</definedName>
    <definedName name="_Toc403576706" localSheetId="5">'noty do RZiS'!$A$83</definedName>
    <definedName name="_Toc411347581" localSheetId="5">'noty do RZiS'!$A$93</definedName>
    <definedName name="_Toc438462143" localSheetId="36">'SF dział.operac.'!$A$45</definedName>
    <definedName name="_Toc470095050" localSheetId="2">'noty do bilansu'!$A$379</definedName>
    <definedName name="_Toc474736158" localSheetId="36">'SF dział.operac.'!$A$27</definedName>
    <definedName name="_Toc474736161" localSheetId="11">'noty do przepływów'!$A$51</definedName>
    <definedName name="_Toc474736161" localSheetId="36">'SF dział.operac.'!$A$50</definedName>
    <definedName name="_Toc474736162" localSheetId="36">'SF dział.operac.'!#REF!</definedName>
    <definedName name="_Toc503530830" localSheetId="2">'noty do bilansu'!$A$58</definedName>
    <definedName name="_Toc505718798" localSheetId="2">'noty do bilansu'!$A$338</definedName>
    <definedName name="_Toc505718836" localSheetId="12">'noty pozostałe'!$A$78</definedName>
    <definedName name="_Toc507772219" localSheetId="2">'noty do bilansu'!$A$285</definedName>
    <definedName name="_Toc536732988" localSheetId="2">'noty do bilansu'!$E$229</definedName>
    <definedName name="_Toc62555823" localSheetId="5">'noty do RZiS'!$A$184</definedName>
    <definedName name="_Toc63683624" localSheetId="10">'bilans, RZiS,przepływy,kapitały'!$A$34</definedName>
    <definedName name="_Toc63683624" localSheetId="32">'SF Spr.z syt.finans.'!$A$1</definedName>
    <definedName name="_Toc63683642" localSheetId="5">'noty do RZiS'!$A$16</definedName>
    <definedName name="_Toc63683643" localSheetId="5">'noty do RZiS'!$A$43</definedName>
    <definedName name="_Toc63683644" localSheetId="5">'noty do RZiS'!$A$159</definedName>
    <definedName name="_Toc63683651" localSheetId="2">'noty do bilansu'!$A$11</definedName>
    <definedName name="_Toc63683659" localSheetId="2">'noty do bilansu'!$A$160</definedName>
    <definedName name="_Toc63683663" localSheetId="2">'noty do bilansu'!$A$192</definedName>
    <definedName name="_Toc63683664" localSheetId="2">'noty do bilansu'!$A$204</definedName>
    <definedName name="_Toc63683665" localSheetId="2">'noty do bilansu'!$A$205</definedName>
    <definedName name="_Toc63683666" localSheetId="2">'noty do bilansu'!$A$213</definedName>
    <definedName name="_Toc63683667" localSheetId="2">'noty do bilansu'!$A$216</definedName>
    <definedName name="_Toc63683668" localSheetId="2">'noty do bilansu'!$A$219</definedName>
    <definedName name="_Toc63683669" localSheetId="2">'noty do bilansu'!$A$222</definedName>
    <definedName name="_Toc63683672" localSheetId="2">'noty do bilansu'!$A$277</definedName>
    <definedName name="_Toc63683674" localSheetId="2">'noty do bilansu'!$A$335</definedName>
    <definedName name="_Toc63683677" localSheetId="2">'noty do bilansu'!$A$345</definedName>
    <definedName name="_Toc63683679" localSheetId="2">'noty do bilansu'!$A$369</definedName>
    <definedName name="_Toc63683682" localSheetId="2">'noty do bilansu'!$A$398</definedName>
    <definedName name="_Toc63683694" localSheetId="12">'noty pozostałe'!$A$1</definedName>
    <definedName name="_Toc63683695" localSheetId="12">'noty pozostałe'!$A$8</definedName>
    <definedName name="_Toc63683699" localSheetId="12">'noty pozostałe'!$A$16</definedName>
    <definedName name="_Toc63683700" localSheetId="12">'noty pozostałe'!$A$39</definedName>
    <definedName name="_tr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tr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tr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vm1" localSheetId="7">#REF!</definedName>
    <definedName name="_vm1" localSheetId="6">#REF!</definedName>
    <definedName name="_vm1">#REF!</definedName>
    <definedName name="_vm2" localSheetId="7">#REF!</definedName>
    <definedName name="_vm2" localSheetId="6">#REF!</definedName>
    <definedName name="_vm2">#REF!</definedName>
    <definedName name="_wsq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wsq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wsq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ww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ww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_ww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a">#N/A</definedName>
    <definedName name="aa">#N/A</definedName>
    <definedName name="aaa">#N/A</definedName>
    <definedName name="AAAA">#N/A</definedName>
    <definedName name="aaaaa">#N/A</definedName>
    <definedName name="aaaaaa">#N/A</definedName>
    <definedName name="aaaaaaaaaa" localSheetId="7">#REF!</definedName>
    <definedName name="aaaaaaaaaa" localSheetId="6">#REF!</definedName>
    <definedName name="aaaaaaaaaa">#REF!</definedName>
    <definedName name="aaaaaaaaaaa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aaaaaaaaaaa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aaaaaaaaaaa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aaaaaaaaaaaaaaa">#N/A</definedName>
    <definedName name="abc" localSheetId="7">#REF!</definedName>
    <definedName name="abc" localSheetId="6">#REF!</definedName>
    <definedName name="abc">#REF!</definedName>
    <definedName name="abssjkdf">#N/A</definedName>
    <definedName name="acd" localSheetId="7">#REF!</definedName>
    <definedName name="acd" localSheetId="6">#REF!</definedName>
    <definedName name="acd">#REF!</definedName>
    <definedName name="agr">[7]lista!$A$45</definedName>
    <definedName name="akt">#REF!</definedName>
    <definedName name="AnalizaWyslij">#REF!</definedName>
    <definedName name="annj" localSheetId="7">[8]KONS!#REF!</definedName>
    <definedName name="annj" localSheetId="6">[8]KONS!#REF!</definedName>
    <definedName name="annj">[8]KONS!#REF!</definedName>
    <definedName name="anscount" hidden="1">1</definedName>
    <definedName name="Arkusz1" localSheetId="7">#REF!</definedName>
    <definedName name="Arkusz1" localSheetId="6">#REF!</definedName>
    <definedName name="Arkusz1">#REF!</definedName>
    <definedName name="Arkusz111" localSheetId="7">#REF!</definedName>
    <definedName name="Arkusz111" localSheetId="6">#REF!</definedName>
    <definedName name="Arkusz111">#REF!</definedName>
    <definedName name="as">#N/A</definedName>
    <definedName name="AS2DocOpenMode" hidden="1">"AS2DocumentEdit"</definedName>
    <definedName name="assss">#N/A</definedName>
    <definedName name="asx" localSheetId="7">#REF!</definedName>
    <definedName name="asx" localSheetId="6">#REF!</definedName>
    <definedName name="asx">#REF!</definedName>
    <definedName name="aw" localSheetId="7">#REF!</definedName>
    <definedName name="aw" localSheetId="6">#REF!</definedName>
    <definedName name="aw">#REF!</definedName>
    <definedName name="b">#N/A</definedName>
    <definedName name="B_Index_t" localSheetId="7">#REF!</definedName>
    <definedName name="B_Index_t" localSheetId="6">#REF!</definedName>
    <definedName name="B_Index_t">#REF!</definedName>
    <definedName name="Bank">[9]Arkusz2!$A$1:$A$17</definedName>
    <definedName name="_xlnm.Database" localSheetId="7">#REF!</definedName>
    <definedName name="_xlnm.Database" localSheetId="6">#REF!</definedName>
    <definedName name="_xlnm.Database">#REF!</definedName>
    <definedName name="baza_spolki">[10]Bazy!$A$3:$E$36</definedName>
    <definedName name="bb">[0]!_10Kod__.KoniecProgramu</definedName>
    <definedName name="bbb">[3]!bbb</definedName>
    <definedName name="bbbbbbbbb">#N/A</definedName>
    <definedName name="Berichtseinheit_3" localSheetId="7">#REF!</definedName>
    <definedName name="Berichtseinheit_3" localSheetId="6">#REF!</definedName>
    <definedName name="Berichtseinheit_3">#REF!</definedName>
    <definedName name="Berichtsjahr" localSheetId="7">#REF!</definedName>
    <definedName name="Berichtsjahr" localSheetId="6">#REF!</definedName>
    <definedName name="Berichtsjahr">#REF!</definedName>
    <definedName name="Berichtsjahr_1" localSheetId="7">#REF!</definedName>
    <definedName name="Berichtsjahr_1" localSheetId="6">#REF!</definedName>
    <definedName name="Berichtsjahr_1">#REF!</definedName>
    <definedName name="Berichtsmonat" localSheetId="7">#REF!</definedName>
    <definedName name="Berichtsmonat" localSheetId="6">#REF!</definedName>
    <definedName name="Berichtsmonat">#REF!</definedName>
    <definedName name="Berichtsmonat_1" localSheetId="7">#REF!</definedName>
    <definedName name="Berichtsmonat_1" localSheetId="6">#REF!</definedName>
    <definedName name="Berichtsmonat_1">#REF!</definedName>
    <definedName name="Berichtsmonat_2" localSheetId="7">#REF!</definedName>
    <definedName name="Berichtsmonat_2" localSheetId="6">#REF!</definedName>
    <definedName name="Berichtsmonat_2">#REF!</definedName>
    <definedName name="Bezpieczeństwo">#N/A</definedName>
    <definedName name="cash_mies">#REF!</definedName>
    <definedName name="cash_narast">#REF!</definedName>
    <definedName name="cc">#N/A</definedName>
    <definedName name="Ceny">[11]TGE!$M$3</definedName>
    <definedName name="CenyWykazu">[12]Cennik!$E$2:$E$109</definedName>
    <definedName name="comment" localSheetId="7">#REF!</definedName>
    <definedName name="comment" localSheetId="6">#REF!</definedName>
    <definedName name="comment">#REF!</definedName>
    <definedName name="commentcit1" localSheetId="7">#REF!</definedName>
    <definedName name="commentcit1" localSheetId="6">#REF!</definedName>
    <definedName name="commentcit1">#REF!</definedName>
    <definedName name="Company_name">[13]Ster!$B$4</definedName>
    <definedName name="Daneźródłowe">#REF!</definedName>
    <definedName name="Data">[6]DATA2002!$A$3:$H$70</definedName>
    <definedName name="DATA1" localSheetId="1">'bilans '!#REF!</definedName>
    <definedName name="DATA1" localSheetId="7">[14]Baza.Moduł.MM!#REF!</definedName>
    <definedName name="DATA1" localSheetId="6">[14]Baza.Moduł.MM!#REF!</definedName>
    <definedName name="DATA1" localSheetId="4">[14]Baza.Moduł.MM!#REF!</definedName>
    <definedName name="DATA1">obrotówka!#REF!</definedName>
    <definedName name="DATA10" localSheetId="7">[15]Wykonanie_2009!#REF!</definedName>
    <definedName name="DATA10" localSheetId="6">[15]Wykonanie_2009!#REF!</definedName>
    <definedName name="DATA10" localSheetId="4">[15]Wykonanie_2009!#REF!</definedName>
    <definedName name="DATA10">obrotówka!$J$3:$J$590</definedName>
    <definedName name="DATA11" localSheetId="7">[15]Wykonanie_2009!#REF!</definedName>
    <definedName name="DATA11" localSheetId="6">[15]Wykonanie_2009!#REF!</definedName>
    <definedName name="DATA11">[15]Wykonanie_2009!#REF!</definedName>
    <definedName name="DATA12" localSheetId="7">[14]Baza.Moduł.MM!#REF!</definedName>
    <definedName name="DATA12" localSheetId="6">[14]Baza.Moduł.MM!#REF!</definedName>
    <definedName name="DATA12">[14]Baza.Moduł.MM!#REF!</definedName>
    <definedName name="DATA13" localSheetId="7">[14]Baza.Moduł.MM!#REF!</definedName>
    <definedName name="DATA13" localSheetId="6">[14]Baza.Moduł.MM!#REF!</definedName>
    <definedName name="DATA13">[14]Baza.Moduł.MM!#REF!</definedName>
    <definedName name="DATA14" localSheetId="7">[14]Baza.Moduł.MM!#REF!</definedName>
    <definedName name="DATA14" localSheetId="6">[14]Baza.Moduł.MM!#REF!</definedName>
    <definedName name="DATA14">[14]Baza.Moduł.MM!#REF!</definedName>
    <definedName name="DATA15" localSheetId="7">[14]Baza.Moduł.MM!#REF!</definedName>
    <definedName name="DATA15" localSheetId="6">[14]Baza.Moduł.MM!#REF!</definedName>
    <definedName name="DATA15">[14]Baza.Moduł.MM!#REF!</definedName>
    <definedName name="DATA16" localSheetId="7">[14]Baza.Moduł.MM!#REF!</definedName>
    <definedName name="DATA16" localSheetId="6">[14]Baza.Moduł.MM!#REF!</definedName>
    <definedName name="DATA16">[14]Baza.Moduł.MM!#REF!</definedName>
    <definedName name="DATA17" localSheetId="7">[14]Baza.Moduł.MM!#REF!</definedName>
    <definedName name="DATA17" localSheetId="6">[14]Baza.Moduł.MM!#REF!</definedName>
    <definedName name="DATA17">[14]Baza.Moduł.MM!#REF!</definedName>
    <definedName name="DATA18" localSheetId="7">[14]Baza.Moduł.MM!#REF!</definedName>
    <definedName name="DATA18" localSheetId="6">[14]Baza.Moduł.MM!#REF!</definedName>
    <definedName name="DATA18">[14]Baza.Moduł.MM!#REF!</definedName>
    <definedName name="DATA19" localSheetId="7">[14]Baza.Moduł.MM!#REF!</definedName>
    <definedName name="DATA19" localSheetId="6">[14]Baza.Moduł.MM!#REF!</definedName>
    <definedName name="DATA19">[14]Baza.Moduł.MM!#REF!</definedName>
    <definedName name="DATA2" localSheetId="1">'bilans '!#REF!</definedName>
    <definedName name="DATA2" localSheetId="7">[14]Baza.Moduł.MM!#REF!</definedName>
    <definedName name="DATA2" localSheetId="6">[14]Baza.Moduł.MM!#REF!</definedName>
    <definedName name="DATA2" localSheetId="4">[14]Baza.Moduł.MM!#REF!</definedName>
    <definedName name="DATA2">obrotówka!#REF!</definedName>
    <definedName name="DATA20" localSheetId="7">[14]Baza.Moduł.MM!#REF!</definedName>
    <definedName name="DATA20" localSheetId="6">[14]Baza.Moduł.MM!#REF!</definedName>
    <definedName name="DATA20">[14]Baza.Moduł.MM!#REF!</definedName>
    <definedName name="DATA21" localSheetId="7">[14]Baza.Moduł.MM!#REF!</definedName>
    <definedName name="DATA21" localSheetId="6">[14]Baza.Moduł.MM!#REF!</definedName>
    <definedName name="DATA21">[14]Baza.Moduł.MM!#REF!</definedName>
    <definedName name="DATA22" localSheetId="7">[14]Baza.Moduł.MM!#REF!</definedName>
    <definedName name="DATA22" localSheetId="6">[14]Baza.Moduł.MM!#REF!</definedName>
    <definedName name="DATA22">[14]Baza.Moduł.MM!#REF!</definedName>
    <definedName name="DATA23" localSheetId="7">[14]Baza.Moduł.MM!#REF!</definedName>
    <definedName name="DATA23" localSheetId="6">[14]Baza.Moduł.MM!#REF!</definedName>
    <definedName name="DATA23">[14]Baza.Moduł.MM!#REF!</definedName>
    <definedName name="DATA24" localSheetId="7">[14]Baza.Moduł.MM!#REF!</definedName>
    <definedName name="DATA24" localSheetId="6">[14]Baza.Moduł.MM!#REF!</definedName>
    <definedName name="DATA24">[14]Baza.Moduł.MM!#REF!</definedName>
    <definedName name="DATA25" localSheetId="7">[14]Baza.Moduł.MM!#REF!</definedName>
    <definedName name="DATA25" localSheetId="6">[14]Baza.Moduł.MM!#REF!</definedName>
    <definedName name="DATA25">[14]Baza.Moduł.MM!#REF!</definedName>
    <definedName name="DATA26" localSheetId="7">[14]Baza.Moduł.MM!#REF!</definedName>
    <definedName name="DATA26" localSheetId="6">[14]Baza.Moduł.MM!#REF!</definedName>
    <definedName name="DATA26">[14]Baza.Moduł.MM!#REF!</definedName>
    <definedName name="DATA27" localSheetId="7">[14]Baza.Moduł.MM!#REF!</definedName>
    <definedName name="DATA27" localSheetId="6">[14]Baza.Moduł.MM!#REF!</definedName>
    <definedName name="DATA27">[14]Baza.Moduł.MM!#REF!</definedName>
    <definedName name="DATA28" localSheetId="7">[14]Baza.Moduł.MM!#REF!</definedName>
    <definedName name="DATA28" localSheetId="6">[14]Baza.Moduł.MM!#REF!</definedName>
    <definedName name="DATA28">[14]Baza.Moduł.MM!#REF!</definedName>
    <definedName name="DATA29" localSheetId="7">[14]Baza.Moduł.MM!#REF!</definedName>
    <definedName name="DATA29" localSheetId="6">[14]Baza.Moduł.MM!#REF!</definedName>
    <definedName name="DATA29">[14]Baza.Moduł.MM!#REF!</definedName>
    <definedName name="DATA3" localSheetId="1">'bilans '!#REF!</definedName>
    <definedName name="DATA3" localSheetId="7">[15]Wykonanie_2009!#REF!</definedName>
    <definedName name="DATA3" localSheetId="6">[15]Wykonanie_2009!#REF!</definedName>
    <definedName name="DATA3" localSheetId="4">[15]Wykonanie_2009!#REF!</definedName>
    <definedName name="DATA3">obrotówka!$C$3:$C$590</definedName>
    <definedName name="DATA30" localSheetId="7">[14]Baza.Moduł.MM!#REF!</definedName>
    <definedName name="DATA30" localSheetId="6">[14]Baza.Moduł.MM!#REF!</definedName>
    <definedName name="DATA30">[14]Baza.Moduł.MM!#REF!</definedName>
    <definedName name="DATA31" localSheetId="7">[14]Baza.Moduł.MM!#REF!</definedName>
    <definedName name="DATA31" localSheetId="6">[14]Baza.Moduł.MM!#REF!</definedName>
    <definedName name="DATA31">[14]Baza.Moduł.MM!#REF!</definedName>
    <definedName name="DATA32" localSheetId="7">[14]Baza.Moduł.MM!#REF!</definedName>
    <definedName name="DATA32" localSheetId="6">[14]Baza.Moduł.MM!#REF!</definedName>
    <definedName name="DATA32">[14]Baza.Moduł.MM!#REF!</definedName>
    <definedName name="DATA33" localSheetId="7">[14]Baza.Moduł.MM!#REF!</definedName>
    <definedName name="DATA33" localSheetId="6">[14]Baza.Moduł.MM!#REF!</definedName>
    <definedName name="DATA33">[14]Baza.Moduł.MM!#REF!</definedName>
    <definedName name="DATA34" localSheetId="7">[14]Baza.Moduł.MM!#REF!</definedName>
    <definedName name="DATA34" localSheetId="6">[14]Baza.Moduł.MM!#REF!</definedName>
    <definedName name="DATA34">[14]Baza.Moduł.MM!#REF!</definedName>
    <definedName name="DATA35" localSheetId="7">[14]Baza.Moduł.MM!#REF!</definedName>
    <definedName name="DATA35" localSheetId="6">[14]Baza.Moduł.MM!#REF!</definedName>
    <definedName name="DATA35">[14]Baza.Moduł.MM!#REF!</definedName>
    <definedName name="DATA36" localSheetId="7">[14]Baza.Moduł.MM!#REF!</definedName>
    <definedName name="DATA36" localSheetId="6">[14]Baza.Moduł.MM!#REF!</definedName>
    <definedName name="DATA36">[14]Baza.Moduł.MM!#REF!</definedName>
    <definedName name="DATA37" localSheetId="7">[14]Baza.Moduł.MM!#REF!</definedName>
    <definedName name="DATA37" localSheetId="6">[14]Baza.Moduł.MM!#REF!</definedName>
    <definedName name="DATA37">[14]Baza.Moduł.MM!#REF!</definedName>
    <definedName name="DATA38" localSheetId="7">[14]Baza.Moduł.MM!#REF!</definedName>
    <definedName name="DATA38" localSheetId="6">[14]Baza.Moduł.MM!#REF!</definedName>
    <definedName name="DATA38">[14]Baza.Moduł.MM!#REF!</definedName>
    <definedName name="DATA39" localSheetId="7">[14]Baza.Moduł.MM!#REF!</definedName>
    <definedName name="DATA39" localSheetId="6">[14]Baza.Moduł.MM!#REF!</definedName>
    <definedName name="DATA39">[14]Baza.Moduł.MM!#REF!</definedName>
    <definedName name="DATA4" localSheetId="1">'bilans '!#REF!</definedName>
    <definedName name="DATA4" localSheetId="7">[14]Baza.Moduł.MM!#REF!</definedName>
    <definedName name="DATA4" localSheetId="6">[14]Baza.Moduł.MM!#REF!</definedName>
    <definedName name="DATA4" localSheetId="4">[14]Baza.Moduł.MM!#REF!</definedName>
    <definedName name="DATA4">obrotówka!$D$3:$D$590</definedName>
    <definedName name="DATA40" localSheetId="7">[14]Baza.Moduł.MM!#REF!</definedName>
    <definedName name="DATA40" localSheetId="6">[14]Baza.Moduł.MM!#REF!</definedName>
    <definedName name="DATA40">[14]Baza.Moduł.MM!#REF!</definedName>
    <definedName name="DATA41" localSheetId="7">[14]Baza.Moduł.MM!#REF!</definedName>
    <definedName name="DATA41" localSheetId="6">[14]Baza.Moduł.MM!#REF!</definedName>
    <definedName name="DATA41">[14]Baza.Moduł.MM!#REF!</definedName>
    <definedName name="DATA42" localSheetId="7">[14]Baza.Moduł.MM!#REF!</definedName>
    <definedName name="DATA42" localSheetId="6">[14]Baza.Moduł.MM!#REF!</definedName>
    <definedName name="DATA42">[14]Baza.Moduł.MM!#REF!</definedName>
    <definedName name="DATA43" localSheetId="7">[14]Baza.Moduł.MM!#REF!</definedName>
    <definedName name="DATA43" localSheetId="6">[14]Baza.Moduł.MM!#REF!</definedName>
    <definedName name="DATA43">[14]Baza.Moduł.MM!#REF!</definedName>
    <definedName name="DATA44" localSheetId="7">[14]Baza.Moduł.MM!#REF!</definedName>
    <definedName name="DATA44" localSheetId="6">[14]Baza.Moduł.MM!#REF!</definedName>
    <definedName name="DATA44">[14]Baza.Moduł.MM!#REF!</definedName>
    <definedName name="DATA45" localSheetId="7">[14]Baza.Moduł.MM!#REF!</definedName>
    <definedName name="DATA45" localSheetId="6">[14]Baza.Moduł.MM!#REF!</definedName>
    <definedName name="DATA45">[14]Baza.Moduł.MM!#REF!</definedName>
    <definedName name="DATA46" localSheetId="7">[14]Baza.Moduł.MM!#REF!</definedName>
    <definedName name="DATA46" localSheetId="6">[14]Baza.Moduł.MM!#REF!</definedName>
    <definedName name="DATA46">[14]Baza.Moduł.MM!#REF!</definedName>
    <definedName name="DATA47" localSheetId="7">[14]Baza.Moduł.MM!#REF!</definedName>
    <definedName name="DATA47" localSheetId="6">[14]Baza.Moduł.MM!#REF!</definedName>
    <definedName name="DATA47">[14]Baza.Moduł.MM!#REF!</definedName>
    <definedName name="DATA48" localSheetId="7">[14]Baza.Moduł.MM!#REF!</definedName>
    <definedName name="DATA48" localSheetId="6">[14]Baza.Moduł.MM!#REF!</definedName>
    <definedName name="DATA48">[14]Baza.Moduł.MM!#REF!</definedName>
    <definedName name="DATA49" localSheetId="7">[14]Baza.Moduł.MM!#REF!</definedName>
    <definedName name="DATA49" localSheetId="6">[14]Baza.Moduł.MM!#REF!</definedName>
    <definedName name="DATA49">[14]Baza.Moduł.MM!#REF!</definedName>
    <definedName name="DATA5" localSheetId="1">'bilans '!#REF!</definedName>
    <definedName name="DATA5" localSheetId="7">[15]Wykonanie_2009!#REF!</definedName>
    <definedName name="DATA5" localSheetId="6">[15]Wykonanie_2009!#REF!</definedName>
    <definedName name="DATA5" localSheetId="4">[15]Wykonanie_2009!#REF!</definedName>
    <definedName name="DATA5">obrotówka!$E$3:$E$590</definedName>
    <definedName name="DATA50" localSheetId="7">[14]Baza.Moduł.MM!#REF!</definedName>
    <definedName name="DATA50" localSheetId="6">[14]Baza.Moduł.MM!#REF!</definedName>
    <definedName name="DATA50">[14]Baza.Moduł.MM!#REF!</definedName>
    <definedName name="DATA51" localSheetId="7">[14]Baza.Moduł.MM!#REF!</definedName>
    <definedName name="DATA51" localSheetId="6">[14]Baza.Moduł.MM!#REF!</definedName>
    <definedName name="DATA51">[14]Baza.Moduł.MM!#REF!</definedName>
    <definedName name="DATA52" localSheetId="7">[14]Baza.Moduł.MM!#REF!</definedName>
    <definedName name="DATA52" localSheetId="6">[14]Baza.Moduł.MM!#REF!</definedName>
    <definedName name="DATA52">[14]Baza.Moduł.MM!#REF!</definedName>
    <definedName name="DATA53" localSheetId="7">[14]Baza.Moduł.MM!#REF!</definedName>
    <definedName name="DATA53" localSheetId="6">[14]Baza.Moduł.MM!#REF!</definedName>
    <definedName name="DATA53">[14]Baza.Moduł.MM!#REF!</definedName>
    <definedName name="DATA54" localSheetId="7">[14]Baza.Moduł.MM!#REF!</definedName>
    <definedName name="DATA54" localSheetId="6">[14]Baza.Moduł.MM!#REF!</definedName>
    <definedName name="DATA54">[14]Baza.Moduł.MM!#REF!</definedName>
    <definedName name="DATA55" localSheetId="7">[14]Baza.Moduł.MM!#REF!</definedName>
    <definedName name="DATA55" localSheetId="6">[14]Baza.Moduł.MM!#REF!</definedName>
    <definedName name="DATA55">[14]Baza.Moduł.MM!#REF!</definedName>
    <definedName name="DATA56" localSheetId="7">[14]Baza.Moduł.MM!#REF!</definedName>
    <definedName name="DATA56" localSheetId="6">[14]Baza.Moduł.MM!#REF!</definedName>
    <definedName name="DATA56">[14]Baza.Moduł.MM!#REF!</definedName>
    <definedName name="DATA57" localSheetId="7">[14]Baza.Moduł.MM!#REF!</definedName>
    <definedName name="DATA57" localSheetId="6">[14]Baza.Moduł.MM!#REF!</definedName>
    <definedName name="DATA57">[14]Baza.Moduł.MM!#REF!</definedName>
    <definedName name="DATA6" localSheetId="1">'bilans '!#REF!</definedName>
    <definedName name="DATA6" localSheetId="7">[14]Baza.Moduł.MM!#REF!</definedName>
    <definedName name="DATA6" localSheetId="6">[14]Baza.Moduł.MM!#REF!</definedName>
    <definedName name="DATA6" localSheetId="4">[14]Baza.Moduł.MM!#REF!</definedName>
    <definedName name="DATA6">obrotówka!$F$3:$F$590</definedName>
    <definedName name="DATA7" localSheetId="1">'bilans '!#REF!</definedName>
    <definedName name="DATA7" localSheetId="7">[14]Baza.Moduł.MM!#REF!</definedName>
    <definedName name="DATA7" localSheetId="6">[14]Baza.Moduł.MM!#REF!</definedName>
    <definedName name="DATA7" localSheetId="4">[14]Baza.Moduł.MM!#REF!</definedName>
    <definedName name="DATA7">obrotówka!$G$3:$G$590</definedName>
    <definedName name="DATA8" localSheetId="7">[15]Wykonanie_2009!#REF!</definedName>
    <definedName name="DATA8" localSheetId="6">[15]Wykonanie_2009!#REF!</definedName>
    <definedName name="DATA8" localSheetId="4">[15]Wykonanie_2009!#REF!</definedName>
    <definedName name="DATA8">obrotówka!$H$3:$H$590</definedName>
    <definedName name="DATA9" localSheetId="7">[15]Wykonanie_2009!#REF!</definedName>
    <definedName name="DATA9" localSheetId="6">[15]Wykonanie_2009!#REF!</definedName>
    <definedName name="DATA9" localSheetId="4">[15]Wykonanie_2009!#REF!</definedName>
    <definedName name="DATA9">obrotówka!$I$3:$I$590</definedName>
    <definedName name="dd">[0]!_20Kod__.UstawArkusz</definedName>
    <definedName name="dialog1">#N/A</definedName>
    <definedName name="dialog5">[16]!dialog5</definedName>
    <definedName name="dialog6">[16]!dialog6</definedName>
    <definedName name="dialog9">[17]!dialog9</definedName>
    <definedName name="DO" localSheetId="7">#REF!</definedName>
    <definedName name="DO" localSheetId="6">#REF!</definedName>
    <definedName name="DO">#REF!</definedName>
    <definedName name="DOABOUT">#N/A</definedName>
    <definedName name="DocAuthor" localSheetId="7">#REF!</definedName>
    <definedName name="DocAuthor" localSheetId="6">#REF!</definedName>
    <definedName name="DocAuthor">#REF!</definedName>
    <definedName name="DocName" localSheetId="7">#REF!</definedName>
    <definedName name="DocName" localSheetId="6">#REF!</definedName>
    <definedName name="DocName">#REF!</definedName>
    <definedName name="DocNr" localSheetId="7">#REF!</definedName>
    <definedName name="DocNr" localSheetId="6">#REF!</definedName>
    <definedName name="DocNr">#REF!</definedName>
    <definedName name="DOS" localSheetId="7">#REF!</definedName>
    <definedName name="DOS" localSheetId="6">#REF!</definedName>
    <definedName name="DOS">#REF!</definedName>
    <definedName name="DP" localSheetId="7">#REF!</definedName>
    <definedName name="DP" localSheetId="6">#REF!</definedName>
    <definedName name="DP">#REF!</definedName>
    <definedName name="DPer" localSheetId="7">#REF!</definedName>
    <definedName name="DPer" localSheetId="6">#REF!</definedName>
    <definedName name="DPer">#REF!</definedName>
    <definedName name="DR" localSheetId="7">#REF!</definedName>
    <definedName name="DR" localSheetId="6">#REF!</definedName>
    <definedName name="DR">#REF!</definedName>
    <definedName name="DRF" localSheetId="7">#REF!</definedName>
    <definedName name="DRF" localSheetId="6">#REF!</definedName>
    <definedName name="DRF">#REF!</definedName>
    <definedName name="drukowanie">#N/A</definedName>
    <definedName name="drukuj">[16]!drukuj</definedName>
    <definedName name="DRZ" localSheetId="7">#REF!</definedName>
    <definedName name="DRZ" localSheetId="6">#REF!</definedName>
    <definedName name="DRZ">#REF!</definedName>
    <definedName name="DSiA" localSheetId="7">#REF!</definedName>
    <definedName name="DSiA" localSheetId="6">#REF!</definedName>
    <definedName name="DSiA">#REF!</definedName>
    <definedName name="DSiJ" localSheetId="7">#REF!</definedName>
    <definedName name="DSiJ" localSheetId="6">#REF!</definedName>
    <definedName name="DSiJ">#REF!</definedName>
    <definedName name="DSiM" localSheetId="7">#REF!</definedName>
    <definedName name="DSiM" localSheetId="6">#REF!</definedName>
    <definedName name="DSiM">#REF!</definedName>
    <definedName name="DZ" localSheetId="7">#REF!</definedName>
    <definedName name="DZ" localSheetId="6">#REF!</definedName>
    <definedName name="DZ">#REF!</definedName>
    <definedName name="DZF" localSheetId="7">#REF!</definedName>
    <definedName name="DZF" localSheetId="6">#REF!</definedName>
    <definedName name="DZF">#REF!</definedName>
    <definedName name="DZM" localSheetId="7">#REF!</definedName>
    <definedName name="DZM" localSheetId="6">#REF!</definedName>
    <definedName name="DZM">#REF!</definedName>
    <definedName name="E">#N/A</definedName>
    <definedName name="edit_DBIL" localSheetId="7">[18]DBIL!$EZ$14:$FK$15,[18]DBIL!#REF!,[18]DBIL!$EZ$18:$FK$18,[18]DBIL!$EZ$20:$FK$20,[18]DBIL!#REF!,[18]DBIL!$EZ$27:$FK$29,[18]DBIL!$EZ$32:$FK$33,[18]DBIL!$EZ$39:$FK$39,[18]DBIL!#REF!,[18]DBIL!$EZ$50:$FK$57</definedName>
    <definedName name="edit_DBIL" localSheetId="6">[18]DBIL!$EZ$14:$FK$15,[18]DBIL!#REF!,[18]DBIL!$EZ$18:$FK$18,[18]DBIL!$EZ$20:$FK$20,[18]DBIL!#REF!,[18]DBIL!$EZ$27:$FK$29,[18]DBIL!$EZ$32:$FK$33,[18]DBIL!$EZ$39:$FK$39,[18]DBIL!#REF!,[18]DBIL!$EZ$50:$FK$57</definedName>
    <definedName name="edit_DBIL">[18]DBIL!$EZ$14:$FK$15,[18]DBIL!#REF!,[18]DBIL!$EZ$18:$FK$18,[18]DBIL!$EZ$20:$FK$20,[18]DBIL!#REF!,[18]DBIL!$EZ$27:$FK$29,[18]DBIL!$EZ$32:$FK$33,[18]DBIL!$EZ$39:$FK$39,[18]DBIL!#REF!,[18]DBIL!$EZ$50:$FK$57</definedName>
    <definedName name="edit_DBIL2" localSheetId="7">[18]DBIL!$GD$14:$GO$15,[18]DBIL!#REF!,[18]DBIL!$GD$18:$GO$18,[18]DBIL!$GD$20:$GO$20,[18]DBIL!#REF!,[18]DBIL!$GD$27:$GO$29,[18]DBIL!$GD$32:$GO$33,[18]DBIL!$GD$39:$GO$39,[18]DBIL!#REF!,[18]DBIL!$GD$50:$GO$57</definedName>
    <definedName name="edit_DBIL2" localSheetId="6">[18]DBIL!$GD$14:$GO$15,[18]DBIL!#REF!,[18]DBIL!$GD$18:$GO$18,[18]DBIL!$GD$20:$GO$20,[18]DBIL!#REF!,[18]DBIL!$GD$27:$GO$29,[18]DBIL!$GD$32:$GO$33,[18]DBIL!$GD$39:$GO$39,[18]DBIL!#REF!,[18]DBIL!$GD$50:$GO$57</definedName>
    <definedName name="edit_DBIL2">[18]DBIL!$GD$14:$GO$15,[18]DBIL!#REF!,[18]DBIL!$GD$18:$GO$18,[18]DBIL!$GD$20:$GO$20,[18]DBIL!#REF!,[18]DBIL!$GD$27:$GO$29,[18]DBIL!$GD$32:$GO$33,[18]DBIL!$GD$39:$GO$39,[18]DBIL!#REF!,[18]DBIL!$GD$50:$GO$57</definedName>
    <definedName name="edit_DCF" localSheetId="7">#REF!,#REF!,#REF!,#REF!,#REF!,#REF!</definedName>
    <definedName name="edit_DCF" localSheetId="6">#REF!,#REF!,#REF!,#REF!,#REF!,#REF!</definedName>
    <definedName name="edit_DCF">#REF!,#REF!,#REF!,#REF!,#REF!,#REF!</definedName>
    <definedName name="edit_DCF2" localSheetId="7">#REF!,#REF!,#REF!,#REF!,#REF!,#REF!</definedName>
    <definedName name="edit_DCF2" localSheetId="6">#REF!,#REF!,#REF!,#REF!,#REF!,#REF!</definedName>
    <definedName name="edit_DCF2">#REF!,#REF!,#REF!,#REF!,#REF!,#REF!</definedName>
    <definedName name="edit_DRZIS" localSheetId="7">[18]DRZIS!#REF!,[18]DRZIS!#REF!,[18]DRZIS!#REF!,[18]DRZIS!#REF!,[18]DRZIS!#REF!,[18]DRZIS!#REF!,[18]DRZIS!#REF!,[18]DRZIS!$EZ$44:$FK$45,[18]DRZIS!$EZ$47:$FK$47</definedName>
    <definedName name="edit_DRZIS" localSheetId="6">[18]DRZIS!#REF!,[18]DRZIS!#REF!,[18]DRZIS!#REF!,[18]DRZIS!#REF!,[18]DRZIS!#REF!,[18]DRZIS!#REF!,[18]DRZIS!#REF!,[18]DRZIS!$EZ$44:$FK$45,[18]DRZIS!$EZ$47:$FK$47</definedName>
    <definedName name="edit_DRZIS">[18]DRZIS!#REF!,[18]DRZIS!#REF!,[18]DRZIS!#REF!,[18]DRZIS!#REF!,[18]DRZIS!#REF!,[18]DRZIS!#REF!,[18]DRZIS!#REF!,[18]DRZIS!$EZ$44:$FK$45,[18]DRZIS!$EZ$47:$FK$47</definedName>
    <definedName name="edit_DRZIS2" localSheetId="7">[18]DRZIS!#REF!,[18]DRZIS!#REF!,[18]DRZIS!#REF!,[18]DRZIS!#REF!,[18]DRZIS!#REF!,[18]DRZIS!#REF!,[18]DRZIS!#REF!,[18]DRZIS!$GD$44:$GO$45,[18]DRZIS!$GD$47:$GO$47</definedName>
    <definedName name="edit_DRZIS2" localSheetId="6">[18]DRZIS!#REF!,[18]DRZIS!#REF!,[18]DRZIS!#REF!,[18]DRZIS!#REF!,[18]DRZIS!#REF!,[18]DRZIS!#REF!,[18]DRZIS!#REF!,[18]DRZIS!$GD$44:$GO$45,[18]DRZIS!$GD$47:$GO$47</definedName>
    <definedName name="edit_DRZIS2">[18]DRZIS!#REF!,[18]DRZIS!#REF!,[18]DRZIS!#REF!,[18]DRZIS!#REF!,[18]DRZIS!#REF!,[18]DRZIS!#REF!,[18]DRZIS!#REF!,[18]DRZIS!$GD$44:$GO$45,[18]DRZIS!$GD$47:$GO$47</definedName>
    <definedName name="edit_INFDOD" localSheetId="7">[18]KOSZTY!$GS$434:$HD$495,[18]KOSZTY!$GS$520:$HD$547,[18]KOSZTY!$GS$496:$HD$548,[18]KOSZTY!$GS$554:$HD$566,#REF!,[18]KOSZTY!$GS$580:$HD$584,[18]KOSZTY!$GS$586:$HD$587,[18]KOSZTY!$GS$589:$HD$594,[18]KOSZTY!$GS$598:$HD$598,[18]KOSZTY!#REF!,[18]KOSZTY!#REF!</definedName>
    <definedName name="edit_INFDOD" localSheetId="6">[18]KOSZTY!$GS$434:$HD$495,[18]KOSZTY!$GS$520:$HD$547,[18]KOSZTY!$GS$496:$HD$548,[18]KOSZTY!$GS$554:$HD$566,#REF!,[18]KOSZTY!$GS$580:$HD$584,[18]KOSZTY!$GS$586:$HD$587,[18]KOSZTY!$GS$589:$HD$594,[18]KOSZTY!$GS$598:$HD$598,[18]KOSZTY!#REF!,[18]KOSZTY!#REF!</definedName>
    <definedName name="edit_INFDOD">[18]KOSZTY!$GS$434:$HD$495,[18]KOSZTY!$GS$520:$HD$547,[18]KOSZTY!$GS$496:$HD$548,[18]KOSZTY!$GS$554:$HD$566,#REF!,[18]KOSZTY!$GS$580:$HD$584,[18]KOSZTY!$GS$586:$HD$587,[18]KOSZTY!$GS$589:$HD$594,[18]KOSZTY!$GS$598:$HD$598,[18]KOSZTY!#REF!,[18]KOSZTY!#REF!</definedName>
    <definedName name="edit_INFDOD2" localSheetId="7">[18]KOSZTY!$II$434:$IT$495,[18]KOSZTY!$II$520:$IT$547,[18]KOSZTY!$II$496:$IT$548,[18]KOSZTY!$II$554:$IT$566,#REF!,[18]KOSZTY!$II$580:$IT$584,[18]KOSZTY!$II$586:$IT$587,[18]KOSZTY!$II$589:$IT$594,[18]KOSZTY!$II$598:$IT$598,[18]KOSZTY!#REF!,[18]KOSZTY!#REF!</definedName>
    <definedName name="edit_INFDOD2" localSheetId="6">[18]KOSZTY!$II$434:$IT$495,[18]KOSZTY!$II$520:$IT$547,[18]KOSZTY!$II$496:$IT$548,[18]KOSZTY!$II$554:$IT$566,#REF!,[18]KOSZTY!$II$580:$IT$584,[18]KOSZTY!$II$586:$IT$587,[18]KOSZTY!$II$589:$IT$594,[18]KOSZTY!$II$598:$IT$598,[18]KOSZTY!#REF!,[18]KOSZTY!#REF!</definedName>
    <definedName name="edit_INFDOD2">[18]KOSZTY!$II$434:$IT$495,[18]KOSZTY!$II$520:$IT$547,[18]KOSZTY!$II$496:$IT$548,[18]KOSZTY!$II$554:$IT$566,#REF!,[18]KOSZTY!$II$580:$IT$584,[18]KOSZTY!$II$586:$IT$587,[18]KOSZTY!$II$589:$IT$594,[18]KOSZTY!$II$598:$IT$598,[18]KOSZTY!#REF!,[18]KOSZTY!#REF!</definedName>
    <definedName name="edit_INFDOD3" localSheetId="7">[18]KOSZTY!$HH$434:$HS$495,[18]KOSZTY!$HH$520:$HS$547,[18]KOSZTY!$HH$496:$HS$548,[18]KOSZTY!$HH$557:$HS$566,#REF!,[18]KOSZTY!$HH$580:$HS$584,[18]KOSZTY!$HH$586:$HS$587,[18]KOSZTY!$HH$589:$HS$594,[18]KOSZTY!$HH$598:$HS$598,[18]KOSZTY!#REF!,[18]KOSZTY!#REF!</definedName>
    <definedName name="edit_INFDOD3" localSheetId="6">[18]KOSZTY!$HH$434:$HS$495,[18]KOSZTY!$HH$520:$HS$547,[18]KOSZTY!$HH$496:$HS$548,[18]KOSZTY!$HH$557:$HS$566,#REF!,[18]KOSZTY!$HH$580:$HS$584,[18]KOSZTY!$HH$586:$HS$587,[18]KOSZTY!$HH$589:$HS$594,[18]KOSZTY!$HH$598:$HS$598,[18]KOSZTY!#REF!,[18]KOSZTY!#REF!</definedName>
    <definedName name="edit_INFDOD3">[18]KOSZTY!$HH$434:$HS$495,[18]KOSZTY!$HH$520:$HS$547,[18]KOSZTY!$HH$496:$HS$548,[18]KOSZTY!$HH$557:$HS$566,#REF!,[18]KOSZTY!$HH$580:$HS$584,[18]KOSZTY!$HH$586:$HS$587,[18]KOSZTY!$HH$589:$HS$594,[18]KOSZTY!$HH$598:$HS$598,[18]KOSZTY!#REF!,[18]KOSZTY!#REF!</definedName>
    <definedName name="edit_INFDOD4" localSheetId="7">[18]KOSZTY!$GW$582,[18]DROZR!$E$11:$U$11,[18]DROZR!$E$13:$U$14,[18]KOSZTY!#REF!,[18]KOSZTY!#REF!,[18]KOSZTY!#REF!,[18]KOSZTY!#REF!</definedName>
    <definedName name="edit_INFDOD4" localSheetId="6">[18]KOSZTY!$GW$582,[18]DROZR!$E$11:$U$11,[18]DROZR!$E$13:$U$14,[18]KOSZTY!#REF!,[18]KOSZTY!#REF!,[18]KOSZTY!#REF!,[18]KOSZTY!#REF!</definedName>
    <definedName name="edit_INFDOD4">[18]KOSZTY!$GW$582,[18]DROZR!$E$11:$U$11,[18]DROZR!$E$13:$U$14,[18]KOSZTY!#REF!,[18]KOSZTY!#REF!,[18]KOSZTY!#REF!,[18]KOSZTY!#REF!</definedName>
    <definedName name="EEE">#N/A</definedName>
    <definedName name="Einheit" localSheetId="7">#REF!</definedName>
    <definedName name="Einheit" localSheetId="6">#REF!</definedName>
    <definedName name="Einheit">#REF!</definedName>
    <definedName name="et">#N/A</definedName>
    <definedName name="f">#N/A</definedName>
    <definedName name="fgfgfgf">obrotówka!#REF!</definedName>
    <definedName name="finansowanie">[9]Arkusz2!$H$1:$H$5</definedName>
    <definedName name="Format" localSheetId="7">#REF!</definedName>
    <definedName name="Format" localSheetId="6">#REF!</definedName>
    <definedName name="Format">#REF!</definedName>
    <definedName name="Geschäftsjahr_Stichtag" localSheetId="7">#REF!</definedName>
    <definedName name="Geschäftsjahr_Stichtag" localSheetId="6">#REF!</definedName>
    <definedName name="Geschäftsjahr_Stichtag">#REF!</definedName>
    <definedName name="ghd">#N/A</definedName>
    <definedName name="GMINY">[19]Słowniki!$E$5:$E$162</definedName>
    <definedName name="GP">[19]Słowniki!$G$6:$G$8</definedName>
    <definedName name="GrupyInw">[12]Cennik!$C$2:$C$129</definedName>
    <definedName name="h">#N/A</definedName>
    <definedName name="Header" localSheetId="7">#REF!</definedName>
    <definedName name="Header" localSheetId="6">#REF!</definedName>
    <definedName name="Header">#REF!</definedName>
    <definedName name="huha">#N/A</definedName>
    <definedName name="i" localSheetId="7">#REF!</definedName>
    <definedName name="i" localSheetId="6">#REF!</definedName>
    <definedName name="i">#REF!</definedName>
    <definedName name="ias">[20]ster!$B$12</definedName>
    <definedName name="ilosc1q">[12]Arkusz1!#REF!</definedName>
    <definedName name="ilosc2q">[12]Arkusz1!#REF!</definedName>
    <definedName name="ilosc3q">[12]Arkusz1!#REF!</definedName>
    <definedName name="ilosc4q">[12]Arkusz1!#REF!</definedName>
    <definedName name="iloscrazem">[12]Arkusz1!#REF!</definedName>
    <definedName name="Index_Vorschau" localSheetId="7">#REF!</definedName>
    <definedName name="Index_Vorschau" localSheetId="6">#REF!</definedName>
    <definedName name="Index_Vorschau">#REF!</definedName>
    <definedName name="iw" localSheetId="7">#REF!</definedName>
    <definedName name="iw" localSheetId="6">#REF!</definedName>
    <definedName name="iw">#REF!</definedName>
    <definedName name="Jacek" localSheetId="7">#REF!</definedName>
    <definedName name="Jacek" localSheetId="6">#REF!</definedName>
    <definedName name="Jacek">#REF!</definedName>
    <definedName name="Jacek1" localSheetId="7">#REF!</definedName>
    <definedName name="Jacek1" localSheetId="6">#REF!</definedName>
    <definedName name="Jacek1">#REF!</definedName>
    <definedName name="jednostka">[21]Kontrahenci!$I$1:$I$118</definedName>
    <definedName name="Jerzy" localSheetId="7">#REF!</definedName>
    <definedName name="Jerzy" localSheetId="6">#REF!</definedName>
    <definedName name="Jerzy">#REF!</definedName>
    <definedName name="Jerzy1" localSheetId="7">#REF!</definedName>
    <definedName name="Jerzy1" localSheetId="6">#REF!</definedName>
    <definedName name="Jerzy1">#REF!</definedName>
    <definedName name="jj" localSheetId="7">'[22]302_06'!#REF!</definedName>
    <definedName name="jj" localSheetId="6">'[22]302_06'!#REF!</definedName>
    <definedName name="jj">'[22]302_06'!#REF!</definedName>
    <definedName name="joi" localSheetId="7" hidden="1">#REF!</definedName>
    <definedName name="joi" localSheetId="6" hidden="1">#REF!</definedName>
    <definedName name="joi" hidden="1">#REF!</definedName>
    <definedName name="justering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justering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justering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k_osobowe">#N/A</definedName>
    <definedName name="KA" localSheetId="7">#REF!</definedName>
    <definedName name="KA" localSheetId="6">#REF!</definedName>
    <definedName name="KA">#REF!</definedName>
    <definedName name="Key_SSD_Lubzel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Key_SSD_Lubzel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Key_SSD_Lubzel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kkkkkk">#N/A</definedName>
    <definedName name="klkkkjbuZ">#N/A</definedName>
    <definedName name="KodyWykazu">[12]Cennik!$A$2:$A$109</definedName>
    <definedName name="komórki_org">[23]Komórki!$C$1:$C$21</definedName>
    <definedName name="KoniecProgramu">#N/A</definedName>
    <definedName name="konta">[23]Zlecenia!$F$1:$F$15</definedName>
    <definedName name="kontrahenci">[21]Kontrahenci!$C$10:$C$199</definedName>
    <definedName name="korekta_4">[24]Korekty!$B$13</definedName>
    <definedName name="korekta_6">[24]Korekty!$B$31</definedName>
    <definedName name="korekta_8">[24]Korekty!$B$49</definedName>
    <definedName name="koszty">[25]bazy!$I$2:$I$171</definedName>
    <definedName name="koszty_osobowe">#N/A</definedName>
    <definedName name="koszty_tab">[21]bazy!$I$2:$J$171</definedName>
    <definedName name="Kwartal" localSheetId="7">#REF!</definedName>
    <definedName name="Kwartal" localSheetId="6">#REF!</definedName>
    <definedName name="Kwartal">#REF!</definedName>
    <definedName name="L" localSheetId="7">#REF!</definedName>
    <definedName name="L" localSheetId="6">#REF!</definedName>
    <definedName name="L">#REF!</definedName>
    <definedName name="limcount" hidden="1">1</definedName>
    <definedName name="Lista1">OFFSET([8]listy!$A$1,1,0,COUNTA([8]listy!$A$1:$A$65536)-1,1)</definedName>
    <definedName name="Lista10">OFFSET([8]listy!$R$1,MATCH([8]KONS!$B1,[8]listy!$R$1:$R$65536,0)-1,1,COUNTIF([8]listy!$R$1:$R$65536,[8]KONS!$B1),1)</definedName>
    <definedName name="Lista11">OFFSET([8]listy!$T$1,MATCH([8]KONS!$C1,[8]listy!$T$1:$T$65536,0)-1,1,COUNTIF([8]listy!$T$1:$T$65536,[8]KONS!$C1),1)</definedName>
    <definedName name="Lista2">OFFSET([8]listy!$B$1,MATCH([8]KONS!$B1,[8]listy!$B$1:$B$65536,0)-1,1,COUNTIF([8]listy!$B$1:$B$65536,[8]KONS!$B1),1)</definedName>
    <definedName name="Lista3">OFFSET([8]listy!$D$1,MATCH([8]KONS!$C1,[8]listy!$D$1:$D$65536,0)-1,1,COUNTIF([8]listy!$D$1:$D$65536,[8]KONS!$C1),1)</definedName>
    <definedName name="Lista4">OFFSET([8]listy!$G$1,1,0,COUNTA([8]listy!$G$1:$G$65536)-1,1)</definedName>
    <definedName name="Lista5">OFFSET([8]listy!$H$1,MATCH([8]KONS!$B1,[8]listy!$H$1:$H$65536,0)-1,1,COUNTIF([8]listy!$H$1:$H$65536,[8]KONS!$B1),1)</definedName>
    <definedName name="Lista6">OFFSET([8]listy!$J$1,MATCH([8]KONS!$C1,[8]listy!$J$1:$J$65536,0)-1,1,COUNTIF([8]listy!$J$1:$J$65536,[8]KONS!$C1),1)</definedName>
    <definedName name="Lista7">OFFSET([8]listy!$M$1,1,0,COUNTA([8]listy!$M$1:$M$65536)-1,1)</definedName>
    <definedName name="Lista8">OFFSET([8]listy!$N$1,MATCH([8]KONS!$B1,[8]listy!$N$1:$N$65536,0)-1,1,COUNTIF([8]listy!$N$1:$N$65536,[8]KONS!$B1),1)</definedName>
    <definedName name="Lista9">OFFSET([8]listy!$Q$1,1,0,COUNTA([8]listy!$Q$1:$Q$65536)-1,1)</definedName>
    <definedName name="lkj">[26]!_xlbgnm.a2</definedName>
    <definedName name="MA">[4]idx!$B$4</definedName>
    <definedName name="main__Assum_032_TB_oldornew">"old"</definedName>
    <definedName name="main__Assum_032_TB_rowins_numb">13</definedName>
    <definedName name="main__Assum_032_TB_rowins0001">"00505to00506"</definedName>
    <definedName name="main__Assum_032_TB_rowins0002">"00528to00529"</definedName>
    <definedName name="main__Assum_032_TB_rowins0003">"00551to00552"</definedName>
    <definedName name="main__Assum_032_TB_rowins0004">"00574to00575"</definedName>
    <definedName name="main__Assum_032_TB_rowins0005">"00597to00598"</definedName>
    <definedName name="main__Assum_032_TB_rowins0006">"00621to00622"</definedName>
    <definedName name="main__Assum_032_TB_rowins0007">"00644to00645"</definedName>
    <definedName name="main__Assum_032_TB_rowins0008">"00667to00668"</definedName>
    <definedName name="main__Assum_032_TB_rowins0009">"00690to00691"</definedName>
    <definedName name="main__Assum_032_TB_rowins0010">"00713to00714"</definedName>
    <definedName name="main__Assum_032_TB_rowins0011">"01535to01538"</definedName>
    <definedName name="main__Assum_032_TB_rowins0012">"01541to01550"</definedName>
    <definedName name="main__Assum_032_TB_rowins0013">"01552to01552"</definedName>
    <definedName name="MARS">[4]idx!$B$4</definedName>
    <definedName name="miesiąc">[23]Komórki!$F$1:$F$17</definedName>
    <definedName name="mm">#N/A</definedName>
    <definedName name="mmmmmmmmmmm">#N/A</definedName>
    <definedName name="Moduł2.usun_nazwiska">[17]!Moduł2.usun_nazwiska</definedName>
    <definedName name="Moduł2.usun_rodzaj">[17]!Moduł2.usun_rodzaj</definedName>
    <definedName name="Moduł2.usun_rok">[17]!Moduł2.usun_rok</definedName>
    <definedName name="Moduł2.usun_wydzial">[17]!Moduł2.usun_wydzial</definedName>
    <definedName name="Moduł2.wstaw_rodzaj">[17]!Moduł2.wstaw_rodzaj</definedName>
    <definedName name="mths">[4]idx!$J$2</definedName>
    <definedName name="Nadpłata2001">[27]Tax!$C$107</definedName>
    <definedName name="Nazwa" localSheetId="7">#REF!</definedName>
    <definedName name="Nazwa" localSheetId="6">#REF!</definedName>
    <definedName name="Nazwa">#REF!</definedName>
    <definedName name="NazwyWykazu">[12]Cennik!$D$2:$D$109</definedName>
    <definedName name="NewTable2" localSheetId="7">#REF!</definedName>
    <definedName name="NewTable2" localSheetId="6">#REF!</definedName>
    <definedName name="NewTable2">#REF!</definedName>
    <definedName name="NOWE" localSheetId="7">#REF!</definedName>
    <definedName name="NOWE" localSheetId="6">#REF!</definedName>
    <definedName name="NOWE">#REF!</definedName>
    <definedName name="nowe_spolki" localSheetId="7">#REF!</definedName>
    <definedName name="nowe_spolki" localSheetId="6">#REF!</definedName>
    <definedName name="nowe_spolki">#REF!</definedName>
    <definedName name="nowy22" localSheetId="7" hidden="1">#REF!</definedName>
    <definedName name="nowy22" localSheetId="6" hidden="1">#REF!</definedName>
    <definedName name="nowy22" hidden="1">#REF!</definedName>
    <definedName name="nowy23" localSheetId="7" hidden="1">#REF!</definedName>
    <definedName name="nowy23" localSheetId="6" hidden="1">#REF!</definedName>
    <definedName name="nowy23" hidden="1">#REF!</definedName>
    <definedName name="nowy24" localSheetId="7" hidden="1">#REF!</definedName>
    <definedName name="nowy24" localSheetId="6" hidden="1">#REF!</definedName>
    <definedName name="nowy24" hidden="1">#REF!</definedName>
    <definedName name="nowy4" localSheetId="7" hidden="1">#REF!</definedName>
    <definedName name="nowy4" localSheetId="6" hidden="1">#REF!</definedName>
    <definedName name="nowy4" hidden="1">#REF!</definedName>
    <definedName name="nowy5" localSheetId="7" hidden="1">#REF!</definedName>
    <definedName name="nowy5" localSheetId="6" hidden="1">#REF!</definedName>
    <definedName name="nowy5" hidden="1">#REF!</definedName>
    <definedName name="nowy6" localSheetId="7" hidden="1">#REF!</definedName>
    <definedName name="nowy6" localSheetId="6" hidden="1">#REF!</definedName>
    <definedName name="nowy6" hidden="1">#REF!</definedName>
    <definedName name="nowy7" localSheetId="7" hidden="1">#REF!</definedName>
    <definedName name="nowy7" localSheetId="6" hidden="1">#REF!</definedName>
    <definedName name="nowy7" hidden="1">#REF!</definedName>
    <definedName name="nowy8" localSheetId="7" hidden="1">#REF!</definedName>
    <definedName name="nowy8" localSheetId="6" hidden="1">#REF!</definedName>
    <definedName name="nowy8" hidden="1">#REF!</definedName>
    <definedName name="NumInwentarz">[12]WykazSESKO!$C$2:$C$1531</definedName>
    <definedName name="_xlnm.Print_Area" localSheetId="7">'FC Spr.z syt.finans.'!$A$1:$C$83</definedName>
    <definedName name="_xlnm.Print_Area" localSheetId="6">Przepływy!$A$1:$A$212</definedName>
    <definedName name="_xlnm.Print_Area" localSheetId="4">'RZiS, koszty rodz.'!$A$1:$B$470</definedName>
    <definedName name="_xlnm.Print_Area" localSheetId="13">'wycena rezerw aktuarialnych'!$A$1:$M$21</definedName>
    <definedName name="Obszar_wydruku_MI" localSheetId="7">#REF!</definedName>
    <definedName name="Obszar_wydruku_MI" localSheetId="6">#REF!</definedName>
    <definedName name="Obszar_wydruku_MI">#REF!</definedName>
    <definedName name="Okr" localSheetId="7">#REF!</definedName>
    <definedName name="Okr" localSheetId="6">#REF!</definedName>
    <definedName name="Okr">#REF!</definedName>
    <definedName name="Okres" localSheetId="7">#REF!</definedName>
    <definedName name="Okres" localSheetId="6">#REF!</definedName>
    <definedName name="Okres">#REF!</definedName>
    <definedName name="OPERACJE_ODSPRZEDAŻY_FORWARD_MARZEC" localSheetId="7">#REF!</definedName>
    <definedName name="OPERACJE_ODSPRZEDAŻY_FORWARD_MARZEC" localSheetId="6">#REF!</definedName>
    <definedName name="OPERACJE_ODSPRZEDAŻY_FORWARD_MARZEC">#REF!</definedName>
    <definedName name="OPIS">#N/A</definedName>
    <definedName name="Opis1">#N/A</definedName>
    <definedName name="Opis2">#N/A</definedName>
    <definedName name="Opis3">#N/A</definedName>
    <definedName name="other_Assum_032_TB_oldornew">"new"</definedName>
    <definedName name="other_Assum_032_TB_rowins_numb">5</definedName>
    <definedName name="other_Assum_032_TB_rowins0001">"00093to00097"</definedName>
    <definedName name="other_Assum_032_TB_rowins0002">"00101to00101"</definedName>
    <definedName name="other_Assum_032_TB_rowins0003">"00104to00119"</definedName>
    <definedName name="other_Assum_032_TB_rowins0004">"00848to00848"</definedName>
    <definedName name="other_Assum_032_TB_rowins0005">"01123to01123"</definedName>
    <definedName name="pas">[20]ster!$B$10</definedName>
    <definedName name="paskorekty">[20]ster!$B$11</definedName>
    <definedName name="pasywabież">[28]Bilans!$C$41</definedName>
    <definedName name="pasywapośr">[28]Bilans!$D$41</definedName>
    <definedName name="początek">[11]TGE!$A$1</definedName>
    <definedName name="PR" localSheetId="7">#REF!</definedName>
    <definedName name="PR" localSheetId="6">#REF!</definedName>
    <definedName name="PR">#REF!</definedName>
    <definedName name="PRINT_TITLES_MI" localSheetId="7">'[29]PBC-VCON009A'!#REF!</definedName>
    <definedName name="PRINT_TITLES_MI" localSheetId="6">'[29]PBC-VCON009A'!#REF!</definedName>
    <definedName name="PRINT_TITLES_MI">'[29]PBC-VCON009A'!#REF!</definedName>
    <definedName name="Projekt">[19]Słowniki!$H$5:$H$6</definedName>
    <definedName name="PrzeliczWszystkieArkusze">#N/A</definedName>
    <definedName name="Przychody_a" localSheetId="7">#REF!</definedName>
    <definedName name="Przychody_a" localSheetId="6">#REF!</definedName>
    <definedName name="Przychody_a">#REF!</definedName>
    <definedName name="q">#N/A</definedName>
    <definedName name="qqw">#N/A</definedName>
    <definedName name="qw">#N/A</definedName>
    <definedName name="rachunek">#REF!</definedName>
    <definedName name="RawData" localSheetId="7">#REF!</definedName>
    <definedName name="RawData" localSheetId="6">#REF!</definedName>
    <definedName name="RawData">#REF!</definedName>
    <definedName name="ref1k">[25]idx!$O$6</definedName>
    <definedName name="ref1p">[4]idx!$N$6</definedName>
    <definedName name="ref1s">[4]idx!$L$6</definedName>
    <definedName name="ref1w">[4]idx!$P$6</definedName>
    <definedName name="ref1z">[4]idx!$M$6</definedName>
    <definedName name="ref2k">[4]idx!$O$7</definedName>
    <definedName name="ref2p">[4]idx!$N$7</definedName>
    <definedName name="ref2s">[4]idx!$L$7</definedName>
    <definedName name="ref2w">[4]idx!$P$7</definedName>
    <definedName name="ref2z">[4]idx!$M$7</definedName>
    <definedName name="rek">[7]lista!$A$46</definedName>
    <definedName name="rezerwa">#N/A</definedName>
    <definedName name="rezerwa2">#N/A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500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J">[19]Słowniki!$J$5:$J$6</definedName>
    <definedName name="RowColumnAligned">TRUE</definedName>
    <definedName name="RowColumnInsInfo">TRUE</definedName>
    <definedName name="s">#N/A</definedName>
    <definedName name="sa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sa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sa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sdfwagrt">#N/A</definedName>
    <definedName name="sencount" hidden="1">1</definedName>
    <definedName name="sfrdbgfbgfb">#N/A</definedName>
    <definedName name="SI" localSheetId="7">#REF!</definedName>
    <definedName name="SI" localSheetId="6">#REF!</definedName>
    <definedName name="SI">#REF!</definedName>
    <definedName name="SlownieG">#N/A</definedName>
    <definedName name="SlownieZ">#N/A</definedName>
    <definedName name="spolki_CF_2005">#N/A</definedName>
    <definedName name="ss" localSheetId="7">#REF!</definedName>
    <definedName name="ss" localSheetId="6">#REF!</definedName>
    <definedName name="ss">#REF!</definedName>
    <definedName name="sss">#N/A</definedName>
    <definedName name="sssssssss" localSheetId="7">#REF!</definedName>
    <definedName name="sssssssss" localSheetId="6">#REF!</definedName>
    <definedName name="sssssssss">#REF!</definedName>
    <definedName name="sssssssssssss" localSheetId="7">#REF!</definedName>
    <definedName name="sssssssssssss" localSheetId="6">#REF!</definedName>
    <definedName name="sssssssssssss">#REF!</definedName>
    <definedName name="stampa1" localSheetId="7">#REF!</definedName>
    <definedName name="stampa1" localSheetId="6">#REF!</definedName>
    <definedName name="stampa1">#REF!</definedName>
    <definedName name="stampa2" localSheetId="7">#REF!</definedName>
    <definedName name="stampa2" localSheetId="6">#REF!</definedName>
    <definedName name="stampa2">#REF!</definedName>
    <definedName name="Status">[19]Słowniki!$B$5:$B$9</definedName>
    <definedName name="stawka">[9]Arkusz2!$J$1:$J$25</definedName>
    <definedName name="sty">[5]ZE_w05!$D$2</definedName>
    <definedName name="t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33_" localSheetId="7">'[1]302_06'!#REF!</definedName>
    <definedName name="T33_" localSheetId="6">'[1]302_06'!#REF!</definedName>
    <definedName name="T33_">'[1]302_06'!#REF!</definedName>
    <definedName name="tab_2_zbiorcza">#N/A</definedName>
    <definedName name="Tabela3a">#N/A</definedName>
    <definedName name="test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0" localSheetId="1">'bilans '!$A$2:$D$604</definedName>
    <definedName name="TEST0" localSheetId="7">#REF!</definedName>
    <definedName name="TEST0" localSheetId="6">#REF!</definedName>
    <definedName name="TEST0" localSheetId="4">#REF!</definedName>
    <definedName name="TEST0">obrotówka!$A$3:$J$590</definedName>
    <definedName name="TEST1" localSheetId="7">[14]Baza.Moduł.MM!#REF!</definedName>
    <definedName name="TEST1" localSheetId="6">[14]Baza.Moduł.MM!#REF!</definedName>
    <definedName name="TEST1">[14]Baza.Moduł.MM!#REF!</definedName>
    <definedName name="TEST10" localSheetId="7">#REF!</definedName>
    <definedName name="TEST10" localSheetId="6">#REF!</definedName>
    <definedName name="TEST10">#REF!</definedName>
    <definedName name="TEST11" localSheetId="7">#REF!</definedName>
    <definedName name="TEST11" localSheetId="6">#REF!</definedName>
    <definedName name="TEST11">#REF!</definedName>
    <definedName name="TEST12" localSheetId="7">#REF!</definedName>
    <definedName name="TEST12" localSheetId="6">#REF!</definedName>
    <definedName name="TEST12">#REF!</definedName>
    <definedName name="TEST17" localSheetId="7">#REF!</definedName>
    <definedName name="TEST17" localSheetId="6">#REF!</definedName>
    <definedName name="TEST17">#REF!</definedName>
    <definedName name="TEST18" localSheetId="7">#REF!</definedName>
    <definedName name="TEST18" localSheetId="6">#REF!</definedName>
    <definedName name="TEST18">#REF!</definedName>
    <definedName name="TEST19" localSheetId="7">#REF!</definedName>
    <definedName name="TEST19" localSheetId="6">#REF!</definedName>
    <definedName name="TEST19">#REF!</definedName>
    <definedName name="TEST2" localSheetId="7">#REF!</definedName>
    <definedName name="TEST2" localSheetId="6">#REF!</definedName>
    <definedName name="TEST2">#REF!</definedName>
    <definedName name="TEST20" localSheetId="7">#REF!</definedName>
    <definedName name="TEST20" localSheetId="6">#REF!</definedName>
    <definedName name="TEST20">#REF!</definedName>
    <definedName name="TEST21" localSheetId="7">#REF!</definedName>
    <definedName name="TEST21" localSheetId="6">#REF!</definedName>
    <definedName name="TEST21">#REF!</definedName>
    <definedName name="TEST22" localSheetId="7">#REF!</definedName>
    <definedName name="TEST22" localSheetId="6">#REF!</definedName>
    <definedName name="TEST22">#REF!</definedName>
    <definedName name="TEST23" localSheetId="7">#REF!</definedName>
    <definedName name="TEST23" localSheetId="6">#REF!</definedName>
    <definedName name="TEST23">#REF!</definedName>
    <definedName name="TEST24" localSheetId="7">#REF!</definedName>
    <definedName name="TEST24" localSheetId="6">#REF!</definedName>
    <definedName name="TEST24">#REF!</definedName>
    <definedName name="TEST3" localSheetId="7">#REF!</definedName>
    <definedName name="TEST3" localSheetId="6">#REF!</definedName>
    <definedName name="TEST3">#REF!</definedName>
    <definedName name="TEST4" localSheetId="7">#REF!</definedName>
    <definedName name="TEST4" localSheetId="6">#REF!</definedName>
    <definedName name="TEST4">#REF!</definedName>
    <definedName name="TEST5" localSheetId="7">#REF!</definedName>
    <definedName name="TEST5" localSheetId="6">#REF!</definedName>
    <definedName name="TEST5">#REF!</definedName>
    <definedName name="TEST6" localSheetId="7">#REF!</definedName>
    <definedName name="TEST6" localSheetId="6">#REF!</definedName>
    <definedName name="TEST6">#REF!</definedName>
    <definedName name="TEST7" localSheetId="7">#REF!</definedName>
    <definedName name="TEST7" localSheetId="6">#REF!</definedName>
    <definedName name="TEST7">#REF!</definedName>
    <definedName name="TEST8" localSheetId="7">#REF!</definedName>
    <definedName name="TEST8" localSheetId="6">#REF!</definedName>
    <definedName name="TEST8">#REF!</definedName>
    <definedName name="TEST9" localSheetId="7">#REF!</definedName>
    <definedName name="TEST9" localSheetId="6">#REF!</definedName>
    <definedName name="TEST9">#REF!</definedName>
    <definedName name="testa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a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a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a2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a2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a2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HKEY" localSheetId="1">'bilans '!#REF!</definedName>
    <definedName name="TESTHKEY" localSheetId="7">#REF!</definedName>
    <definedName name="TESTHKEY" localSheetId="6">#REF!</definedName>
    <definedName name="TESTHKEY" localSheetId="4">#REF!</definedName>
    <definedName name="TESTHKEY">obrotówka!$C$1:$J$2</definedName>
    <definedName name="TESTKEYS" localSheetId="1">'bilans '!#REF!</definedName>
    <definedName name="TESTKEYS" localSheetId="7">#REF!</definedName>
    <definedName name="TESTKEYS" localSheetId="6">#REF!</definedName>
    <definedName name="TESTKEYS" localSheetId="4">#REF!</definedName>
    <definedName name="TESTKEYS">obrotówka!#REF!</definedName>
    <definedName name="TESTVKEY" localSheetId="1">'bilans '!#REF!</definedName>
    <definedName name="TESTVKEY" localSheetId="7">#REF!</definedName>
    <definedName name="TESTVKEY" localSheetId="6">#REF!</definedName>
    <definedName name="TESTVKEY" localSheetId="4">#REF!</definedName>
    <definedName name="TESTVKEY">obrotówka!#REF!</definedName>
    <definedName name="testx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x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estx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e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e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re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tttttttttttt">#N/A</definedName>
    <definedName name="Tytul1">#REF!</definedName>
    <definedName name="_xlnm.Print_Titles" localSheetId="7">'FC Spr.z syt.finans.'!$3:$3</definedName>
    <definedName name="TZI">'[30]PRACE MOD-ODTWORZ'!$A$3:$H$3</definedName>
    <definedName name="usługi_oce" localSheetId="7">[8]KONS!#REF!</definedName>
    <definedName name="usługi_oce" localSheetId="6">[8]KONS!#REF!</definedName>
    <definedName name="usługi_oce">[8]KONS!#REF!</definedName>
    <definedName name="usługi_oce2" localSheetId="7">[31]KONS!#REF!</definedName>
    <definedName name="usługi_oce2" localSheetId="6">[31]KONS!#REF!</definedName>
    <definedName name="usługi_oce2">[31]KONS!#REF!</definedName>
    <definedName name="usługi_oce3" localSheetId="7">[31]KONS!#REF!</definedName>
    <definedName name="usługi_oce3" localSheetId="6">[31]KONS!#REF!</definedName>
    <definedName name="usługi_oce3">[31]KONS!#REF!</definedName>
    <definedName name="usługi_oce4" localSheetId="7">[31]KONS!#REF!</definedName>
    <definedName name="usługi_oce4" localSheetId="6">[31]KONS!#REF!</definedName>
    <definedName name="usługi_oce4">[31]KONS!#REF!</definedName>
    <definedName name="usługi_oce6" localSheetId="7">[31]KONS!#REF!</definedName>
    <definedName name="usługi_oce6" localSheetId="6">[31]KONS!#REF!</definedName>
    <definedName name="usługi_oce6">[31]KONS!#REF!</definedName>
    <definedName name="UstawArkusz">#N/A</definedName>
    <definedName name="usun_godziny">[16]!usun_godziny</definedName>
    <definedName name="usun_urlopy">[16]!usun_urlopy</definedName>
    <definedName name="v">#N/A</definedName>
    <definedName name="Volumen">[11]TGE!$AL$3</definedName>
    <definedName name="Vorjahr_Stichtag" localSheetId="7">#REF!</definedName>
    <definedName name="Vorjahr_Stichtag" localSheetId="6">#REF!</definedName>
    <definedName name="Vorjahr_Stichtag">#REF!</definedName>
    <definedName name="Waluta">[9]Arkusz2!$B$1:$B$8</definedName>
    <definedName name="wer">[32]idx!$B$23:$B$35</definedName>
    <definedName name="wer_">[32]idx!$C$23:$C$35</definedName>
    <definedName name="wew">#N/A</definedName>
    <definedName name="WO" localSheetId="7">#REF!</definedName>
    <definedName name="WO" localSheetId="6">#REF!</definedName>
    <definedName name="WO">#REF!</definedName>
    <definedName name="wpisz">[17]!wpisz</definedName>
    <definedName name="wq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1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1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qwer1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rn" localSheetId="7" hidden="1">{#N/A,#N/A,TRUE,"F-1";#N/A,#N/A,TRUE,"F-2"}</definedName>
    <definedName name="wrn" localSheetId="6" hidden="1">{#N/A,#N/A,TRUE,"F-1";#N/A,#N/A,TRUE,"F-2"}</definedName>
    <definedName name="wrn" hidden="1">{#N/A,#N/A,TRUE,"F-1";#N/A,#N/A,TRUE,"F-2"}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sumption._.Book." localSheetId="7" hidden="1">{#N/A,#N/A,FALSE,"Model Assumptions"}</definedName>
    <definedName name="wrn.Assumption._.Book." localSheetId="6" hidden="1">{#N/A,#N/A,FALSE,"Model Assumptions"}</definedName>
    <definedName name="wrn.Assumption._.Book." hidden="1">{#N/A,#N/A,FALSE,"Model Assumptions"}</definedName>
    <definedName name="wrn.PBC._.Drukowane." localSheetId="7" hidden="1">{#N/A,#N/A,TRUE,"F-1";#N/A,#N/A,TRUE,"F-2"}</definedName>
    <definedName name="wrn.PBC._.Drukowane." localSheetId="6" hidden="1">{#N/A,#N/A,TRUE,"F-1";#N/A,#N/A,TRUE,"F-2"}</definedName>
    <definedName name="wrn.PBC._.Drukowane." hidden="1">{#N/A,#N/A,TRUE,"F-1";#N/A,#N/A,TRUE,"F-2"}</definedName>
    <definedName name="wrn.Print._.All._.A4." localSheetId="7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localSheetId="6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7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localSheetId="6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Model." localSheetId="7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localSheetId="6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Results._.A4." localSheetId="7" hidden="1">{"Valuation",#N/A,TRUE,"Valuation Summary";"Financial Statements",#N/A,TRUE,"Results";"Results",#N/A,TRUE,"Results";"Ratios",#N/A,TRUE,"Results";"P2 Summary",#N/A,TRUE,"Results"}</definedName>
    <definedName name="wrn.Print._.Results._.A4." localSheetId="6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7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localSheetId="6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whole._.Report." localSheetId="7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localSheetId="6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localSheetId="7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localSheetId="6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Valuation._.Summaries." localSheetId="7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localSheetId="6" hidden="1">{#N/A,#N/A,FALSE,"Cover Sheet";#N/A,#N/A,FALSE,"Financial Assumptions";#N/A,#N/A,FALSE,"DCFOverviewPower";#N/A,#N/A,FALSE,"DCFOverviewGas";#N/A,#N/A,FALSE,"DCFOverviewWater";#N/A,#N/A,FALSE,"DCFOverviewVersorgung"}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localSheetId="7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localSheetId="6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Warsaw._.model.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rn.Warsaw._.model.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rn.Warsaw._.model.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skazn">#REF!</definedName>
    <definedName name="wsq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sq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sq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staw">#N/A</definedName>
    <definedName name="wstaw_godziny">[16]!wstaw_godziny</definedName>
    <definedName name="wstaw_nazwiska">[17]!wstaw_nazwiska</definedName>
    <definedName name="wstaw_rok">[17]!wstaw_rok</definedName>
    <definedName name="wstaw_urlopy">[16]!wstaw_urlopy</definedName>
    <definedName name="wstaw_wydzial">[17]!wstaw_wydzial</definedName>
    <definedName name="ww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w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w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www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www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www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wydruk" localSheetId="7">#REF!</definedName>
    <definedName name="wydruk" localSheetId="6">#REF!</definedName>
    <definedName name="wydruk">#REF!</definedName>
    <definedName name="WykazKomp">[12]WykazSESKO!$A$2:$N$1523</definedName>
    <definedName name="wypisz">[17]!wypisz</definedName>
    <definedName name="WZI" localSheetId="7">#REF!</definedName>
    <definedName name="WZI" localSheetId="6">#REF!</definedName>
    <definedName name="WZI">#REF!</definedName>
    <definedName name="xcxdxd" localSheetId="7">#REF!</definedName>
    <definedName name="xcxdxd" localSheetId="6">#REF!</definedName>
    <definedName name="xcxdxd">#REF!</definedName>
    <definedName name="xd">[26]!_xlbgnm.cf1</definedName>
    <definedName name="xdrxdrxdr">#N/A</definedName>
    <definedName name="Z" localSheetId="7">#REF!</definedName>
    <definedName name="Z" localSheetId="6">#REF!</definedName>
    <definedName name="Z">#REF!</definedName>
    <definedName name="zadania">'[33]plan operacyjny 2009'!$C$143:$C$146</definedName>
    <definedName name="Zak" localSheetId="7">#REF!</definedName>
    <definedName name="Zak" localSheetId="6">#REF!</definedName>
    <definedName name="Zak">#REF!</definedName>
    <definedName name="Zapasy_PM">#N/A</definedName>
    <definedName name="zapisz">#N/A</definedName>
    <definedName name="zbitka">[34]zbitka!$C$3:$H$488</definedName>
    <definedName name="zcxcvb" localSheetId="7">#REF!</definedName>
    <definedName name="zcxcvb" localSheetId="6">#REF!</definedName>
    <definedName name="zcxcvb">#REF!</definedName>
    <definedName name="ZE" localSheetId="7">#REF!</definedName>
    <definedName name="ZE" localSheetId="6">#REF!</definedName>
    <definedName name="ZE">#REF!</definedName>
    <definedName name="Zestawienie">[11]TGE!$CJ$3</definedName>
    <definedName name="ZFSS" localSheetId="7">#REF!</definedName>
    <definedName name="ZFSS" localSheetId="6">#REF!</definedName>
    <definedName name="ZFSS">#REF!</definedName>
    <definedName name="ZKW" localSheetId="7">#REF!</definedName>
    <definedName name="ZKW" localSheetId="6">#REF!</definedName>
    <definedName name="ZKW">#REF!</definedName>
    <definedName name="zlecenia">[23]Zlecenia!$A$1:$A$140</definedName>
    <definedName name="zlecenia_tab">[25]bazy!$F$2:$G$123</definedName>
    <definedName name="zobowiązanie">#N/A</definedName>
    <definedName name="zsazasd" localSheetId="7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zsazasd" localSheetId="6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zsazasd" hidden="1">{#N/A,#N/A,TRUE,"FRONT PAGE";#N/A,#N/A,TRUE,"INCOME STATEMENT";#N/A,#N/A,TRUE,"BALANCE SHEET";#N/A,#N/A,TRUE,"CASH FLOW";#N/A,#N/A,TRUE,"SALES REVENUES";#N/A,#N/A,TRUE,"FUEL CONSUMPTION";#N/A,#N/A,TRUE,"PERSONNEL COSTS";#N/A,#N/A,TRUE,"ADMINISTRATIVE COSTS";#N/A,#N/A,TRUE,"O&amp;M MATERIAL AND OTHER COSTS";#N/A,#N/A,TRUE,"OTHER REVENUES AND COSTS";#N/A,#N/A,TRUE,"WORKING CAPITAL";#N/A,#N/A,TRUE,"INVESTMENTS";#N/A,#N/A,TRUE,"FINANCING";#N/A,#N/A,TRUE,"DIVIDENDS";#N/A,#N/A,TRUE,"ECONOMIC INDICATORS"}</definedName>
    <definedName name="ZU" localSheetId="7">#REF!</definedName>
    <definedName name="ZU" localSheetId="6">#REF!</definedName>
    <definedName name="ZU">#REF!</definedName>
    <definedName name="zzzzzzzzzzzzzzzzzzzz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14" l="1"/>
  <c r="D13" i="14"/>
  <c r="D9" i="14"/>
  <c r="D6" i="14"/>
  <c r="D4" i="14"/>
  <c r="D15" i="14"/>
  <c r="C469" i="4" l="1"/>
  <c r="D29" i="31"/>
  <c r="B428" i="4"/>
  <c r="E420" i="48" l="1"/>
  <c r="E418" i="48"/>
  <c r="I420" i="48"/>
  <c r="B502" i="48" l="1"/>
  <c r="D64" i="50"/>
  <c r="I64" i="50"/>
  <c r="B87" i="47" l="1"/>
  <c r="C87" i="47"/>
  <c r="I43" i="28" l="1"/>
  <c r="I38" i="28"/>
  <c r="D15" i="61" l="1"/>
  <c r="F15" i="61"/>
  <c r="E15" i="61"/>
  <c r="F12" i="61"/>
  <c r="E12" i="61"/>
  <c r="D12" i="61"/>
  <c r="D30" i="31"/>
  <c r="A429" i="4"/>
  <c r="B429" i="4"/>
  <c r="B452" i="4"/>
  <c r="B312" i="4"/>
  <c r="B113" i="4" l="1"/>
  <c r="B82" i="3" l="1"/>
  <c r="G59" i="58" l="1"/>
  <c r="H48" i="58"/>
  <c r="F48" i="58"/>
  <c r="G48" i="58"/>
  <c r="G61" i="58"/>
  <c r="H58" i="58"/>
  <c r="H19" i="57" l="1"/>
  <c r="G11" i="28" l="1"/>
  <c r="B137" i="4" l="1"/>
  <c r="B460" i="4"/>
  <c r="B459" i="4"/>
  <c r="B63" i="50" s="1"/>
  <c r="I56" i="50" s="1"/>
  <c r="B184" i="4"/>
  <c r="B497" i="48" s="1"/>
  <c r="B99" i="3" l="1"/>
  <c r="H112" i="3" l="1"/>
  <c r="H113" i="3"/>
  <c r="H140" i="3"/>
  <c r="I69" i="65" l="1"/>
  <c r="I8" i="65"/>
  <c r="I22" i="65"/>
  <c r="K66" i="65"/>
  <c r="K53" i="65"/>
  <c r="K54" i="65"/>
  <c r="K55" i="65"/>
  <c r="K56" i="65"/>
  <c r="K58" i="65"/>
  <c r="K59" i="65"/>
  <c r="K60" i="65"/>
  <c r="K61" i="65"/>
  <c r="K62" i="65"/>
  <c r="K52" i="65"/>
  <c r="K45" i="65"/>
  <c r="K46" i="65"/>
  <c r="K47" i="65"/>
  <c r="K48" i="65"/>
  <c r="K49" i="65"/>
  <c r="K50" i="65"/>
  <c r="K37" i="65"/>
  <c r="K38" i="65"/>
  <c r="K36" i="65"/>
  <c r="K21" i="65"/>
  <c r="K23" i="65"/>
  <c r="K24" i="65"/>
  <c r="K25" i="65"/>
  <c r="K26" i="65"/>
  <c r="K27" i="65"/>
  <c r="K28" i="65"/>
  <c r="K29" i="65"/>
  <c r="K31" i="65"/>
  <c r="K32" i="65"/>
  <c r="K33" i="65"/>
  <c r="K20" i="65"/>
  <c r="K19" i="65"/>
  <c r="K18" i="65"/>
  <c r="K17" i="65"/>
  <c r="F36" i="48" l="1"/>
  <c r="B20" i="63" l="1"/>
  <c r="C20" i="63"/>
  <c r="D20" i="63"/>
  <c r="E20" i="63"/>
  <c r="F20" i="63"/>
  <c r="G20" i="63"/>
  <c r="H20" i="63"/>
  <c r="I20" i="63"/>
  <c r="J20" i="63"/>
  <c r="K20" i="63"/>
  <c r="L20" i="63"/>
  <c r="A20" i="63"/>
  <c r="H82" i="57" l="1"/>
  <c r="H83" i="57" s="1"/>
  <c r="G83" i="57"/>
  <c r="H57" i="58" l="1"/>
  <c r="B325" i="4" l="1"/>
  <c r="B112" i="4"/>
  <c r="B118" i="4" l="1"/>
  <c r="B41" i="3"/>
  <c r="B38" i="3" l="1"/>
  <c r="B39" i="3"/>
  <c r="B158" i="3"/>
  <c r="B159" i="3"/>
  <c r="B321" i="4"/>
  <c r="I311" i="4" s="1"/>
  <c r="B221" i="3" l="1"/>
  <c r="F44" i="65" s="1"/>
  <c r="G50" i="63"/>
  <c r="K44" i="65" l="1"/>
  <c r="F64" i="65"/>
  <c r="K64" i="65" s="1"/>
  <c r="E11" i="61"/>
  <c r="D11" i="61"/>
  <c r="F47" i="58"/>
  <c r="G47" i="58"/>
  <c r="F61" i="58"/>
  <c r="H47" i="58" l="1"/>
  <c r="F11" i="61"/>
  <c r="G58" i="63"/>
  <c r="B37" i="3" l="1"/>
  <c r="B128" i="3" l="1"/>
  <c r="C119" i="47" l="1"/>
  <c r="B108" i="3" l="1"/>
  <c r="B125" i="3"/>
  <c r="G94" i="54" l="1"/>
  <c r="G99" i="54"/>
  <c r="B53" i="28" l="1"/>
  <c r="D30" i="28"/>
  <c r="A15" i="63" l="1"/>
  <c r="B15" i="63"/>
  <c r="C15" i="63"/>
  <c r="E15" i="63"/>
  <c r="F15" i="63"/>
  <c r="H15" i="63"/>
  <c r="I15" i="63"/>
  <c r="J15" i="63"/>
  <c r="K15" i="63"/>
  <c r="L15" i="63"/>
  <c r="B157" i="4" l="1"/>
  <c r="B158" i="4"/>
  <c r="I25" i="11" l="1"/>
  <c r="D155" i="46" l="1"/>
  <c r="B433" i="3" l="1"/>
  <c r="B429" i="3"/>
  <c r="F50" i="63" l="1"/>
  <c r="E50" i="63"/>
  <c r="C84" i="50"/>
  <c r="G54" i="50"/>
  <c r="C66" i="49"/>
  <c r="F491" i="48"/>
  <c r="G505" i="48"/>
  <c r="C75" i="48"/>
  <c r="C66" i="48"/>
  <c r="B60" i="48"/>
  <c r="F89" i="46"/>
  <c r="F90" i="46"/>
  <c r="F91" i="46"/>
  <c r="E91" i="46"/>
  <c r="F88" i="46"/>
  <c r="D37" i="46"/>
  <c r="D38" i="46"/>
  <c r="D39" i="46"/>
  <c r="D40" i="46"/>
  <c r="D41" i="46"/>
  <c r="D42" i="46"/>
  <c r="D45" i="46"/>
  <c r="D46" i="46"/>
  <c r="D47" i="46"/>
  <c r="D50" i="46"/>
  <c r="D51" i="46"/>
  <c r="D53" i="46"/>
  <c r="D54" i="46"/>
  <c r="D59" i="46"/>
  <c r="D58" i="46" s="1"/>
  <c r="D62" i="46"/>
  <c r="D65" i="46"/>
  <c r="D66" i="46"/>
  <c r="D69" i="46"/>
  <c r="D72" i="46"/>
  <c r="D73" i="46"/>
  <c r="D75" i="46"/>
  <c r="D76" i="46"/>
  <c r="D77" i="46"/>
  <c r="D78" i="46"/>
  <c r="D71" i="46" l="1"/>
  <c r="D64" i="46"/>
  <c r="D49" i="46"/>
  <c r="D56" i="46" s="1"/>
  <c r="D80" i="46"/>
  <c r="D81" i="46" s="1"/>
  <c r="D83" i="46" s="1"/>
  <c r="C202" i="47" l="1"/>
  <c r="C154" i="47" l="1"/>
  <c r="B197" i="3" l="1"/>
  <c r="B196" i="3"/>
  <c r="E38" i="63" l="1"/>
  <c r="D34" i="48" s="1"/>
  <c r="G57" i="65" s="1"/>
  <c r="D27" i="48"/>
  <c r="G22" i="65" s="1"/>
  <c r="B32" i="63"/>
  <c r="J29" i="31" l="1"/>
  <c r="B427" i="4"/>
  <c r="J35" i="61"/>
  <c r="E24" i="61" s="1"/>
  <c r="J32" i="61"/>
  <c r="E23" i="61" s="1"/>
  <c r="J30" i="61"/>
  <c r="J33" i="61" l="1"/>
  <c r="J36" i="61"/>
  <c r="H51" i="28"/>
  <c r="H50" i="28"/>
  <c r="H47" i="28"/>
  <c r="I37" i="28" s="1"/>
  <c r="H48" i="28"/>
  <c r="H46" i="28"/>
  <c r="G23" i="28" l="1"/>
  <c r="B434" i="4" l="1"/>
  <c r="D43" i="50" l="1"/>
  <c r="C420" i="48"/>
  <c r="B376" i="4" l="1"/>
  <c r="B80" i="3"/>
  <c r="C502" i="48" l="1"/>
  <c r="B562" i="4" l="1"/>
  <c r="B491" i="48" l="1"/>
  <c r="M445" i="48" l="1"/>
  <c r="M447" i="48"/>
  <c r="M449" i="48"/>
  <c r="D17" i="14" l="1"/>
  <c r="D139" i="12" s="1"/>
  <c r="D181" i="12" s="1"/>
  <c r="B298" i="3" l="1"/>
  <c r="B290" i="4" l="1"/>
  <c r="G57" i="63"/>
  <c r="G56" i="63"/>
  <c r="B14" i="7" l="1"/>
  <c r="D14" i="7"/>
  <c r="E14" i="7"/>
  <c r="F14" i="7"/>
  <c r="G14" i="7"/>
  <c r="F13" i="7"/>
  <c r="E13" i="7"/>
  <c r="F11" i="7"/>
  <c r="E11" i="7"/>
  <c r="G7" i="7"/>
  <c r="G8" i="7"/>
  <c r="G6" i="7"/>
  <c r="I65" i="11"/>
  <c r="J19" i="12"/>
  <c r="G15" i="28" l="1"/>
  <c r="G16" i="28"/>
  <c r="B394" i="4" l="1"/>
  <c r="B291" i="4" l="1"/>
  <c r="B94" i="3"/>
  <c r="B276" i="3"/>
  <c r="B277" i="3"/>
  <c r="B320" i="3" l="1"/>
  <c r="B321" i="3"/>
  <c r="B322" i="3"/>
  <c r="B323" i="3"/>
  <c r="B324" i="3"/>
  <c r="B325" i="3"/>
  <c r="B326" i="3"/>
  <c r="B327" i="3"/>
  <c r="B328" i="3"/>
  <c r="C302" i="48" l="1"/>
  <c r="M3" i="14"/>
  <c r="M12" i="14"/>
  <c r="K3" i="14"/>
  <c r="K14" i="14"/>
  <c r="K13" i="14"/>
  <c r="M13" i="14" s="1"/>
  <c r="K4" i="14"/>
  <c r="M4" i="14" s="1"/>
  <c r="B244" i="48" s="1"/>
  <c r="K5" i="14"/>
  <c r="M5" i="14" s="1"/>
  <c r="K6" i="14"/>
  <c r="M6" i="14" s="1"/>
  <c r="K7" i="14"/>
  <c r="M7" i="14" s="1"/>
  <c r="K8" i="14"/>
  <c r="M8" i="14" s="1"/>
  <c r="K9" i="14"/>
  <c r="M9" i="14" s="1"/>
  <c r="B254" i="48" s="1"/>
  <c r="M14" i="14" l="1"/>
  <c r="F142" i="48" l="1"/>
  <c r="B154" i="4" l="1"/>
  <c r="B155" i="4"/>
  <c r="A424" i="4" l="1"/>
  <c r="B424" i="4"/>
  <c r="A174" i="4" l="1"/>
  <c r="K230" i="1"/>
  <c r="B490" i="4"/>
  <c r="B491" i="4"/>
  <c r="B80" i="4"/>
  <c r="B79" i="4" s="1"/>
  <c r="B78" i="4" s="1"/>
  <c r="B13" i="11" s="1"/>
  <c r="C46" i="46" s="1"/>
  <c r="B453" i="4"/>
  <c r="A453" i="4"/>
  <c r="I197" i="12" l="1"/>
  <c r="B441" i="3" l="1"/>
  <c r="B364" i="3"/>
  <c r="B42" i="4" l="1"/>
  <c r="B400" i="3"/>
  <c r="B489" i="4" l="1"/>
  <c r="B44" i="4"/>
  <c r="L225" i="1"/>
  <c r="J213" i="12" l="1"/>
  <c r="J211" i="12" s="1"/>
  <c r="B332" i="4"/>
  <c r="K163" i="3" l="1"/>
  <c r="I165" i="3"/>
  <c r="H164" i="3" l="1"/>
  <c r="H163" i="3"/>
  <c r="H165" i="3" l="1"/>
  <c r="K162" i="3"/>
  <c r="B409" i="3"/>
  <c r="B387" i="3" l="1"/>
  <c r="G20" i="28" l="1"/>
  <c r="D173" i="12"/>
  <c r="B542" i="4" l="1"/>
  <c r="B543" i="4"/>
  <c r="B444" i="3" l="1"/>
  <c r="B393" i="3"/>
  <c r="C10" i="17" l="1"/>
  <c r="D10" i="17" s="1"/>
  <c r="G11" i="17"/>
  <c r="H52" i="28" l="1"/>
  <c r="H49" i="28"/>
  <c r="D121" i="12"/>
  <c r="I41" i="28" l="1"/>
  <c r="I40" i="28"/>
  <c r="I157" i="12"/>
  <c r="I42" i="28" l="1"/>
  <c r="B451" i="4" l="1"/>
  <c r="B406" i="4" l="1"/>
  <c r="C34" i="48" l="1"/>
  <c r="F57" i="65" s="1"/>
  <c r="G33" i="48"/>
  <c r="D21" i="31" l="1"/>
  <c r="D22" i="31"/>
  <c r="D28" i="31"/>
  <c r="J30" i="31"/>
  <c r="E59" i="63" l="1"/>
  <c r="E33" i="63" s="1"/>
  <c r="F59" i="63"/>
  <c r="G59" i="63"/>
  <c r="I59" i="63" l="1"/>
  <c r="E37" i="63" s="1"/>
  <c r="B27" i="4"/>
  <c r="B339" i="3"/>
  <c r="B312" i="3"/>
  <c r="B291" i="3" l="1"/>
  <c r="B51" i="28" l="1"/>
  <c r="B52" i="28"/>
  <c r="B340" i="3" l="1"/>
  <c r="B341" i="3"/>
  <c r="B311" i="4" l="1"/>
  <c r="D127" i="48" l="1"/>
  <c r="D122" i="48"/>
  <c r="B4" i="3" l="1"/>
  <c r="B6" i="3"/>
  <c r="B7" i="3"/>
  <c r="B12" i="3"/>
  <c r="B13" i="3"/>
  <c r="B14" i="3"/>
  <c r="B15" i="3"/>
  <c r="B17" i="3"/>
  <c r="B16" i="3" s="1"/>
  <c r="B23" i="3"/>
  <c r="B24" i="3"/>
  <c r="B25" i="3"/>
  <c r="B469" i="3" s="1"/>
  <c r="B26" i="3"/>
  <c r="B27" i="3"/>
  <c r="B36" i="3"/>
  <c r="B40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5" i="3"/>
  <c r="B70" i="3"/>
  <c r="B71" i="3"/>
  <c r="B72" i="3"/>
  <c r="B73" i="3"/>
  <c r="B74" i="3"/>
  <c r="B179" i="12" s="1"/>
  <c r="B75" i="3"/>
  <c r="B76" i="3"/>
  <c r="B77" i="3"/>
  <c r="B78" i="3"/>
  <c r="B79" i="3"/>
  <c r="B81" i="3"/>
  <c r="B83" i="3"/>
  <c r="B84" i="3"/>
  <c r="B85" i="3"/>
  <c r="B86" i="3"/>
  <c r="B87" i="3"/>
  <c r="B88" i="3"/>
  <c r="B89" i="3"/>
  <c r="B90" i="3"/>
  <c r="B91" i="3"/>
  <c r="B92" i="3"/>
  <c r="B93" i="3"/>
  <c r="B95" i="3"/>
  <c r="B96" i="3"/>
  <c r="B97" i="3"/>
  <c r="B98" i="3"/>
  <c r="B100" i="3"/>
  <c r="B101" i="3"/>
  <c r="B102" i="3"/>
  <c r="B107" i="3"/>
  <c r="C400" i="48" s="1"/>
  <c r="B109" i="3"/>
  <c r="B110" i="3"/>
  <c r="B111" i="3"/>
  <c r="B112" i="3"/>
  <c r="B113" i="3"/>
  <c r="B114" i="3"/>
  <c r="B115" i="3"/>
  <c r="B116" i="3"/>
  <c r="B117" i="3"/>
  <c r="B118" i="3"/>
  <c r="B119" i="3"/>
  <c r="B120" i="3"/>
  <c r="B122" i="3"/>
  <c r="B123" i="3"/>
  <c r="B124" i="3"/>
  <c r="B126" i="3"/>
  <c r="B127" i="3"/>
  <c r="B129" i="3"/>
  <c r="B130" i="3"/>
  <c r="B131" i="3"/>
  <c r="B132" i="3"/>
  <c r="B133" i="3"/>
  <c r="B134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5" i="3"/>
  <c r="B156" i="3"/>
  <c r="B157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8" i="3"/>
  <c r="B179" i="3"/>
  <c r="B180" i="3"/>
  <c r="B181" i="3"/>
  <c r="B182" i="3"/>
  <c r="B216" i="3"/>
  <c r="B217" i="3"/>
  <c r="B218" i="3"/>
  <c r="B219" i="3"/>
  <c r="B220" i="3"/>
  <c r="B222" i="3"/>
  <c r="B223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2" i="3"/>
  <c r="B293" i="3"/>
  <c r="B294" i="3"/>
  <c r="B295" i="3"/>
  <c r="B296" i="3"/>
  <c r="B297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3" i="3"/>
  <c r="B314" i="3"/>
  <c r="B315" i="3"/>
  <c r="B316" i="3"/>
  <c r="B317" i="3"/>
  <c r="B318" i="3"/>
  <c r="B319" i="3"/>
  <c r="B331" i="3"/>
  <c r="B332" i="3"/>
  <c r="B333" i="3"/>
  <c r="B334" i="3"/>
  <c r="B335" i="3"/>
  <c r="B336" i="3"/>
  <c r="B337" i="3"/>
  <c r="B338" i="3"/>
  <c r="B342" i="3"/>
  <c r="B343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6" i="3"/>
  <c r="B367" i="3"/>
  <c r="B368" i="3"/>
  <c r="B369" i="3"/>
  <c r="B370" i="3"/>
  <c r="B371" i="3"/>
  <c r="B372" i="3"/>
  <c r="B373" i="3"/>
  <c r="B374" i="3"/>
  <c r="B375" i="3"/>
  <c r="B376" i="3"/>
  <c r="B378" i="3"/>
  <c r="B381" i="3"/>
  <c r="B380" i="3" s="1"/>
  <c r="B383" i="3"/>
  <c r="B384" i="3"/>
  <c r="B386" i="3"/>
  <c r="B388" i="3"/>
  <c r="B389" i="3"/>
  <c r="B390" i="3"/>
  <c r="B391" i="3"/>
  <c r="B392" i="3"/>
  <c r="B394" i="3"/>
  <c r="B395" i="3"/>
  <c r="B396" i="3"/>
  <c r="B397" i="3"/>
  <c r="B399" i="3"/>
  <c r="B401" i="3"/>
  <c r="B402" i="3"/>
  <c r="B403" i="3"/>
  <c r="B404" i="3"/>
  <c r="B405" i="3"/>
  <c r="B406" i="3"/>
  <c r="B407" i="3"/>
  <c r="B408" i="3"/>
  <c r="B410" i="3"/>
  <c r="B411" i="3"/>
  <c r="B412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30" i="3"/>
  <c r="B431" i="3"/>
  <c r="B432" i="3"/>
  <c r="B434" i="3"/>
  <c r="B435" i="3"/>
  <c r="B436" i="3"/>
  <c r="B437" i="3"/>
  <c r="B438" i="3"/>
  <c r="B439" i="3"/>
  <c r="B440" i="3"/>
  <c r="B442" i="3"/>
  <c r="B443" i="3"/>
  <c r="B445" i="3"/>
  <c r="B446" i="3"/>
  <c r="B447" i="3"/>
  <c r="B448" i="3"/>
  <c r="B449" i="3"/>
  <c r="B451" i="3"/>
  <c r="B455" i="3"/>
  <c r="B456" i="3"/>
  <c r="B457" i="3"/>
  <c r="B458" i="3"/>
  <c r="B459" i="3"/>
  <c r="B461" i="3"/>
  <c r="B464" i="3"/>
  <c r="B465" i="3"/>
  <c r="G140" i="3" l="1"/>
  <c r="G113" i="3"/>
  <c r="B164" i="47"/>
  <c r="B385" i="3"/>
  <c r="B473" i="3"/>
  <c r="C3" i="5"/>
  <c r="C17" i="5"/>
  <c r="B468" i="3"/>
  <c r="C10" i="5"/>
  <c r="C18" i="5"/>
  <c r="B81" i="50"/>
  <c r="B154" i="47"/>
  <c r="B119" i="47"/>
  <c r="B345" i="3"/>
  <c r="B32" i="3"/>
  <c r="B31" i="3" s="1"/>
  <c r="B68" i="3"/>
  <c r="B67" i="3" s="1"/>
  <c r="B69" i="3"/>
  <c r="B106" i="3"/>
  <c r="B365" i="3"/>
  <c r="B154" i="3"/>
  <c r="B224" i="3"/>
  <c r="B136" i="3"/>
  <c r="B377" i="3"/>
  <c r="B398" i="3"/>
  <c r="B413" i="3"/>
  <c r="B263" i="3"/>
  <c r="B330" i="3"/>
  <c r="B5" i="3"/>
  <c r="B9" i="3" s="1"/>
  <c r="B382" i="3"/>
  <c r="B22" i="3"/>
  <c r="C7" i="5" s="1"/>
  <c r="B215" i="3"/>
  <c r="D8" i="12" s="1"/>
  <c r="B121" i="3"/>
  <c r="B463" i="3"/>
  <c r="B454" i="3"/>
  <c r="B3" i="3" s="1"/>
  <c r="B10" i="3"/>
  <c r="B177" i="3"/>
  <c r="B35" i="3"/>
  <c r="G112" i="3" l="1"/>
  <c r="B20" i="3"/>
  <c r="C6" i="5" s="1"/>
  <c r="C8" i="5" s="1"/>
  <c r="I176" i="3"/>
  <c r="B30" i="3"/>
  <c r="C11" i="5" s="1"/>
  <c r="B344" i="3"/>
  <c r="B452" i="3" s="1"/>
  <c r="B470" i="3" s="1"/>
  <c r="B105" i="3"/>
  <c r="C14" i="5" s="1"/>
  <c r="B66" i="3"/>
  <c r="C12" i="5" s="1"/>
  <c r="B135" i="3"/>
  <c r="D178" i="12"/>
  <c r="B28" i="3" l="1"/>
  <c r="B103" i="3" s="1"/>
  <c r="B175" i="3" s="1"/>
  <c r="C15" i="5"/>
  <c r="I177" i="3"/>
  <c r="C13" i="5"/>
  <c r="B474" i="3"/>
  <c r="H173" i="3"/>
  <c r="K173" i="3" s="1"/>
  <c r="B475" i="3"/>
  <c r="C74" i="49"/>
  <c r="C16" i="5" l="1"/>
  <c r="C19" i="5" s="1"/>
  <c r="G178" i="3"/>
  <c r="G177" i="3"/>
  <c r="B476" i="3"/>
  <c r="B184" i="3"/>
  <c r="B190" i="3" s="1"/>
  <c r="B477" i="3" s="1"/>
  <c r="B209" i="3"/>
  <c r="B479" i="3" s="1"/>
  <c r="B478" i="3"/>
  <c r="D82" i="46"/>
  <c r="D501" i="48" l="1"/>
  <c r="F27" i="48" l="1"/>
  <c r="C65" i="49" l="1"/>
  <c r="C64" i="49"/>
  <c r="C63" i="49"/>
  <c r="C62" i="49"/>
  <c r="C56" i="49"/>
  <c r="C55" i="49"/>
  <c r="C54" i="49"/>
  <c r="C48" i="49"/>
  <c r="C47" i="49"/>
  <c r="I199" i="12"/>
  <c r="I198" i="12"/>
  <c r="I194" i="12"/>
  <c r="B73" i="49"/>
  <c r="B74" i="49" s="1"/>
  <c r="B171" i="12"/>
  <c r="G21" i="50" l="1"/>
  <c r="G22" i="50"/>
  <c r="G23" i="50"/>
  <c r="G24" i="50"/>
  <c r="G25" i="50"/>
  <c r="G20" i="50"/>
  <c r="C38" i="63" l="1"/>
  <c r="B38" i="63"/>
  <c r="B127" i="48" s="1"/>
  <c r="D126" i="48"/>
  <c r="C37" i="63"/>
  <c r="C126" i="48" s="1"/>
  <c r="B37" i="63"/>
  <c r="B126" i="48" s="1"/>
  <c r="E36" i="63"/>
  <c r="C36" i="63"/>
  <c r="C125" i="48" s="1"/>
  <c r="B36" i="63"/>
  <c r="B125" i="48" s="1"/>
  <c r="C34" i="63"/>
  <c r="B34" i="63"/>
  <c r="B122" i="48" s="1"/>
  <c r="D121" i="48"/>
  <c r="C33" i="63"/>
  <c r="C121" i="48" s="1"/>
  <c r="B33" i="63"/>
  <c r="B121" i="48" s="1"/>
  <c r="E32" i="63"/>
  <c r="D120" i="48" s="1"/>
  <c r="C32" i="63"/>
  <c r="C120" i="48" s="1"/>
  <c r="B120" i="48"/>
  <c r="E39" i="63" l="1"/>
  <c r="D125" i="48"/>
  <c r="D128" i="48"/>
  <c r="D129" i="48" s="1"/>
  <c r="D123" i="48"/>
  <c r="E126" i="48"/>
  <c r="E35" i="63"/>
  <c r="E121" i="48"/>
  <c r="F34" i="63"/>
  <c r="C122" i="48"/>
  <c r="E122" i="48" s="1"/>
  <c r="C35" i="63"/>
  <c r="C39" i="63"/>
  <c r="C127" i="48"/>
  <c r="C128" i="48" s="1"/>
  <c r="B35" i="63"/>
  <c r="B39" i="63"/>
  <c r="E120" i="48"/>
  <c r="B123" i="48"/>
  <c r="B128" i="48"/>
  <c r="E125" i="48"/>
  <c r="F32" i="63"/>
  <c r="F33" i="63"/>
  <c r="F38" i="63"/>
  <c r="F37" i="63"/>
  <c r="F36" i="63"/>
  <c r="E40" i="63" l="1"/>
  <c r="F39" i="63"/>
  <c r="F35" i="63"/>
  <c r="E128" i="48"/>
  <c r="E127" i="48"/>
  <c r="C40" i="63"/>
  <c r="C123" i="48"/>
  <c r="C129" i="48" s="1"/>
  <c r="B129" i="48"/>
  <c r="B40" i="63"/>
  <c r="B426" i="4"/>
  <c r="A426" i="4"/>
  <c r="F40" i="63" l="1"/>
  <c r="E129" i="48"/>
  <c r="E123" i="48"/>
  <c r="B530" i="4" l="1"/>
  <c r="B529" i="4" s="1"/>
  <c r="E8" i="34" s="1"/>
  <c r="J9" i="31" l="1"/>
  <c r="K9" i="31" s="1"/>
  <c r="B25" i="63" l="1"/>
  <c r="B26" i="63" s="1"/>
  <c r="C25" i="63"/>
  <c r="C26" i="63" s="1"/>
  <c r="E25" i="63"/>
  <c r="F25" i="63"/>
  <c r="F26" i="63" s="1"/>
  <c r="F27" i="63" s="1"/>
  <c r="H25" i="63"/>
  <c r="I25" i="63"/>
  <c r="J25" i="63"/>
  <c r="K25" i="63"/>
  <c r="L25" i="63"/>
  <c r="A25" i="63"/>
  <c r="E26" i="63"/>
  <c r="C28" i="48" l="1"/>
  <c r="F30" i="65"/>
  <c r="L26" i="63"/>
  <c r="K26" i="63"/>
  <c r="I26" i="63"/>
  <c r="A26" i="63"/>
  <c r="J26" i="63"/>
  <c r="H26" i="63"/>
  <c r="G22" i="28"/>
  <c r="D31" i="28"/>
  <c r="G31" i="28" s="1"/>
  <c r="K30" i="65" l="1"/>
  <c r="F63" i="65"/>
  <c r="K63" i="65" s="1"/>
  <c r="C35" i="48"/>
  <c r="C32" i="48" s="1"/>
  <c r="F43" i="65" s="1"/>
  <c r="C26" i="48"/>
  <c r="F15" i="65" s="1"/>
  <c r="B94" i="4"/>
  <c r="G35" i="48" l="1"/>
  <c r="B399" i="4"/>
  <c r="B159" i="4"/>
  <c r="F444" i="48" l="1"/>
  <c r="E444" i="48"/>
  <c r="D444" i="48"/>
  <c r="F443" i="48" l="1"/>
  <c r="E443" i="48"/>
  <c r="D443" i="48"/>
  <c r="C299" i="48" l="1"/>
  <c r="B299" i="48"/>
  <c r="B430" i="4"/>
  <c r="B425" i="4"/>
  <c r="A430" i="4"/>
  <c r="A425" i="4"/>
  <c r="K65" i="50"/>
  <c r="B64" i="50" s="1"/>
  <c r="B65" i="50"/>
  <c r="I66" i="50"/>
  <c r="H66" i="50" l="1"/>
  <c r="C67" i="49"/>
  <c r="C35" i="49"/>
  <c r="C36" i="49"/>
  <c r="C37" i="49"/>
  <c r="C38" i="49"/>
  <c r="C41" i="49"/>
  <c r="C29" i="49"/>
  <c r="C18" i="49"/>
  <c r="C19" i="49"/>
  <c r="C20" i="49"/>
  <c r="C21" i="49"/>
  <c r="C22" i="49"/>
  <c r="C23" i="49"/>
  <c r="C11" i="49"/>
  <c r="C12" i="49"/>
  <c r="C10" i="49"/>
  <c r="C17" i="49" s="1"/>
  <c r="C28" i="49" s="1"/>
  <c r="C34" i="49" s="1"/>
  <c r="C46" i="49" s="1"/>
  <c r="C53" i="49" s="1"/>
  <c r="C61" i="49" s="1"/>
  <c r="C72" i="49" s="1"/>
  <c r="B10" i="49"/>
  <c r="B17" i="49" s="1"/>
  <c r="B28" i="49" s="1"/>
  <c r="B34" i="49" s="1"/>
  <c r="B46" i="49" s="1"/>
  <c r="B53" i="49" s="1"/>
  <c r="B61" i="49" s="1"/>
  <c r="B72" i="49" s="1"/>
  <c r="C5" i="49"/>
  <c r="G453" i="48" l="1"/>
  <c r="G452" i="48"/>
  <c r="G451" i="48"/>
  <c r="D396" i="48"/>
  <c r="E396" i="48"/>
  <c r="D377" i="48"/>
  <c r="D288" i="48"/>
  <c r="B288" i="48"/>
  <c r="E292" i="48"/>
  <c r="D292" i="48"/>
  <c r="E290" i="48"/>
  <c r="E291" i="48" s="1"/>
  <c r="D290" i="48"/>
  <c r="D291" i="48" s="1"/>
  <c r="D283" i="48"/>
  <c r="C257" i="48"/>
  <c r="D242" i="48"/>
  <c r="D293" i="48" l="1"/>
  <c r="E293" i="48"/>
  <c r="E377" i="48"/>
  <c r="C464" i="48"/>
  <c r="G450" i="48"/>
  <c r="G454" i="48"/>
  <c r="B242" i="48"/>
  <c r="E201" i="48"/>
  <c r="E114" i="48"/>
  <c r="E31" i="48"/>
  <c r="H39" i="65" s="1"/>
  <c r="C31" i="48"/>
  <c r="B31" i="48"/>
  <c r="E39" i="65" s="1"/>
  <c r="B91" i="48"/>
  <c r="D84" i="48"/>
  <c r="B84" i="48"/>
  <c r="B93" i="48"/>
  <c r="B92" i="48"/>
  <c r="C87" i="48"/>
  <c r="B87" i="48"/>
  <c r="C86" i="48"/>
  <c r="B86" i="48"/>
  <c r="D85" i="48"/>
  <c r="B71" i="48"/>
  <c r="B63" i="48"/>
  <c r="E34" i="48"/>
  <c r="H57" i="65" s="1"/>
  <c r="B34" i="48"/>
  <c r="E32" i="48"/>
  <c r="H43" i="65" s="1"/>
  <c r="B32" i="48"/>
  <c r="E43" i="65" s="1"/>
  <c r="E27" i="48"/>
  <c r="H22" i="65" s="1"/>
  <c r="C27" i="48"/>
  <c r="F22" i="65" s="1"/>
  <c r="B27" i="48"/>
  <c r="E22" i="65" s="1"/>
  <c r="K22" i="65" s="1"/>
  <c r="E26" i="48"/>
  <c r="H15" i="65" s="1"/>
  <c r="D26" i="48"/>
  <c r="G15" i="65" s="1"/>
  <c r="B26" i="48"/>
  <c r="H67" i="65" l="1"/>
  <c r="F39" i="65"/>
  <c r="C36" i="48"/>
  <c r="G34" i="48"/>
  <c r="E57" i="65"/>
  <c r="K57" i="65" s="1"/>
  <c r="I15" i="65"/>
  <c r="K15" i="65" s="1"/>
  <c r="D86" i="48"/>
  <c r="F26" i="48"/>
  <c r="F67" i="65" l="1"/>
  <c r="E67" i="65"/>
  <c r="F24" i="48"/>
  <c r="E24" i="48"/>
  <c r="H8" i="65" s="1"/>
  <c r="C24" i="48"/>
  <c r="F8" i="65" s="1"/>
  <c r="B24" i="48"/>
  <c r="E8" i="65" s="1"/>
  <c r="D31" i="48"/>
  <c r="D24" i="48"/>
  <c r="G8" i="65" s="1"/>
  <c r="D32" i="48"/>
  <c r="G32" i="48" l="1"/>
  <c r="G43" i="65"/>
  <c r="K43" i="65" s="1"/>
  <c r="G31" i="48"/>
  <c r="G39" i="65"/>
  <c r="G34" i="65"/>
  <c r="G69" i="65"/>
  <c r="E69" i="65"/>
  <c r="E34" i="65"/>
  <c r="E71" i="65" s="1"/>
  <c r="F69" i="65"/>
  <c r="F34" i="65"/>
  <c r="F71" i="65" s="1"/>
  <c r="H34" i="65"/>
  <c r="H71" i="65" s="1"/>
  <c r="H69" i="65"/>
  <c r="A2" i="63"/>
  <c r="K69" i="65" l="1"/>
  <c r="G67" i="65"/>
  <c r="K67" i="65" s="1"/>
  <c r="K39" i="65"/>
  <c r="C70" i="48"/>
  <c r="C154" i="48" s="1"/>
  <c r="C162" i="48" s="1"/>
  <c r="C180" i="48" s="1"/>
  <c r="B70" i="48"/>
  <c r="B154" i="48" s="1"/>
  <c r="B162" i="48" s="1"/>
  <c r="B180" i="48" s="1"/>
  <c r="G24" i="48"/>
  <c r="G71" i="65" l="1"/>
  <c r="H24" i="48"/>
  <c r="B340" i="48"/>
  <c r="B347" i="48" s="1"/>
  <c r="B361" i="48" s="1"/>
  <c r="B194" i="48"/>
  <c r="B207" i="48" s="1"/>
  <c r="B224" i="48" s="1"/>
  <c r="C340" i="48"/>
  <c r="C347" i="48" s="1"/>
  <c r="C361" i="48" s="1"/>
  <c r="C194" i="48"/>
  <c r="C207" i="48" s="1"/>
  <c r="C224" i="48" s="1"/>
  <c r="E245" i="47"/>
  <c r="B247" i="47" s="1"/>
  <c r="F245" i="47"/>
  <c r="C214" i="47"/>
  <c r="C215" i="47" s="1"/>
  <c r="C216" i="47"/>
  <c r="C219" i="47"/>
  <c r="C220" i="47" s="1"/>
  <c r="C201" i="47"/>
  <c r="C203" i="47"/>
  <c r="C174" i="47"/>
  <c r="C175" i="47"/>
  <c r="C176" i="47"/>
  <c r="C179" i="47"/>
  <c r="C180" i="47"/>
  <c r="C164" i="47"/>
  <c r="C163" i="47"/>
  <c r="C167" i="47"/>
  <c r="C153" i="47"/>
  <c r="C136" i="47"/>
  <c r="C137" i="47"/>
  <c r="C138" i="47"/>
  <c r="C139" i="47"/>
  <c r="C140" i="47"/>
  <c r="C141" i="47"/>
  <c r="C142" i="47"/>
  <c r="C127" i="47"/>
  <c r="C128" i="47"/>
  <c r="C114" i="47"/>
  <c r="C115" i="47"/>
  <c r="C116" i="47"/>
  <c r="C117" i="47"/>
  <c r="C118" i="47"/>
  <c r="C120" i="47"/>
  <c r="C105" i="47"/>
  <c r="C106" i="47"/>
  <c r="C107" i="47"/>
  <c r="G80" i="47"/>
  <c r="C155" i="47" l="1"/>
  <c r="C156" i="47" s="1"/>
  <c r="C266" i="47"/>
  <c r="C108" i="47"/>
  <c r="C129" i="47"/>
  <c r="C130" i="47" s="1"/>
  <c r="C217" i="47"/>
  <c r="C166" i="47"/>
  <c r="C177" i="47"/>
  <c r="C178" i="47"/>
  <c r="C121" i="47"/>
  <c r="C204" i="47"/>
  <c r="C205" i="47" s="1"/>
  <c r="C143" i="47"/>
  <c r="C168" i="47"/>
  <c r="G99" i="47"/>
  <c r="C181" i="47" l="1"/>
  <c r="D27" i="46"/>
  <c r="B274" i="4" l="1"/>
  <c r="B275" i="4"/>
  <c r="D17" i="12" l="1"/>
  <c r="D19" i="12" s="1"/>
  <c r="I22" i="61" l="1"/>
  <c r="I21" i="61"/>
  <c r="I20" i="61"/>
  <c r="I19" i="61"/>
  <c r="I18" i="61"/>
  <c r="I17" i="61"/>
  <c r="I16" i="61"/>
  <c r="I15" i="61"/>
  <c r="I14" i="61"/>
  <c r="I13" i="61"/>
  <c r="I9" i="61"/>
  <c r="I8" i="61"/>
  <c r="I23" i="61" l="1"/>
  <c r="G39" i="28"/>
  <c r="G38" i="28"/>
  <c r="G40" i="28" l="1"/>
  <c r="B423" i="4" l="1"/>
  <c r="A167" i="4"/>
  <c r="F24" i="61" l="1"/>
  <c r="F25" i="61"/>
  <c r="F22" i="61"/>
  <c r="F13" i="61"/>
  <c r="B443" i="4" l="1"/>
  <c r="B438" i="4"/>
  <c r="B327" i="4"/>
  <c r="B326" i="4"/>
  <c r="C325" i="4" l="1"/>
  <c r="G17" i="28"/>
  <c r="G18" i="28"/>
  <c r="G14" i="28"/>
  <c r="G13" i="28"/>
  <c r="G76" i="57" l="1"/>
  <c r="G75" i="57" s="1"/>
  <c r="G74" i="57" s="1"/>
  <c r="H74" i="57" s="1"/>
  <c r="B47" i="28" l="1"/>
  <c r="A47" i="28"/>
  <c r="B174" i="4"/>
  <c r="B504" i="4" l="1"/>
  <c r="B333" i="4"/>
  <c r="B362" i="4" l="1"/>
  <c r="B363" i="4"/>
  <c r="B581" i="4" l="1"/>
  <c r="B582" i="4" l="1"/>
  <c r="B123" i="4" s="1"/>
  <c r="B122" i="4" s="1"/>
  <c r="B22" i="11" s="1"/>
  <c r="H90" i="58" s="1"/>
  <c r="B580" i="4" l="1"/>
  <c r="C329" i="4"/>
  <c r="D418" i="48"/>
  <c r="H10" i="29"/>
  <c r="C188" i="47"/>
  <c r="C189" i="47"/>
  <c r="C190" i="47"/>
  <c r="C192" i="47"/>
  <c r="M421" i="48" l="1"/>
  <c r="D421" i="48"/>
  <c r="D420" i="48" s="1"/>
  <c r="C193" i="47"/>
  <c r="C194" i="47" s="1"/>
  <c r="B193" i="47" l="1"/>
  <c r="G7" i="5" l="1"/>
  <c r="D6" i="46" s="1"/>
  <c r="G10" i="5"/>
  <c r="D9" i="46" s="1"/>
  <c r="G17" i="5"/>
  <c r="D16" i="46" s="1"/>
  <c r="G18" i="5"/>
  <c r="D17" i="46" s="1"/>
  <c r="C195" i="47"/>
  <c r="G11" i="5"/>
  <c r="D10" i="46" s="1"/>
  <c r="G26" i="46" l="1"/>
  <c r="G14" i="5"/>
  <c r="D13" i="46" s="1"/>
  <c r="G12" i="5"/>
  <c r="D11" i="46" s="1"/>
  <c r="G6" i="5" l="1"/>
  <c r="D5" i="46" s="1"/>
  <c r="D7" i="46" s="1"/>
  <c r="D12" i="46" s="1"/>
  <c r="G15" i="5"/>
  <c r="D14" i="46" s="1"/>
  <c r="D15" i="46" l="1"/>
  <c r="G8" i="5"/>
  <c r="G13" i="5" s="1"/>
  <c r="G16" i="5" s="1"/>
  <c r="G19" i="5" s="1"/>
  <c r="C232" i="47" l="1"/>
  <c r="C234" i="47" s="1"/>
  <c r="D18" i="46"/>
  <c r="D29" i="46" s="1"/>
  <c r="D30" i="46" s="1"/>
  <c r="E445" i="48" l="1"/>
  <c r="F445" i="48" l="1"/>
  <c r="K475" i="48" l="1"/>
  <c r="K476" i="48"/>
  <c r="K477" i="48"/>
  <c r="K478" i="48"/>
  <c r="K479" i="48"/>
  <c r="K480" i="48"/>
  <c r="K481" i="48"/>
  <c r="K474" i="48"/>
  <c r="K482" i="48" l="1"/>
  <c r="E240" i="47"/>
  <c r="F240" i="47"/>
  <c r="I85" i="47" l="1"/>
  <c r="I86" i="47"/>
  <c r="I87" i="47"/>
  <c r="I88" i="47"/>
  <c r="E87" i="47" s="1"/>
  <c r="I89" i="47"/>
  <c r="I84" i="47"/>
  <c r="G33" i="47"/>
  <c r="G72" i="47"/>
  <c r="I90" i="47" l="1"/>
  <c r="C90" i="47" l="1"/>
  <c r="C91" i="47" s="1"/>
  <c r="H29" i="11"/>
  <c r="H31" i="11"/>
  <c r="H32" i="11"/>
  <c r="H33" i="11" l="1"/>
  <c r="G12" i="28"/>
  <c r="G19" i="28"/>
  <c r="B12" i="17" l="1"/>
  <c r="B579" i="4" l="1"/>
  <c r="B73" i="11" s="1"/>
  <c r="I159" i="12" s="1"/>
  <c r="I160" i="12" s="1"/>
  <c r="C43" i="6" l="1"/>
  <c r="C76" i="46"/>
  <c r="B547" i="4"/>
  <c r="E16" i="34" s="1"/>
  <c r="D52" i="12" l="1"/>
  <c r="F28" i="48" s="1"/>
  <c r="M18" i="14" l="1"/>
  <c r="K17" i="14"/>
  <c r="M17" i="14" l="1"/>
  <c r="C26" i="5"/>
  <c r="B432" i="4"/>
  <c r="B431" i="4"/>
  <c r="C431" i="4" s="1"/>
  <c r="G46" i="58" l="1"/>
  <c r="F46" i="58"/>
  <c r="G54" i="58"/>
  <c r="H56" i="58"/>
  <c r="G21" i="28"/>
  <c r="G30" i="28"/>
  <c r="G32" i="28" s="1"/>
  <c r="G5" i="28"/>
  <c r="G6" i="28"/>
  <c r="G7" i="28"/>
  <c r="G8" i="28"/>
  <c r="G9" i="28"/>
  <c r="G10" i="28"/>
  <c r="G24" i="28"/>
  <c r="G25" i="28"/>
  <c r="G26" i="28"/>
  <c r="G4" i="28"/>
  <c r="B449" i="4"/>
  <c r="H46" i="58" l="1"/>
  <c r="G28" i="28"/>
  <c r="E239" i="48"/>
  <c r="D239" i="48"/>
  <c r="C230" i="48"/>
  <c r="C212" i="48"/>
  <c r="E200" i="48"/>
  <c r="D200" i="48"/>
  <c r="C201" i="48"/>
  <c r="C190" i="48"/>
  <c r="C191" i="48"/>
  <c r="C176" i="48"/>
  <c r="C158" i="48"/>
  <c r="G151" i="48"/>
  <c r="H55" i="48"/>
  <c r="C20" i="48"/>
  <c r="C269" i="47"/>
  <c r="E259" i="47"/>
  <c r="B261" i="47" s="1"/>
  <c r="E260" i="47"/>
  <c r="B259" i="47" s="1"/>
  <c r="E261" i="47"/>
  <c r="B260" i="47" s="1"/>
  <c r="E262" i="47"/>
  <c r="B258" i="47" s="1"/>
  <c r="F259" i="47"/>
  <c r="F260" i="47"/>
  <c r="F261" i="47"/>
  <c r="F262" i="47"/>
  <c r="F258" i="47"/>
  <c r="E258" i="47"/>
  <c r="B255" i="47" s="1"/>
  <c r="E235" i="47"/>
  <c r="B245" i="47" s="1"/>
  <c r="E236" i="47"/>
  <c r="E237" i="47"/>
  <c r="E238" i="47"/>
  <c r="E239" i="47"/>
  <c r="E241" i="47"/>
  <c r="B241" i="47" s="1"/>
  <c r="E242" i="47"/>
  <c r="B240" i="47" s="1"/>
  <c r="E243" i="47"/>
  <c r="B242" i="47" s="1"/>
  <c r="E244" i="47"/>
  <c r="E246" i="47"/>
  <c r="B244" i="47" s="1"/>
  <c r="E247" i="47"/>
  <c r="B248" i="47" s="1"/>
  <c r="E248" i="47"/>
  <c r="B246" i="47" s="1"/>
  <c r="E249" i="47"/>
  <c r="E250" i="47"/>
  <c r="E234" i="47"/>
  <c r="B239" i="47" s="1"/>
  <c r="F235" i="47"/>
  <c r="F236" i="47"/>
  <c r="F237" i="47"/>
  <c r="F238" i="47"/>
  <c r="F239" i="47"/>
  <c r="F241" i="47"/>
  <c r="F242" i="47"/>
  <c r="F243" i="47"/>
  <c r="F244" i="47"/>
  <c r="F246" i="47"/>
  <c r="F247" i="47"/>
  <c r="F248" i="47"/>
  <c r="F249" i="47"/>
  <c r="F250" i="47"/>
  <c r="F234" i="47"/>
  <c r="C235" i="47"/>
  <c r="C206" i="47"/>
  <c r="C207" i="47"/>
  <c r="C196" i="47"/>
  <c r="C197" i="47"/>
  <c r="C182" i="47"/>
  <c r="C183" i="47"/>
  <c r="C170" i="47"/>
  <c r="C169" i="47"/>
  <c r="C157" i="47"/>
  <c r="C149" i="47"/>
  <c r="C148" i="47"/>
  <c r="C131" i="47"/>
  <c r="C109" i="47"/>
  <c r="C122" i="47"/>
  <c r="B113" i="47"/>
  <c r="B126" i="47" s="1"/>
  <c r="B135" i="47" s="1"/>
  <c r="B152" i="47" s="1"/>
  <c r="B161" i="47" s="1"/>
  <c r="B172" i="47" s="1"/>
  <c r="B186" i="47" s="1"/>
  <c r="B199" i="47" s="1"/>
  <c r="B212" i="47" s="1"/>
  <c r="B224" i="47" s="1"/>
  <c r="B238" i="47" s="1"/>
  <c r="B254" i="47" s="1"/>
  <c r="C113" i="47"/>
  <c r="C126" i="47" s="1"/>
  <c r="C135" i="47" s="1"/>
  <c r="C152" i="47" s="1"/>
  <c r="C161" i="47" s="1"/>
  <c r="C172" i="47" s="1"/>
  <c r="C186" i="47" s="1"/>
  <c r="C199" i="47" s="1"/>
  <c r="C212" i="47" s="1"/>
  <c r="C224" i="47" s="1"/>
  <c r="C238" i="47" s="1"/>
  <c r="C254" i="47" s="1"/>
  <c r="G38" i="47"/>
  <c r="F38" i="47"/>
  <c r="B243" i="47" l="1"/>
  <c r="C263" i="47"/>
  <c r="C250" i="47"/>
  <c r="C221" i="47" l="1"/>
  <c r="F91" i="58" l="1"/>
  <c r="F79" i="58"/>
  <c r="H74" i="58"/>
  <c r="G69" i="58"/>
  <c r="H69" i="58" s="1"/>
  <c r="F69" i="58"/>
  <c r="F54" i="58"/>
  <c r="F52" i="58"/>
  <c r="F49" i="58"/>
  <c r="F51" i="58" s="1"/>
  <c r="G49" i="58"/>
  <c r="G51" i="58" s="1"/>
  <c r="F50" i="58"/>
  <c r="D14" i="61" s="1"/>
  <c r="G50" i="58"/>
  <c r="E14" i="61" s="1"/>
  <c r="G45" i="58"/>
  <c r="E10" i="61" s="1"/>
  <c r="F45" i="58"/>
  <c r="D10" i="61" s="1"/>
  <c r="D9" i="61" l="1"/>
  <c r="F44" i="58"/>
  <c r="F4" i="58" s="1"/>
  <c r="E9" i="61"/>
  <c r="E5" i="61" s="1"/>
  <c r="F14" i="61"/>
  <c r="F10" i="61"/>
  <c r="F92" i="58"/>
  <c r="H45" i="58"/>
  <c r="H49" i="58"/>
  <c r="H50" i="58"/>
  <c r="H54" i="58"/>
  <c r="H55" i="58"/>
  <c r="H59" i="58"/>
  <c r="H60" i="58"/>
  <c r="H62" i="58"/>
  <c r="H61" i="58" l="1"/>
  <c r="F9" i="61"/>
  <c r="H51" i="58"/>
  <c r="F5" i="61"/>
  <c r="D8" i="61"/>
  <c r="D4" i="61" s="1"/>
  <c r="D5" i="61"/>
  <c r="F29" i="57"/>
  <c r="G21" i="57"/>
  <c r="H21" i="57" s="1"/>
  <c r="H16" i="57"/>
  <c r="H17" i="57"/>
  <c r="H18" i="57"/>
  <c r="H20" i="57"/>
  <c r="B48" i="28" l="1"/>
  <c r="B46" i="28"/>
  <c r="B175" i="4"/>
  <c r="B39" i="28"/>
  <c r="B167" i="4"/>
  <c r="B68" i="4" l="1"/>
  <c r="B67" i="4" s="1"/>
  <c r="B466" i="4" l="1"/>
  <c r="B129" i="4" l="1"/>
  <c r="B488" i="4"/>
  <c r="J6" i="31" l="1"/>
  <c r="K6" i="31" s="1"/>
  <c r="J5" i="31"/>
  <c r="K5" i="31" s="1"/>
  <c r="B109" i="4" l="1"/>
  <c r="B116" i="4" l="1"/>
  <c r="E29" i="60" s="1"/>
  <c r="E27" i="60" l="1"/>
  <c r="E4" i="60" s="1"/>
  <c r="E42" i="60" s="1"/>
  <c r="I147" i="12"/>
  <c r="B564" i="4" l="1"/>
  <c r="B389" i="4"/>
  <c r="B511" i="4" l="1"/>
  <c r="E10" i="17" l="1"/>
  <c r="G10" i="17" s="1"/>
  <c r="E11" i="17"/>
  <c r="D185" i="12" l="1"/>
  <c r="B304" i="4"/>
  <c r="B298" i="4"/>
  <c r="B221" i="4" l="1"/>
  <c r="B559" i="4" l="1"/>
  <c r="B510" i="4" l="1"/>
  <c r="B563" i="4" l="1"/>
  <c r="B446" i="4"/>
  <c r="B180" i="4"/>
  <c r="B178" i="4"/>
  <c r="B152" i="4"/>
  <c r="B153" i="4"/>
  <c r="B160" i="4"/>
  <c r="B151" i="4"/>
  <c r="B128" i="4"/>
  <c r="B133" i="4"/>
  <c r="B134" i="4"/>
  <c r="B135" i="4"/>
  <c r="B136" i="4"/>
  <c r="B138" i="4"/>
  <c r="B139" i="4"/>
  <c r="B127" i="4"/>
  <c r="B121" i="4"/>
  <c r="B111" i="4"/>
  <c r="B114" i="4"/>
  <c r="B115" i="4"/>
  <c r="B117" i="4"/>
  <c r="B119" i="4"/>
  <c r="B309" i="4"/>
  <c r="H469" i="48" l="1"/>
  <c r="I415" i="48"/>
  <c r="I418" i="48" l="1"/>
  <c r="B441" i="4"/>
  <c r="B287" i="4"/>
  <c r="B286" i="4" s="1"/>
  <c r="C21" i="30" s="1"/>
  <c r="B533" i="4"/>
  <c r="B532" i="4"/>
  <c r="B173" i="4"/>
  <c r="B531" i="4" l="1"/>
  <c r="B263" i="4"/>
  <c r="B323" i="4"/>
  <c r="B322" i="4"/>
  <c r="H22" i="7" l="1"/>
  <c r="F20" i="7"/>
  <c r="F19" i="7"/>
  <c r="E19" i="7" s="1"/>
  <c r="G19" i="7" s="1"/>
  <c r="H24" i="7"/>
  <c r="H25" i="7"/>
  <c r="H26" i="7"/>
  <c r="H27" i="7"/>
  <c r="H23" i="7"/>
  <c r="E20" i="7" l="1"/>
  <c r="E21" i="7"/>
  <c r="C478" i="48"/>
  <c r="C480" i="48" s="1"/>
  <c r="D478" i="48"/>
  <c r="E478" i="48"/>
  <c r="E480" i="48" s="1"/>
  <c r="E84" i="48"/>
  <c r="B476" i="4" l="1"/>
  <c r="B477" i="4"/>
  <c r="B299" i="4"/>
  <c r="B295" i="4"/>
  <c r="B538" i="4"/>
  <c r="B404" i="4"/>
  <c r="D498" i="48" l="1"/>
  <c r="D499" i="48"/>
  <c r="D500" i="48"/>
  <c r="D502" i="48"/>
  <c r="D497" i="48"/>
  <c r="H479" i="48" l="1"/>
  <c r="I479" i="48"/>
  <c r="J479" i="48"/>
  <c r="M479" i="48"/>
  <c r="F476" i="48" s="1"/>
  <c r="C419" i="48"/>
  <c r="D419" i="48"/>
  <c r="C415" i="48"/>
  <c r="D415" i="48"/>
  <c r="D423" i="48" l="1"/>
  <c r="C423" i="48"/>
  <c r="D62" i="50" l="1"/>
  <c r="F47" i="50"/>
  <c r="F46" i="50"/>
  <c r="H36" i="50"/>
  <c r="H35" i="50"/>
  <c r="H34" i="50"/>
  <c r="H33" i="50"/>
  <c r="H32" i="50"/>
  <c r="H31" i="50"/>
  <c r="C13" i="50"/>
  <c r="B13" i="50"/>
  <c r="C6" i="50"/>
  <c r="B6" i="50"/>
  <c r="B269" i="47"/>
  <c r="B262" i="47" l="1"/>
  <c r="B263" i="47" s="1"/>
  <c r="C268" i="47"/>
  <c r="D162" i="12"/>
  <c r="B249" i="47" l="1"/>
  <c r="B250" i="47" s="1"/>
  <c r="B266" i="47" l="1"/>
  <c r="G96" i="54"/>
  <c r="G95" i="54"/>
  <c r="G93" i="54"/>
  <c r="F85" i="54"/>
  <c r="D85" i="54"/>
  <c r="G84" i="54"/>
  <c r="F84" i="54"/>
  <c r="G83" i="54"/>
  <c r="F83" i="54"/>
  <c r="G81" i="54"/>
  <c r="G91" i="54" s="1"/>
  <c r="F81" i="54"/>
  <c r="G90" i="54" s="1"/>
  <c r="E81" i="54"/>
  <c r="G89" i="54" s="1"/>
  <c r="D81" i="54"/>
  <c r="G88" i="54" s="1"/>
  <c r="O33" i="54"/>
  <c r="O28" i="54"/>
  <c r="O23" i="54"/>
  <c r="O18" i="54"/>
  <c r="O13" i="54"/>
  <c r="O8" i="54"/>
  <c r="O2" i="54"/>
  <c r="G87" i="54" l="1"/>
  <c r="G97" i="54"/>
  <c r="O81" i="54"/>
  <c r="C332" i="48" l="1"/>
  <c r="D332" i="48"/>
  <c r="E332" i="48"/>
  <c r="F332" i="48"/>
  <c r="B332" i="48"/>
  <c r="B435" i="4"/>
  <c r="B422" i="4"/>
  <c r="B421" i="4"/>
  <c r="B420" i="4"/>
  <c r="B166" i="4"/>
  <c r="B419" i="4" s="1"/>
  <c r="H476" i="48" l="1"/>
  <c r="I476" i="48"/>
  <c r="J476" i="48"/>
  <c r="M475" i="48"/>
  <c r="F477" i="48" s="1"/>
  <c r="M477" i="48"/>
  <c r="M478" i="48"/>
  <c r="B476" i="48" s="1"/>
  <c r="M474" i="48"/>
  <c r="B477" i="48" s="1"/>
  <c r="M480" i="48" l="1"/>
  <c r="C343" i="48"/>
  <c r="E15" i="14" l="1"/>
  <c r="F15" i="14"/>
  <c r="G15" i="14"/>
  <c r="H15" i="14"/>
  <c r="I15" i="14"/>
  <c r="J15" i="14"/>
  <c r="L15" i="14"/>
  <c r="E11" i="14"/>
  <c r="F11" i="14"/>
  <c r="G11" i="14"/>
  <c r="H11" i="14"/>
  <c r="I11" i="14"/>
  <c r="J11" i="14"/>
  <c r="L11" i="14"/>
  <c r="D11" i="14"/>
  <c r="K15" i="14"/>
  <c r="K10" i="14"/>
  <c r="M15" i="14" l="1"/>
  <c r="B302" i="48"/>
  <c r="M10" i="14"/>
  <c r="B250" i="48" s="1"/>
  <c r="K11" i="14"/>
  <c r="M11" i="14" s="1"/>
  <c r="B249" i="4"/>
  <c r="A1" i="3" l="1"/>
  <c r="A1" i="12" s="1"/>
  <c r="B3" i="11"/>
  <c r="B302" i="4" l="1"/>
  <c r="B215" i="4" l="1"/>
  <c r="B23" i="49" l="1"/>
  <c r="H475" i="48" l="1"/>
  <c r="H477" i="48"/>
  <c r="H478" i="48"/>
  <c r="H480" i="48"/>
  <c r="H481" i="48"/>
  <c r="H474" i="48"/>
  <c r="J475" i="48"/>
  <c r="J477" i="48"/>
  <c r="J478" i="48"/>
  <c r="J480" i="48"/>
  <c r="J481" i="48"/>
  <c r="J474" i="48"/>
  <c r="I475" i="48"/>
  <c r="I477" i="48"/>
  <c r="I478" i="48"/>
  <c r="I480" i="48"/>
  <c r="I481" i="48"/>
  <c r="I474" i="48"/>
  <c r="F433" i="48"/>
  <c r="F432" i="48"/>
  <c r="C309" i="48"/>
  <c r="C308" i="48"/>
  <c r="B309" i="48"/>
  <c r="B308" i="48"/>
  <c r="C300" i="48"/>
  <c r="C301" i="48"/>
  <c r="C304" i="48"/>
  <c r="C305" i="48"/>
  <c r="B305" i="48"/>
  <c r="B304" i="48"/>
  <c r="B301" i="48"/>
  <c r="B300" i="48"/>
  <c r="B256" i="48"/>
  <c r="B248" i="48"/>
  <c r="B247" i="48"/>
  <c r="B246" i="48"/>
  <c r="E246" i="48" s="1"/>
  <c r="B243" i="48"/>
  <c r="B252" i="48" l="1"/>
  <c r="B257" i="48" s="1"/>
  <c r="F478" i="48"/>
  <c r="B478" i="48"/>
  <c r="I482" i="48"/>
  <c r="J482" i="48"/>
  <c r="H482" i="48"/>
  <c r="B307" i="48"/>
  <c r="C307" i="48"/>
  <c r="G478" i="48" l="1"/>
  <c r="M481" i="48"/>
  <c r="M482" i="48" s="1"/>
  <c r="E56" i="47" l="1"/>
  <c r="D57" i="47"/>
  <c r="D58" i="47"/>
  <c r="D59" i="47"/>
  <c r="D60" i="47"/>
  <c r="D56" i="47"/>
  <c r="D48" i="47"/>
  <c r="D49" i="47"/>
  <c r="D50" i="47"/>
  <c r="D51" i="47"/>
  <c r="D52" i="47"/>
  <c r="D47" i="47"/>
  <c r="C57" i="47"/>
  <c r="C58" i="47"/>
  <c r="C59" i="47"/>
  <c r="C60" i="47"/>
  <c r="C56" i="47"/>
  <c r="C48" i="47"/>
  <c r="C49" i="47"/>
  <c r="C50" i="47"/>
  <c r="C51" i="47"/>
  <c r="C52" i="47"/>
  <c r="C47" i="47"/>
  <c r="B57" i="47"/>
  <c r="B58" i="47"/>
  <c r="B59" i="47"/>
  <c r="B60" i="47"/>
  <c r="B56" i="47"/>
  <c r="B48" i="47"/>
  <c r="B49" i="47"/>
  <c r="B50" i="47"/>
  <c r="B51" i="47"/>
  <c r="B52" i="47"/>
  <c r="B47" i="47"/>
  <c r="I53" i="47"/>
  <c r="I61" i="47" s="1"/>
  <c r="J53" i="47"/>
  <c r="J61" i="47" s="1"/>
  <c r="H53" i="47"/>
  <c r="H61" i="47" s="1"/>
  <c r="D22" i="47"/>
  <c r="D21" i="47"/>
  <c r="C22" i="47"/>
  <c r="C21" i="47"/>
  <c r="B22" i="47"/>
  <c r="B21" i="47"/>
  <c r="I23" i="47"/>
  <c r="J23" i="47"/>
  <c r="H23" i="47"/>
  <c r="F56" i="47" l="1"/>
  <c r="G75" i="50"/>
  <c r="G74" i="50"/>
  <c r="G73" i="50"/>
  <c r="G72" i="50"/>
  <c r="G55" i="50"/>
  <c r="G53" i="50"/>
  <c r="C42" i="49"/>
  <c r="C43" i="49" s="1"/>
  <c r="C30" i="49"/>
  <c r="C31" i="49" s="1"/>
  <c r="C24" i="49"/>
  <c r="C25" i="49" s="1"/>
  <c r="C13" i="49"/>
  <c r="C14" i="49" s="1"/>
  <c r="C6" i="49"/>
  <c r="C7" i="49" s="1"/>
  <c r="C503" i="48"/>
  <c r="B503" i="48"/>
  <c r="B504" i="48" s="1"/>
  <c r="B455" i="48"/>
  <c r="E386" i="48"/>
  <c r="D386" i="48"/>
  <c r="C364" i="48"/>
  <c r="C357" i="48"/>
  <c r="D309" i="48"/>
  <c r="D308" i="48"/>
  <c r="D307" i="48"/>
  <c r="C306" i="48"/>
  <c r="B306" i="48"/>
  <c r="D305" i="48"/>
  <c r="D304" i="48"/>
  <c r="D303" i="48"/>
  <c r="D302" i="48"/>
  <c r="D301" i="48"/>
  <c r="D300" i="48"/>
  <c r="D299" i="48"/>
  <c r="D256" i="48"/>
  <c r="D255" i="48"/>
  <c r="D254" i="48"/>
  <c r="D253" i="48"/>
  <c r="D252" i="48"/>
  <c r="B251" i="48"/>
  <c r="D250" i="48"/>
  <c r="D249" i="48"/>
  <c r="D248" i="48"/>
  <c r="D247" i="48"/>
  <c r="D246" i="48"/>
  <c r="D245" i="48"/>
  <c r="D244" i="48"/>
  <c r="D243" i="48"/>
  <c r="B211" i="48"/>
  <c r="B155" i="48"/>
  <c r="D149" i="48"/>
  <c r="D95" i="48"/>
  <c r="C95" i="48"/>
  <c r="B95" i="48"/>
  <c r="E94" i="48"/>
  <c r="E93" i="48"/>
  <c r="E92" i="48"/>
  <c r="E91" i="48"/>
  <c r="D89" i="48"/>
  <c r="C89" i="48"/>
  <c r="B89" i="48"/>
  <c r="E88" i="48"/>
  <c r="E87" i="48"/>
  <c r="E86" i="48"/>
  <c r="E85" i="48"/>
  <c r="B61" i="48"/>
  <c r="B65" i="48" s="1"/>
  <c r="E36" i="48"/>
  <c r="D36" i="48"/>
  <c r="B36" i="48"/>
  <c r="E29" i="48"/>
  <c r="D29" i="48"/>
  <c r="C29" i="48"/>
  <c r="B29" i="48"/>
  <c r="G28" i="48"/>
  <c r="G27" i="48"/>
  <c r="G26" i="48"/>
  <c r="E90" i="47"/>
  <c r="E91" i="47" s="1"/>
  <c r="D90" i="47"/>
  <c r="D91" i="47" s="1"/>
  <c r="B90" i="47"/>
  <c r="B91" i="47" s="1"/>
  <c r="F89" i="47"/>
  <c r="F88" i="47"/>
  <c r="F87" i="47"/>
  <c r="D53" i="47"/>
  <c r="D61" i="47" s="1"/>
  <c r="C53" i="47"/>
  <c r="C61" i="47" s="1"/>
  <c r="B53" i="47"/>
  <c r="B61" i="47" s="1"/>
  <c r="D24" i="47"/>
  <c r="C24" i="47"/>
  <c r="B24" i="47"/>
  <c r="D20" i="47"/>
  <c r="D23" i="47" s="1"/>
  <c r="C20" i="47"/>
  <c r="C23" i="47" s="1"/>
  <c r="B20" i="47"/>
  <c r="B25" i="47" s="1"/>
  <c r="F101" i="46"/>
  <c r="F100" i="46"/>
  <c r="D96" i="46"/>
  <c r="D103" i="46" s="1"/>
  <c r="C96" i="46"/>
  <c r="C103" i="46" s="1"/>
  <c r="B96" i="46"/>
  <c r="B103" i="46" s="1"/>
  <c r="F95" i="46"/>
  <c r="F94" i="46"/>
  <c r="F93" i="46"/>
  <c r="E96" i="46"/>
  <c r="D257" i="48" l="1"/>
  <c r="C504" i="48"/>
  <c r="D503" i="48"/>
  <c r="D37" i="48"/>
  <c r="G409" i="48"/>
  <c r="G52" i="50"/>
  <c r="C96" i="48"/>
  <c r="D96" i="48"/>
  <c r="E37" i="48"/>
  <c r="E95" i="48"/>
  <c r="E89" i="48"/>
  <c r="G36" i="48"/>
  <c r="B37" i="48"/>
  <c r="D306" i="48"/>
  <c r="C25" i="47"/>
  <c r="F90" i="47"/>
  <c r="F91" i="47" s="1"/>
  <c r="C153" i="46"/>
  <c r="B96" i="48"/>
  <c r="C37" i="48"/>
  <c r="B23" i="47"/>
  <c r="D25" i="47"/>
  <c r="F96" i="46"/>
  <c r="E96" i="48" l="1"/>
  <c r="A173" i="12" l="1"/>
  <c r="B575" i="4" l="1"/>
  <c r="D401" i="48" l="1"/>
  <c r="B294" i="4"/>
  <c r="K486" i="1"/>
  <c r="L486" i="1"/>
  <c r="M486" i="1"/>
  <c r="B279" i="4" l="1"/>
  <c r="J12" i="31" l="1"/>
  <c r="J13" i="31"/>
  <c r="J14" i="31"/>
  <c r="J15" i="31"/>
  <c r="J16" i="31"/>
  <c r="J17" i="31"/>
  <c r="J18" i="31"/>
  <c r="K18" i="31" s="1"/>
  <c r="J19" i="31"/>
  <c r="K19" i="31" s="1"/>
  <c r="B437" i="4" l="1"/>
  <c r="E158" i="12" l="1"/>
  <c r="E159" i="12"/>
  <c r="E160" i="12"/>
  <c r="D256" i="12" l="1"/>
  <c r="E256" i="12" l="1"/>
  <c r="D255" i="12"/>
  <c r="D18" i="12" l="1"/>
  <c r="B569" i="4"/>
  <c r="B558" i="4"/>
  <c r="B403" i="4"/>
  <c r="B473" i="4" l="1"/>
  <c r="B462" i="4"/>
  <c r="B461" i="4"/>
  <c r="B69" i="11" l="1"/>
  <c r="C384" i="48" s="1"/>
  <c r="G30" i="57"/>
  <c r="G32" i="57" s="1"/>
  <c r="B440" i="4"/>
  <c r="G69" i="11" l="1"/>
  <c r="E3" i="64"/>
  <c r="E4" i="64" s="1"/>
  <c r="B442" i="48"/>
  <c r="H30" i="57"/>
  <c r="G29" i="57"/>
  <c r="H29" i="57" s="1"/>
  <c r="H32" i="57"/>
  <c r="B50" i="19"/>
  <c r="C142" i="46" l="1"/>
  <c r="C442" i="48"/>
  <c r="G442" i="48" s="1"/>
  <c r="D16" i="12"/>
  <c r="B402" i="4" l="1"/>
  <c r="B458" i="4" l="1"/>
  <c r="B375" i="4"/>
  <c r="B374" i="4" s="1"/>
  <c r="S3" i="33" l="1"/>
  <c r="B237" i="48"/>
  <c r="D69" i="11"/>
  <c r="J11" i="31" l="1"/>
  <c r="K11" i="31" s="1"/>
  <c r="K12" i="31"/>
  <c r="K13" i="31"/>
  <c r="K15" i="31"/>
  <c r="K16" i="31"/>
  <c r="K17" i="31"/>
  <c r="J7" i="31"/>
  <c r="K7" i="31" s="1"/>
  <c r="J10" i="31"/>
  <c r="K10" i="31" s="1"/>
  <c r="B516" i="4" l="1"/>
  <c r="D26" i="35" l="1"/>
  <c r="B576" i="4" l="1"/>
  <c r="I28" i="12" l="1"/>
  <c r="F8" i="38" l="1"/>
  <c r="B499" i="4"/>
  <c r="D25" i="37"/>
  <c r="D3" i="37"/>
  <c r="C3" i="36"/>
  <c r="C8" i="36"/>
  <c r="C4" i="36"/>
  <c r="D28" i="35"/>
  <c r="C28" i="35" s="1"/>
  <c r="D8" i="35"/>
  <c r="C8" i="35" s="1"/>
  <c r="C7" i="35" s="1"/>
  <c r="D4" i="35"/>
  <c r="C4" i="35" s="1"/>
  <c r="C5" i="35" s="1"/>
  <c r="F25" i="37" l="1"/>
  <c r="C21" i="35"/>
  <c r="C20" i="35" s="1"/>
  <c r="B506" i="4" l="1"/>
  <c r="B573" i="4" l="1"/>
  <c r="B572" i="4"/>
  <c r="B571" i="4"/>
  <c r="J22" i="31"/>
  <c r="K22" i="31" s="1"/>
  <c r="J21" i="31"/>
  <c r="J27" i="31" s="1"/>
  <c r="K14" i="31"/>
  <c r="B313" i="4"/>
  <c r="K21" i="31" l="1"/>
  <c r="B214" i="47"/>
  <c r="B215" i="47" s="1"/>
  <c r="B442" i="4"/>
  <c r="I421" i="48" s="1"/>
  <c r="B268" i="4"/>
  <c r="B520" i="4"/>
  <c r="B521" i="4"/>
  <c r="B522" i="4"/>
  <c r="B523" i="4"/>
  <c r="B524" i="4"/>
  <c r="B381" i="4"/>
  <c r="B205" i="4"/>
  <c r="B500" i="4"/>
  <c r="B72" i="4"/>
  <c r="B201" i="4"/>
  <c r="B197" i="4"/>
  <c r="B74" i="4"/>
  <c r="B71" i="4"/>
  <c r="B61" i="4" l="1"/>
  <c r="B60" i="4"/>
  <c r="B59" i="4" l="1"/>
  <c r="M20" i="63" s="1"/>
  <c r="F2" i="34"/>
  <c r="F3" i="34"/>
  <c r="F5" i="34"/>
  <c r="F8" i="34"/>
  <c r="F9" i="34"/>
  <c r="F14" i="34"/>
  <c r="F16" i="34"/>
  <c r="F19" i="34"/>
  <c r="F20" i="34"/>
  <c r="F23" i="34"/>
  <c r="F24" i="34"/>
  <c r="D5" i="33" l="1"/>
  <c r="E5" i="33"/>
  <c r="F5" i="33"/>
  <c r="G5" i="33"/>
  <c r="H5" i="33"/>
  <c r="I5" i="33"/>
  <c r="J5" i="33"/>
  <c r="K5" i="33"/>
  <c r="L5" i="33"/>
  <c r="M5" i="33"/>
  <c r="N5" i="33"/>
  <c r="O5" i="33"/>
  <c r="P5" i="33"/>
  <c r="Q5" i="33"/>
  <c r="R5" i="33"/>
  <c r="B380" i="4" l="1"/>
  <c r="F72" i="57" s="1"/>
  <c r="B378" i="4"/>
  <c r="F71" i="57" s="1"/>
  <c r="F66" i="57" s="1"/>
  <c r="F67" i="57" l="1"/>
  <c r="F64" i="57" s="1"/>
  <c r="F69" i="57"/>
  <c r="B393" i="48"/>
  <c r="B395" i="48" s="1"/>
  <c r="B377" i="4"/>
  <c r="J28" i="31"/>
  <c r="J4" i="31"/>
  <c r="K4" i="31" s="1"/>
  <c r="J8" i="31"/>
  <c r="J3" i="31"/>
  <c r="B49" i="28"/>
  <c r="B44" i="28"/>
  <c r="B43" i="28"/>
  <c r="B42" i="28"/>
  <c r="B41" i="28"/>
  <c r="B40" i="28"/>
  <c r="B38" i="28"/>
  <c r="B37" i="28"/>
  <c r="B10" i="29"/>
  <c r="D12" i="29"/>
  <c r="D13" i="29"/>
  <c r="D15" i="29"/>
  <c r="B36" i="28" l="1"/>
  <c r="H28" i="28" s="1"/>
  <c r="K8" i="31"/>
  <c r="J31" i="31"/>
  <c r="K3" i="31"/>
  <c r="D11" i="11" l="1"/>
  <c r="D12" i="11"/>
  <c r="D13" i="11"/>
  <c r="B91" i="18" s="1"/>
  <c r="D14" i="11"/>
  <c r="D16" i="11"/>
  <c r="D17" i="11"/>
  <c r="D19" i="11"/>
  <c r="E239" i="12" l="1"/>
  <c r="E240" i="12"/>
  <c r="E156" i="12"/>
  <c r="E161" i="12"/>
  <c r="E212" i="12"/>
  <c r="B212" i="12" s="1"/>
  <c r="E213" i="12"/>
  <c r="E214" i="12"/>
  <c r="E250" i="12"/>
  <c r="E42" i="12"/>
  <c r="E43" i="12"/>
  <c r="E44" i="12"/>
  <c r="E45" i="12"/>
  <c r="E157" i="12" l="1"/>
  <c r="E108" i="12"/>
  <c r="B108" i="12" s="1"/>
  <c r="B88" i="18" s="1"/>
  <c r="D38" i="12"/>
  <c r="E38" i="12" s="1"/>
  <c r="D37" i="12"/>
  <c r="D25" i="12"/>
  <c r="E25" i="12" s="1"/>
  <c r="D24" i="12"/>
  <c r="D22" i="12"/>
  <c r="E22" i="12" s="1"/>
  <c r="D21" i="12"/>
  <c r="C113" i="12"/>
  <c r="B273" i="12"/>
  <c r="C269" i="12"/>
  <c r="E267" i="12"/>
  <c r="B267" i="12" s="1"/>
  <c r="E268" i="12"/>
  <c r="B268" i="12" s="1"/>
  <c r="B250" i="12"/>
  <c r="E251" i="12"/>
  <c r="B251" i="12" s="1"/>
  <c r="B51" i="19" s="1"/>
  <c r="E252" i="12"/>
  <c r="B252" i="12" s="1"/>
  <c r="E253" i="12"/>
  <c r="B253" i="12" s="1"/>
  <c r="E254" i="12"/>
  <c r="B254" i="12" s="1"/>
  <c r="E255" i="12"/>
  <c r="B255" i="12" s="1"/>
  <c r="B55" i="19" s="1"/>
  <c r="E257" i="12"/>
  <c r="B257" i="12" s="1"/>
  <c r="E258" i="12"/>
  <c r="B258" i="12" s="1"/>
  <c r="E244" i="12"/>
  <c r="B244" i="12" s="1"/>
  <c r="C242" i="12"/>
  <c r="E221" i="12"/>
  <c r="B221" i="12" s="1"/>
  <c r="E222" i="12"/>
  <c r="B222" i="12" s="1"/>
  <c r="E223" i="12"/>
  <c r="B223" i="12" s="1"/>
  <c r="E224" i="12"/>
  <c r="B224" i="12" s="1"/>
  <c r="E225" i="12"/>
  <c r="B225" i="12" s="1"/>
  <c r="E226" i="12"/>
  <c r="B226" i="12" s="1"/>
  <c r="E227" i="12"/>
  <c r="B227" i="12" s="1"/>
  <c r="E229" i="12"/>
  <c r="B229" i="12" s="1"/>
  <c r="E230" i="12"/>
  <c r="B230" i="12" s="1"/>
  <c r="E231" i="12"/>
  <c r="B231" i="12" s="1"/>
  <c r="B239" i="12"/>
  <c r="B240" i="12"/>
  <c r="E241" i="12"/>
  <c r="B241" i="12" s="1"/>
  <c r="B213" i="12"/>
  <c r="B214" i="12"/>
  <c r="E215" i="12"/>
  <c r="B215" i="12" s="1"/>
  <c r="E216" i="12"/>
  <c r="B216" i="12" s="1"/>
  <c r="E217" i="12"/>
  <c r="B217" i="12" s="1"/>
  <c r="E218" i="12"/>
  <c r="B218" i="12" s="1"/>
  <c r="E219" i="12"/>
  <c r="B219" i="12" s="1"/>
  <c r="E220" i="12"/>
  <c r="B220" i="12" s="1"/>
  <c r="D184" i="12"/>
  <c r="E184" i="12" s="1"/>
  <c r="B184" i="12" s="1"/>
  <c r="B23" i="19" s="1"/>
  <c r="C125" i="46" s="1"/>
  <c r="E186" i="12"/>
  <c r="E187" i="12"/>
  <c r="E188" i="12"/>
  <c r="E185" i="12"/>
  <c r="E123" i="12"/>
  <c r="B123" i="12" s="1"/>
  <c r="E165" i="12"/>
  <c r="B165" i="12" s="1"/>
  <c r="E166" i="12"/>
  <c r="B166" i="12" s="1"/>
  <c r="E168" i="12"/>
  <c r="B168" i="12" s="1"/>
  <c r="E169" i="12"/>
  <c r="B169" i="12" s="1"/>
  <c r="E172" i="12"/>
  <c r="E145" i="12"/>
  <c r="B145" i="12" s="1"/>
  <c r="E146" i="12"/>
  <c r="B146" i="12" s="1"/>
  <c r="E147" i="12"/>
  <c r="B147" i="12" s="1"/>
  <c r="E149" i="12"/>
  <c r="B149" i="12" s="1"/>
  <c r="E151" i="12"/>
  <c r="B151" i="12" s="1"/>
  <c r="E152" i="12"/>
  <c r="B152" i="12" s="1"/>
  <c r="E154" i="12"/>
  <c r="B154" i="12" s="1"/>
  <c r="E155" i="12"/>
  <c r="B155" i="12" s="1"/>
  <c r="B156" i="12"/>
  <c r="B157" i="12"/>
  <c r="E162" i="12"/>
  <c r="B162" i="12" s="1"/>
  <c r="E138" i="12"/>
  <c r="B138" i="12" s="1"/>
  <c r="E139" i="12"/>
  <c r="B139" i="12" s="1"/>
  <c r="D133" i="12"/>
  <c r="E141" i="12"/>
  <c r="B141" i="12" s="1"/>
  <c r="E137" i="12"/>
  <c r="B137" i="12" s="1"/>
  <c r="E135" i="12"/>
  <c r="B135" i="12" s="1"/>
  <c r="D124" i="12"/>
  <c r="E132" i="12"/>
  <c r="B132" i="12" s="1"/>
  <c r="E131" i="12"/>
  <c r="B131" i="12" s="1"/>
  <c r="E130" i="12"/>
  <c r="B130" i="12" s="1"/>
  <c r="E129" i="12"/>
  <c r="B129" i="12" s="1"/>
  <c r="E128" i="12"/>
  <c r="B128" i="12" s="1"/>
  <c r="E126" i="12"/>
  <c r="B126" i="12" s="1"/>
  <c r="E120" i="12"/>
  <c r="B120" i="12" s="1"/>
  <c r="B98" i="18" s="1"/>
  <c r="E119" i="12"/>
  <c r="B119" i="12" s="1"/>
  <c r="E118" i="12"/>
  <c r="B118" i="12" s="1"/>
  <c r="E117" i="12"/>
  <c r="B117" i="12" s="1"/>
  <c r="E115" i="12"/>
  <c r="B115" i="12" s="1"/>
  <c r="E100" i="12"/>
  <c r="E105" i="12"/>
  <c r="B105" i="12" s="1"/>
  <c r="E107" i="12"/>
  <c r="B107" i="12" s="1"/>
  <c r="E106" i="12"/>
  <c r="B106" i="12" s="1"/>
  <c r="E103" i="12"/>
  <c r="B103" i="12" s="1"/>
  <c r="E94" i="12"/>
  <c r="B94" i="12" s="1"/>
  <c r="E93" i="12"/>
  <c r="B93" i="12" s="1"/>
  <c r="B80" i="18" s="1"/>
  <c r="D79" i="12"/>
  <c r="E86" i="12"/>
  <c r="B86" i="12" s="1"/>
  <c r="E85" i="12"/>
  <c r="B85" i="12" s="1"/>
  <c r="E84" i="12"/>
  <c r="B84" i="12" s="1"/>
  <c r="E83" i="12"/>
  <c r="B83" i="12" s="1"/>
  <c r="E82" i="12"/>
  <c r="B82" i="12" s="1"/>
  <c r="E81" i="12"/>
  <c r="B81" i="12" s="1"/>
  <c r="E73" i="12"/>
  <c r="B73" i="12" s="1"/>
  <c r="E74" i="12"/>
  <c r="B74" i="12" s="1"/>
  <c r="B61" i="18" s="1"/>
  <c r="B22" i="49" s="1"/>
  <c r="E75" i="12"/>
  <c r="B75" i="12" s="1"/>
  <c r="E76" i="12"/>
  <c r="B76" i="12" s="1"/>
  <c r="E78" i="12"/>
  <c r="B78" i="12" s="1"/>
  <c r="E50" i="12"/>
  <c r="B50" i="12" s="1"/>
  <c r="E51" i="12"/>
  <c r="B51" i="12" s="1"/>
  <c r="E52" i="12"/>
  <c r="B52" i="12" s="1"/>
  <c r="B39" i="18" s="1"/>
  <c r="E53" i="12"/>
  <c r="B53" i="12" s="1"/>
  <c r="E54" i="12"/>
  <c r="B54" i="12" s="1"/>
  <c r="E55" i="12"/>
  <c r="B55" i="12" s="1"/>
  <c r="E56" i="12"/>
  <c r="B56" i="12" s="1"/>
  <c r="E57" i="12"/>
  <c r="B57" i="12" s="1"/>
  <c r="E58" i="12"/>
  <c r="B58" i="12" s="1"/>
  <c r="E59" i="12"/>
  <c r="B59" i="12" s="1"/>
  <c r="E60" i="12"/>
  <c r="B60" i="12" s="1"/>
  <c r="E61" i="12"/>
  <c r="B61" i="12" s="1"/>
  <c r="E62" i="12"/>
  <c r="B62" i="12" s="1"/>
  <c r="E71" i="12"/>
  <c r="B71" i="12" s="1"/>
  <c r="E70" i="12"/>
  <c r="B70" i="12" s="1"/>
  <c r="E69" i="12"/>
  <c r="B69" i="12" s="1"/>
  <c r="E67" i="12"/>
  <c r="B67" i="12" s="1"/>
  <c r="E66" i="12"/>
  <c r="B66" i="12" s="1"/>
  <c r="E65" i="12"/>
  <c r="B65" i="12" s="1"/>
  <c r="E46" i="12"/>
  <c r="B46" i="12" s="1"/>
  <c r="B33" i="18" s="1"/>
  <c r="B45" i="12"/>
  <c r="B44" i="12"/>
  <c r="B43" i="12"/>
  <c r="B42" i="12"/>
  <c r="E35" i="12"/>
  <c r="B35" i="12" s="1"/>
  <c r="E34" i="12"/>
  <c r="B34" i="12" s="1"/>
  <c r="E33" i="12"/>
  <c r="B33" i="12" s="1"/>
  <c r="E32" i="12"/>
  <c r="B32" i="12" s="1"/>
  <c r="E6" i="12"/>
  <c r="B6" i="12" s="1"/>
  <c r="E7" i="12"/>
  <c r="B7" i="12" s="1"/>
  <c r="E18" i="12"/>
  <c r="B18" i="12" s="1"/>
  <c r="B18" i="18" s="1"/>
  <c r="E16" i="12"/>
  <c r="B16" i="12" s="1"/>
  <c r="B17" i="18" s="1"/>
  <c r="E15" i="12"/>
  <c r="B15" i="12" s="1"/>
  <c r="E14" i="12"/>
  <c r="B14" i="12" s="1"/>
  <c r="E13" i="12"/>
  <c r="B13" i="12" s="1"/>
  <c r="E12" i="12"/>
  <c r="B12" i="12" s="1"/>
  <c r="E11" i="12"/>
  <c r="B11" i="12" s="1"/>
  <c r="E10" i="12"/>
  <c r="B10" i="12" s="1"/>
  <c r="B56" i="49" l="1"/>
  <c r="B116" i="18"/>
  <c r="C145" i="46"/>
  <c r="B135" i="18"/>
  <c r="B67" i="49"/>
  <c r="B134" i="18"/>
  <c r="B63" i="20" s="1"/>
  <c r="D23" i="12"/>
  <c r="D36" i="12"/>
  <c r="D238" i="12" s="1"/>
  <c r="E37" i="12"/>
  <c r="E24" i="12"/>
  <c r="D20" i="12"/>
  <c r="E21" i="12"/>
  <c r="E113" i="12"/>
  <c r="B113" i="12" s="1"/>
  <c r="D237" i="12" l="1"/>
  <c r="E36" i="12"/>
  <c r="B36" i="12" s="1"/>
  <c r="B27" i="18" s="1"/>
  <c r="D265" i="12"/>
  <c r="E265" i="12" s="1"/>
  <c r="E20" i="12"/>
  <c r="B20" i="12" s="1"/>
  <c r="B19" i="18" s="1"/>
  <c r="D264" i="12"/>
  <c r="E23" i="12"/>
  <c r="B23" i="12" s="1"/>
  <c r="B20" i="18" s="1"/>
  <c r="D266" i="12"/>
  <c r="E266" i="12" l="1"/>
  <c r="B266" i="12" s="1"/>
  <c r="B59" i="19" s="1"/>
  <c r="D54" i="11" l="1"/>
  <c r="I27" i="12" l="1"/>
  <c r="F27" i="12" l="1"/>
  <c r="B210" i="4"/>
  <c r="G88" i="58" l="1"/>
  <c r="H88" i="58" s="1"/>
  <c r="D44" i="50"/>
  <c r="D42" i="50" s="1"/>
  <c r="C65" i="50"/>
  <c r="D30" i="12"/>
  <c r="D247" i="12" s="1"/>
  <c r="D27" i="12"/>
  <c r="B393" i="4"/>
  <c r="E30" i="12" l="1"/>
  <c r="E247" i="12"/>
  <c r="E27" i="12"/>
  <c r="D26" i="12"/>
  <c r="D102" i="12" s="1"/>
  <c r="B57" i="4"/>
  <c r="D5" i="36" s="1"/>
  <c r="C44" i="21"/>
  <c r="C2" i="21"/>
  <c r="D45" i="21"/>
  <c r="D35" i="21"/>
  <c r="D18" i="21"/>
  <c r="B58" i="20"/>
  <c r="B51" i="20"/>
  <c r="B45" i="20"/>
  <c r="B34" i="20"/>
  <c r="B29" i="20"/>
  <c r="B18" i="20"/>
  <c r="B11" i="20"/>
  <c r="C37" i="20"/>
  <c r="E102" i="12" l="1"/>
  <c r="E26" i="12"/>
  <c r="B26" i="12" s="1"/>
  <c r="B21" i="18" s="1"/>
  <c r="D47" i="21"/>
  <c r="D50" i="21" s="1"/>
  <c r="C65" i="20"/>
  <c r="C56" i="20"/>
  <c r="C49" i="20"/>
  <c r="C42" i="20"/>
  <c r="C32" i="20"/>
  <c r="C26" i="20"/>
  <c r="C15" i="20"/>
  <c r="C8" i="20"/>
  <c r="D263" i="12"/>
  <c r="D262" i="12"/>
  <c r="E262" i="12" s="1"/>
  <c r="D236" i="12"/>
  <c r="E236" i="12" s="1"/>
  <c r="D235" i="12"/>
  <c r="B136" i="18"/>
  <c r="B18" i="19" s="1"/>
  <c r="B19" i="19"/>
  <c r="B66" i="19"/>
  <c r="B68" i="11" l="1"/>
  <c r="J68" i="11" s="1"/>
  <c r="G36" i="57"/>
  <c r="C49" i="21"/>
  <c r="E49" i="21" s="1"/>
  <c r="D66" i="19"/>
  <c r="E235" i="12"/>
  <c r="E263" i="12"/>
  <c r="B2" i="18"/>
  <c r="C25" i="17"/>
  <c r="C24" i="17"/>
  <c r="B92" i="17"/>
  <c r="E90" i="17"/>
  <c r="G90" i="17" s="1"/>
  <c r="E89" i="17"/>
  <c r="G89" i="17" s="1"/>
  <c r="E88" i="17"/>
  <c r="G88" i="17" s="1"/>
  <c r="E87" i="17"/>
  <c r="G87" i="17" s="1"/>
  <c r="E86" i="17"/>
  <c r="G86" i="17" s="1"/>
  <c r="E85" i="17"/>
  <c r="G85" i="17" s="1"/>
  <c r="E84" i="17"/>
  <c r="G84" i="17" s="1"/>
  <c r="E83" i="17"/>
  <c r="G83" i="17" s="1"/>
  <c r="E82" i="17"/>
  <c r="G82" i="17" s="1"/>
  <c r="E81" i="17"/>
  <c r="G81" i="17" s="1"/>
  <c r="E80" i="17"/>
  <c r="G80" i="17" s="1"/>
  <c r="E79" i="17"/>
  <c r="G79" i="17" s="1"/>
  <c r="E78" i="17"/>
  <c r="G78" i="17" s="1"/>
  <c r="E77" i="17"/>
  <c r="G77" i="17" s="1"/>
  <c r="D76" i="17"/>
  <c r="C76" i="17"/>
  <c r="E72" i="17"/>
  <c r="F70" i="17"/>
  <c r="F74" i="17" s="1"/>
  <c r="D70" i="17"/>
  <c r="D74" i="17" s="1"/>
  <c r="D92" i="17" s="1"/>
  <c r="C70" i="17"/>
  <c r="C74" i="17" s="1"/>
  <c r="C92" i="17" s="1"/>
  <c r="E68" i="17"/>
  <c r="G68" i="17" s="1"/>
  <c r="E67" i="17"/>
  <c r="G67" i="17" s="1"/>
  <c r="E66" i="17"/>
  <c r="G66" i="17" s="1"/>
  <c r="E65" i="17"/>
  <c r="G65" i="17" s="1"/>
  <c r="E64" i="17"/>
  <c r="G64" i="17" s="1"/>
  <c r="E63" i="17"/>
  <c r="G63" i="17" s="1"/>
  <c r="E62" i="17"/>
  <c r="E70" i="17" s="1"/>
  <c r="E61" i="17"/>
  <c r="G61" i="17" s="1"/>
  <c r="E60" i="17"/>
  <c r="G60" i="17" s="1"/>
  <c r="E59" i="17"/>
  <c r="B53" i="17"/>
  <c r="G46" i="17"/>
  <c r="G50" i="17"/>
  <c r="E38" i="17"/>
  <c r="G38" i="17" s="1"/>
  <c r="E39" i="17"/>
  <c r="G39" i="17" s="1"/>
  <c r="E40" i="17"/>
  <c r="G40" i="17" s="1"/>
  <c r="E41" i="17"/>
  <c r="G41" i="17" s="1"/>
  <c r="E42" i="17"/>
  <c r="G42" i="17" s="1"/>
  <c r="E43" i="17"/>
  <c r="G43" i="17" s="1"/>
  <c r="E44" i="17"/>
  <c r="G44" i="17" s="1"/>
  <c r="E45" i="17"/>
  <c r="G45" i="17" s="1"/>
  <c r="E46" i="17"/>
  <c r="E47" i="17"/>
  <c r="G47" i="17" s="1"/>
  <c r="E48" i="17"/>
  <c r="G48" i="17" s="1"/>
  <c r="E49" i="17"/>
  <c r="G49" i="17" s="1"/>
  <c r="E50" i="17"/>
  <c r="D31" i="17"/>
  <c r="F31" i="17"/>
  <c r="F35" i="17" s="1"/>
  <c r="D37" i="17"/>
  <c r="C37" i="17"/>
  <c r="E21" i="17"/>
  <c r="G21" i="17" s="1"/>
  <c r="E22" i="17"/>
  <c r="G22" i="17" s="1"/>
  <c r="E23" i="17"/>
  <c r="G23" i="17" s="1"/>
  <c r="E26" i="17"/>
  <c r="G26" i="17" s="1"/>
  <c r="E27" i="17"/>
  <c r="G27" i="17" s="1"/>
  <c r="E28" i="17"/>
  <c r="G28" i="17" s="1"/>
  <c r="D61" i="11"/>
  <c r="C92" i="12" s="1"/>
  <c r="E92" i="12" s="1"/>
  <c r="B92" i="12" s="1"/>
  <c r="B79" i="18" s="1"/>
  <c r="C4" i="6"/>
  <c r="E2" i="16"/>
  <c r="E46" i="16"/>
  <c r="F46" i="16" s="1"/>
  <c r="E45" i="16"/>
  <c r="F45" i="16" s="1"/>
  <c r="E25" i="17" l="1"/>
  <c r="G25" i="17" s="1"/>
  <c r="C7" i="17"/>
  <c r="E7" i="17" s="1"/>
  <c r="G7" i="17" s="1"/>
  <c r="E24" i="17"/>
  <c r="G24" i="17" s="1"/>
  <c r="C6" i="17"/>
  <c r="E76" i="17"/>
  <c r="G76" i="17" s="1"/>
  <c r="H36" i="57"/>
  <c r="G37" i="57"/>
  <c r="E74" i="17"/>
  <c r="E92" i="17" s="1"/>
  <c r="G92" i="17" s="1"/>
  <c r="H92" i="17" s="1"/>
  <c r="G72" i="17"/>
  <c r="B441" i="48"/>
  <c r="D441" i="48" s="1"/>
  <c r="C383" i="48"/>
  <c r="G68" i="11"/>
  <c r="B2" i="19"/>
  <c r="B2" i="40"/>
  <c r="D1" i="29"/>
  <c r="C1" i="30"/>
  <c r="G59" i="17"/>
  <c r="G62" i="17"/>
  <c r="G70" i="17" s="1"/>
  <c r="G74" i="17" s="1"/>
  <c r="E37" i="17"/>
  <c r="G37" i="17" s="1"/>
  <c r="D445" i="48" l="1"/>
  <c r="G441" i="48"/>
  <c r="E6" i="17"/>
  <c r="G6" i="17" s="1"/>
  <c r="H37" i="57"/>
  <c r="G35" i="57"/>
  <c r="H35" i="57" s="1"/>
  <c r="B5" i="20"/>
  <c r="B59" i="20" s="1"/>
  <c r="A21" i="7"/>
  <c r="B1" i="37"/>
  <c r="B1" i="38"/>
  <c r="B1" i="36"/>
  <c r="B1" i="35"/>
  <c r="B1" i="31"/>
  <c r="D198" i="12"/>
  <c r="E198" i="12" s="1"/>
  <c r="D197" i="12"/>
  <c r="E197" i="12" s="1"/>
  <c r="D196" i="12"/>
  <c r="E196" i="12" s="1"/>
  <c r="D195" i="12"/>
  <c r="E195" i="12" s="1"/>
  <c r="D193" i="12"/>
  <c r="E193" i="12" s="1"/>
  <c r="D191" i="12"/>
  <c r="D194" i="12"/>
  <c r="J207" i="12" s="1"/>
  <c r="G1" i="28" l="1"/>
  <c r="B2" i="60"/>
  <c r="B19" i="20"/>
  <c r="B12" i="20"/>
  <c r="B30" i="20"/>
  <c r="B46" i="20"/>
  <c r="B35" i="20"/>
  <c r="E194" i="12"/>
  <c r="B52" i="20"/>
  <c r="C3" i="21"/>
  <c r="B1" i="34"/>
  <c r="T1" i="33"/>
  <c r="E191" i="12"/>
  <c r="B485" i="4" l="1"/>
  <c r="D41" i="12"/>
  <c r="E41" i="12" s="1"/>
  <c r="D40" i="12"/>
  <c r="D31" i="12"/>
  <c r="I250" i="12" s="1"/>
  <c r="D29" i="12"/>
  <c r="I31" i="12" s="1"/>
  <c r="E31" i="12" l="1"/>
  <c r="D39" i="12"/>
  <c r="E40" i="12"/>
  <c r="D246" i="12"/>
  <c r="E29" i="12"/>
  <c r="D28" i="12"/>
  <c r="B41" i="20"/>
  <c r="D9" i="12" l="1"/>
  <c r="D249" i="12"/>
  <c r="E246" i="12"/>
  <c r="D228" i="12"/>
  <c r="E39" i="12"/>
  <c r="B39" i="12" s="1"/>
  <c r="B28" i="18" s="1"/>
  <c r="E28" i="12"/>
  <c r="B28" i="12" s="1"/>
  <c r="B22" i="18" s="1"/>
  <c r="E249" i="12" l="1"/>
  <c r="B249" i="12" s="1"/>
  <c r="B49" i="19" s="1"/>
  <c r="C147" i="46" s="1"/>
  <c r="I251" i="12"/>
  <c r="E228" i="12"/>
  <c r="B228" i="12" s="1"/>
  <c r="B40" i="19" s="1"/>
  <c r="E9" i="12"/>
  <c r="B9" i="12" s="1"/>
  <c r="B10" i="18"/>
  <c r="D21" i="40" l="1"/>
  <c r="C136" i="46"/>
  <c r="B7" i="20"/>
  <c r="B8" i="20" s="1"/>
  <c r="D10" i="18"/>
  <c r="B8" i="19"/>
  <c r="B5" i="49" l="1"/>
  <c r="B6" i="49" s="1"/>
  <c r="B7" i="49" s="1"/>
  <c r="C114" i="46"/>
  <c r="D8" i="20"/>
  <c r="C10" i="21"/>
  <c r="M1680" i="1" l="1"/>
  <c r="L1680" i="1"/>
  <c r="K1680" i="1"/>
  <c r="M1679" i="1"/>
  <c r="L1679" i="1"/>
  <c r="K1679" i="1"/>
  <c r="M1678" i="1"/>
  <c r="L1678" i="1"/>
  <c r="K1678" i="1"/>
  <c r="M1677" i="1"/>
  <c r="L1677" i="1"/>
  <c r="K1677" i="1"/>
  <c r="M1676" i="1"/>
  <c r="L1676" i="1"/>
  <c r="K1676" i="1"/>
  <c r="M1675" i="1"/>
  <c r="L1675" i="1"/>
  <c r="K1675" i="1"/>
  <c r="M1674" i="1"/>
  <c r="L1674" i="1"/>
  <c r="K1674" i="1"/>
  <c r="M1673" i="1"/>
  <c r="L1673" i="1"/>
  <c r="K1673" i="1"/>
  <c r="M1672" i="1"/>
  <c r="L1672" i="1"/>
  <c r="K1672" i="1"/>
  <c r="M1671" i="1"/>
  <c r="L1671" i="1"/>
  <c r="K1671" i="1"/>
  <c r="M1670" i="1"/>
  <c r="L1670" i="1"/>
  <c r="K1670" i="1"/>
  <c r="M1669" i="1"/>
  <c r="L1669" i="1"/>
  <c r="K1669" i="1"/>
  <c r="M1668" i="1"/>
  <c r="L1668" i="1"/>
  <c r="K1668" i="1"/>
  <c r="M1667" i="1"/>
  <c r="L1667" i="1"/>
  <c r="K1667" i="1"/>
  <c r="M1666" i="1"/>
  <c r="L1666" i="1"/>
  <c r="K1666" i="1"/>
  <c r="M1665" i="1"/>
  <c r="L1665" i="1"/>
  <c r="K1665" i="1"/>
  <c r="M1664" i="1"/>
  <c r="L1664" i="1"/>
  <c r="K1664" i="1"/>
  <c r="M1663" i="1"/>
  <c r="L1663" i="1"/>
  <c r="K1663" i="1"/>
  <c r="M1662" i="1"/>
  <c r="L1662" i="1"/>
  <c r="K1662" i="1"/>
  <c r="M1661" i="1"/>
  <c r="L1661" i="1"/>
  <c r="K1661" i="1"/>
  <c r="M1660" i="1"/>
  <c r="L1660" i="1"/>
  <c r="K1660" i="1"/>
  <c r="M1659" i="1"/>
  <c r="L1659" i="1"/>
  <c r="K1659" i="1"/>
  <c r="M1658" i="1"/>
  <c r="L1658" i="1"/>
  <c r="K1658" i="1"/>
  <c r="M1657" i="1"/>
  <c r="L1657" i="1"/>
  <c r="K1657" i="1"/>
  <c r="M1656" i="1"/>
  <c r="L1656" i="1"/>
  <c r="K1656" i="1"/>
  <c r="M1655" i="1"/>
  <c r="L1655" i="1"/>
  <c r="K1655" i="1"/>
  <c r="M1654" i="1"/>
  <c r="L1654" i="1"/>
  <c r="K1654" i="1"/>
  <c r="M1653" i="1"/>
  <c r="L1653" i="1"/>
  <c r="K1653" i="1"/>
  <c r="M1652" i="1"/>
  <c r="L1652" i="1"/>
  <c r="K1652" i="1"/>
  <c r="M1651" i="1"/>
  <c r="L1651" i="1"/>
  <c r="K1651" i="1"/>
  <c r="M1650" i="1"/>
  <c r="L1650" i="1"/>
  <c r="K1650" i="1"/>
  <c r="M1649" i="1"/>
  <c r="L1649" i="1"/>
  <c r="K1649" i="1"/>
  <c r="M1648" i="1"/>
  <c r="L1648" i="1"/>
  <c r="K1648" i="1"/>
  <c r="M1647" i="1"/>
  <c r="L1647" i="1"/>
  <c r="K1647" i="1"/>
  <c r="M1646" i="1"/>
  <c r="L1646" i="1"/>
  <c r="K1646" i="1"/>
  <c r="M1645" i="1"/>
  <c r="L1645" i="1"/>
  <c r="K1645" i="1"/>
  <c r="M1644" i="1"/>
  <c r="L1644" i="1"/>
  <c r="K1644" i="1"/>
  <c r="M1643" i="1"/>
  <c r="L1643" i="1"/>
  <c r="K1643" i="1"/>
  <c r="M1642" i="1"/>
  <c r="L1642" i="1"/>
  <c r="K1642" i="1"/>
  <c r="M1641" i="1"/>
  <c r="L1641" i="1"/>
  <c r="K1641" i="1"/>
  <c r="M1640" i="1"/>
  <c r="L1640" i="1"/>
  <c r="K1640" i="1"/>
  <c r="M1639" i="1"/>
  <c r="L1639" i="1"/>
  <c r="K1639" i="1"/>
  <c r="M1638" i="1"/>
  <c r="L1638" i="1"/>
  <c r="K1638" i="1"/>
  <c r="M1637" i="1"/>
  <c r="L1637" i="1"/>
  <c r="K1637" i="1"/>
  <c r="M1636" i="1"/>
  <c r="L1636" i="1"/>
  <c r="K1636" i="1"/>
  <c r="M1635" i="1"/>
  <c r="L1635" i="1"/>
  <c r="K1635" i="1"/>
  <c r="M1634" i="1"/>
  <c r="L1634" i="1"/>
  <c r="K1634" i="1"/>
  <c r="M1633" i="1"/>
  <c r="L1633" i="1"/>
  <c r="K1633" i="1"/>
  <c r="M1632" i="1"/>
  <c r="L1632" i="1"/>
  <c r="K1632" i="1"/>
  <c r="M1631" i="1"/>
  <c r="L1631" i="1"/>
  <c r="K1631" i="1"/>
  <c r="M1630" i="1"/>
  <c r="L1630" i="1"/>
  <c r="K1630" i="1"/>
  <c r="M1629" i="1"/>
  <c r="L1629" i="1"/>
  <c r="K1629" i="1"/>
  <c r="M1628" i="1"/>
  <c r="L1628" i="1"/>
  <c r="K1628" i="1"/>
  <c r="M1627" i="1"/>
  <c r="L1627" i="1"/>
  <c r="K1627" i="1"/>
  <c r="M1626" i="1"/>
  <c r="L1626" i="1"/>
  <c r="K1626" i="1"/>
  <c r="M1625" i="1"/>
  <c r="L1625" i="1"/>
  <c r="K1625" i="1"/>
  <c r="M1624" i="1"/>
  <c r="L1624" i="1"/>
  <c r="K1624" i="1"/>
  <c r="M1623" i="1"/>
  <c r="L1623" i="1"/>
  <c r="K1623" i="1"/>
  <c r="M1622" i="1"/>
  <c r="L1622" i="1"/>
  <c r="K1622" i="1"/>
  <c r="M1621" i="1"/>
  <c r="L1621" i="1"/>
  <c r="K1621" i="1"/>
  <c r="M1620" i="1"/>
  <c r="L1620" i="1"/>
  <c r="K1620" i="1"/>
  <c r="M1619" i="1"/>
  <c r="L1619" i="1"/>
  <c r="K1619" i="1"/>
  <c r="M1618" i="1"/>
  <c r="L1618" i="1"/>
  <c r="K1618" i="1"/>
  <c r="M1617" i="1"/>
  <c r="L1617" i="1"/>
  <c r="K1617" i="1"/>
  <c r="M1616" i="1"/>
  <c r="L1616" i="1"/>
  <c r="K1616" i="1"/>
  <c r="M1615" i="1"/>
  <c r="L1615" i="1"/>
  <c r="K1615" i="1"/>
  <c r="M1614" i="1"/>
  <c r="L1614" i="1"/>
  <c r="K1614" i="1"/>
  <c r="M1613" i="1"/>
  <c r="L1613" i="1"/>
  <c r="K1613" i="1"/>
  <c r="M1612" i="1"/>
  <c r="L1612" i="1"/>
  <c r="K1612" i="1"/>
  <c r="M1611" i="1"/>
  <c r="L1611" i="1"/>
  <c r="K1611" i="1"/>
  <c r="M1610" i="1"/>
  <c r="L1610" i="1"/>
  <c r="K1610" i="1"/>
  <c r="M1609" i="1"/>
  <c r="L1609" i="1"/>
  <c r="K1609" i="1"/>
  <c r="M1608" i="1"/>
  <c r="L1608" i="1"/>
  <c r="K1608" i="1"/>
  <c r="M1607" i="1"/>
  <c r="L1607" i="1"/>
  <c r="K1607" i="1"/>
  <c r="M1606" i="1"/>
  <c r="L1606" i="1"/>
  <c r="K1606" i="1"/>
  <c r="M1605" i="1"/>
  <c r="L1605" i="1"/>
  <c r="K1605" i="1"/>
  <c r="M1604" i="1"/>
  <c r="L1604" i="1"/>
  <c r="K1604" i="1"/>
  <c r="M1603" i="1"/>
  <c r="L1603" i="1"/>
  <c r="K1603" i="1"/>
  <c r="M1602" i="1"/>
  <c r="L1602" i="1"/>
  <c r="K1602" i="1"/>
  <c r="M1601" i="1"/>
  <c r="L1601" i="1"/>
  <c r="K1601" i="1"/>
  <c r="M1600" i="1"/>
  <c r="L1600" i="1"/>
  <c r="K1600" i="1"/>
  <c r="M1599" i="1"/>
  <c r="L1599" i="1"/>
  <c r="K1599" i="1"/>
  <c r="M1598" i="1"/>
  <c r="L1598" i="1"/>
  <c r="K1598" i="1"/>
  <c r="M1597" i="1"/>
  <c r="L1597" i="1"/>
  <c r="K1597" i="1"/>
  <c r="M1596" i="1"/>
  <c r="L1596" i="1"/>
  <c r="K1596" i="1"/>
  <c r="M1595" i="1"/>
  <c r="L1595" i="1"/>
  <c r="K1595" i="1"/>
  <c r="M1594" i="1"/>
  <c r="L1594" i="1"/>
  <c r="K1594" i="1"/>
  <c r="M1593" i="1"/>
  <c r="L1593" i="1"/>
  <c r="K1593" i="1"/>
  <c r="M1592" i="1"/>
  <c r="L1592" i="1"/>
  <c r="K1592" i="1"/>
  <c r="M1591" i="1"/>
  <c r="L1591" i="1"/>
  <c r="K1591" i="1"/>
  <c r="M1590" i="1"/>
  <c r="L1590" i="1"/>
  <c r="K1590" i="1"/>
  <c r="M1589" i="1"/>
  <c r="L1589" i="1"/>
  <c r="K1589" i="1"/>
  <c r="M1588" i="1"/>
  <c r="L1588" i="1"/>
  <c r="K1588" i="1"/>
  <c r="M1587" i="1"/>
  <c r="L1587" i="1"/>
  <c r="K1587" i="1"/>
  <c r="M1586" i="1"/>
  <c r="L1586" i="1"/>
  <c r="K1586" i="1"/>
  <c r="M1585" i="1"/>
  <c r="L1585" i="1"/>
  <c r="K1585" i="1"/>
  <c r="M1584" i="1"/>
  <c r="L1584" i="1"/>
  <c r="K1584" i="1"/>
  <c r="M1583" i="1"/>
  <c r="L1583" i="1"/>
  <c r="K1583" i="1"/>
  <c r="M1582" i="1"/>
  <c r="L1582" i="1"/>
  <c r="K1582" i="1"/>
  <c r="M1581" i="1"/>
  <c r="L1581" i="1"/>
  <c r="K1581" i="1"/>
  <c r="M1580" i="1"/>
  <c r="L1580" i="1"/>
  <c r="K1580" i="1"/>
  <c r="M1579" i="1"/>
  <c r="L1579" i="1"/>
  <c r="K1579" i="1"/>
  <c r="M1578" i="1"/>
  <c r="L1578" i="1"/>
  <c r="K1578" i="1"/>
  <c r="M1577" i="1"/>
  <c r="L1577" i="1"/>
  <c r="K1577" i="1"/>
  <c r="M1576" i="1"/>
  <c r="L1576" i="1"/>
  <c r="K1576" i="1"/>
  <c r="M1575" i="1"/>
  <c r="L1575" i="1"/>
  <c r="K1575" i="1"/>
  <c r="M1574" i="1"/>
  <c r="L1574" i="1"/>
  <c r="K1574" i="1"/>
  <c r="M1573" i="1"/>
  <c r="L1573" i="1"/>
  <c r="K1573" i="1"/>
  <c r="M1572" i="1"/>
  <c r="L1572" i="1"/>
  <c r="K1572" i="1"/>
  <c r="M1571" i="1"/>
  <c r="L1571" i="1"/>
  <c r="K1571" i="1"/>
  <c r="M1570" i="1"/>
  <c r="L1570" i="1"/>
  <c r="K1570" i="1"/>
  <c r="M1569" i="1"/>
  <c r="L1569" i="1"/>
  <c r="K1569" i="1"/>
  <c r="M1568" i="1"/>
  <c r="L1568" i="1"/>
  <c r="K1568" i="1"/>
  <c r="M1567" i="1"/>
  <c r="L1567" i="1"/>
  <c r="K1567" i="1"/>
  <c r="M1566" i="1"/>
  <c r="L1566" i="1"/>
  <c r="K1566" i="1"/>
  <c r="M1565" i="1"/>
  <c r="L1565" i="1"/>
  <c r="K1565" i="1"/>
  <c r="M1564" i="1"/>
  <c r="L1564" i="1"/>
  <c r="K1564" i="1"/>
  <c r="M1563" i="1"/>
  <c r="L1563" i="1"/>
  <c r="K1563" i="1"/>
  <c r="M1562" i="1"/>
  <c r="L1562" i="1"/>
  <c r="K1562" i="1"/>
  <c r="M1561" i="1"/>
  <c r="L1561" i="1"/>
  <c r="K1561" i="1"/>
  <c r="M1560" i="1"/>
  <c r="L1560" i="1"/>
  <c r="K1560" i="1"/>
  <c r="M1559" i="1"/>
  <c r="L1559" i="1"/>
  <c r="K1559" i="1"/>
  <c r="M1558" i="1"/>
  <c r="L1558" i="1"/>
  <c r="K1558" i="1"/>
  <c r="M1557" i="1"/>
  <c r="L1557" i="1"/>
  <c r="K1557" i="1"/>
  <c r="M1556" i="1"/>
  <c r="L1556" i="1"/>
  <c r="K1556" i="1"/>
  <c r="M1555" i="1"/>
  <c r="L1555" i="1"/>
  <c r="K1555" i="1"/>
  <c r="M1554" i="1"/>
  <c r="L1554" i="1"/>
  <c r="K1554" i="1"/>
  <c r="M1553" i="1"/>
  <c r="L1553" i="1"/>
  <c r="K1553" i="1"/>
  <c r="M1552" i="1"/>
  <c r="L1552" i="1"/>
  <c r="K1552" i="1"/>
  <c r="M1551" i="1"/>
  <c r="L1551" i="1"/>
  <c r="K1551" i="1"/>
  <c r="M1550" i="1"/>
  <c r="L1550" i="1"/>
  <c r="K1550" i="1"/>
  <c r="M1549" i="1"/>
  <c r="L1549" i="1"/>
  <c r="K1549" i="1"/>
  <c r="M1548" i="1"/>
  <c r="L1548" i="1"/>
  <c r="K1548" i="1"/>
  <c r="M1547" i="1"/>
  <c r="L1547" i="1"/>
  <c r="K1547" i="1"/>
  <c r="M1546" i="1"/>
  <c r="L1546" i="1"/>
  <c r="K1546" i="1"/>
  <c r="M1545" i="1"/>
  <c r="L1545" i="1"/>
  <c r="K1545" i="1"/>
  <c r="M1544" i="1"/>
  <c r="L1544" i="1"/>
  <c r="K1544" i="1"/>
  <c r="M1543" i="1"/>
  <c r="L1543" i="1"/>
  <c r="K1543" i="1"/>
  <c r="M1542" i="1"/>
  <c r="L1542" i="1"/>
  <c r="K1542" i="1"/>
  <c r="M1541" i="1"/>
  <c r="L1541" i="1"/>
  <c r="K1541" i="1"/>
  <c r="M1540" i="1"/>
  <c r="L1540" i="1"/>
  <c r="K1540" i="1"/>
  <c r="M1539" i="1"/>
  <c r="L1539" i="1"/>
  <c r="K1539" i="1"/>
  <c r="M1538" i="1"/>
  <c r="L1538" i="1"/>
  <c r="K1538" i="1"/>
  <c r="M1537" i="1"/>
  <c r="L1537" i="1"/>
  <c r="K1537" i="1"/>
  <c r="M1536" i="1"/>
  <c r="L1536" i="1"/>
  <c r="K1536" i="1"/>
  <c r="M1535" i="1"/>
  <c r="L1535" i="1"/>
  <c r="K1535" i="1"/>
  <c r="M1534" i="1"/>
  <c r="L1534" i="1"/>
  <c r="K1534" i="1"/>
  <c r="M1533" i="1"/>
  <c r="L1533" i="1"/>
  <c r="K1533" i="1"/>
  <c r="M1532" i="1"/>
  <c r="L1532" i="1"/>
  <c r="K1532" i="1"/>
  <c r="M1531" i="1"/>
  <c r="L1531" i="1"/>
  <c r="K1531" i="1"/>
  <c r="M1530" i="1"/>
  <c r="L1530" i="1"/>
  <c r="K1530" i="1"/>
  <c r="M1529" i="1"/>
  <c r="L1529" i="1"/>
  <c r="K1529" i="1"/>
  <c r="M1528" i="1"/>
  <c r="L1528" i="1"/>
  <c r="K1528" i="1"/>
  <c r="M1527" i="1"/>
  <c r="L1527" i="1"/>
  <c r="K1527" i="1"/>
  <c r="M1526" i="1"/>
  <c r="L1526" i="1"/>
  <c r="K1526" i="1"/>
  <c r="M1525" i="1"/>
  <c r="L1525" i="1"/>
  <c r="K1525" i="1"/>
  <c r="M1524" i="1"/>
  <c r="L1524" i="1"/>
  <c r="K1524" i="1"/>
  <c r="M1523" i="1"/>
  <c r="L1523" i="1"/>
  <c r="K1523" i="1"/>
  <c r="M1522" i="1"/>
  <c r="L1522" i="1"/>
  <c r="K1522" i="1"/>
  <c r="M1521" i="1"/>
  <c r="L1521" i="1"/>
  <c r="K1521" i="1"/>
  <c r="M1520" i="1"/>
  <c r="L1520" i="1"/>
  <c r="K1520" i="1"/>
  <c r="M1519" i="1"/>
  <c r="L1519" i="1"/>
  <c r="K1519" i="1"/>
  <c r="M1518" i="1"/>
  <c r="L1518" i="1"/>
  <c r="K1518" i="1"/>
  <c r="M1517" i="1"/>
  <c r="L1517" i="1"/>
  <c r="K1517" i="1"/>
  <c r="M1516" i="1"/>
  <c r="L1516" i="1"/>
  <c r="K1516" i="1"/>
  <c r="M1515" i="1"/>
  <c r="L1515" i="1"/>
  <c r="K1515" i="1"/>
  <c r="M1514" i="1"/>
  <c r="L1514" i="1"/>
  <c r="K1514" i="1"/>
  <c r="M1513" i="1"/>
  <c r="L1513" i="1"/>
  <c r="K1513" i="1"/>
  <c r="M1512" i="1"/>
  <c r="L1512" i="1"/>
  <c r="K1512" i="1"/>
  <c r="M1511" i="1"/>
  <c r="L1511" i="1"/>
  <c r="K1511" i="1"/>
  <c r="M1510" i="1"/>
  <c r="L1510" i="1"/>
  <c r="K1510" i="1"/>
  <c r="M1509" i="1"/>
  <c r="L1509" i="1"/>
  <c r="K1509" i="1"/>
  <c r="M1508" i="1"/>
  <c r="L1508" i="1"/>
  <c r="K1508" i="1"/>
  <c r="M1507" i="1"/>
  <c r="L1507" i="1"/>
  <c r="K1507" i="1"/>
  <c r="M1506" i="1"/>
  <c r="L1506" i="1"/>
  <c r="K1506" i="1"/>
  <c r="M1505" i="1"/>
  <c r="L1505" i="1"/>
  <c r="K1505" i="1"/>
  <c r="M1504" i="1"/>
  <c r="L1504" i="1"/>
  <c r="K1504" i="1"/>
  <c r="M1503" i="1"/>
  <c r="L1503" i="1"/>
  <c r="K1503" i="1"/>
  <c r="M1502" i="1"/>
  <c r="L1502" i="1"/>
  <c r="K1502" i="1"/>
  <c r="M1501" i="1"/>
  <c r="L1501" i="1"/>
  <c r="K1501" i="1"/>
  <c r="M1500" i="1"/>
  <c r="L1500" i="1"/>
  <c r="K1500" i="1"/>
  <c r="M1499" i="1"/>
  <c r="L1499" i="1"/>
  <c r="K1499" i="1"/>
  <c r="M1498" i="1"/>
  <c r="L1498" i="1"/>
  <c r="K1498" i="1"/>
  <c r="M1497" i="1"/>
  <c r="L1497" i="1"/>
  <c r="K1497" i="1"/>
  <c r="M1496" i="1"/>
  <c r="L1496" i="1"/>
  <c r="K1496" i="1"/>
  <c r="M1495" i="1"/>
  <c r="L1495" i="1"/>
  <c r="K1495" i="1"/>
  <c r="M1494" i="1"/>
  <c r="L1494" i="1"/>
  <c r="K1494" i="1"/>
  <c r="M1493" i="1"/>
  <c r="L1493" i="1"/>
  <c r="K1493" i="1"/>
  <c r="M1492" i="1"/>
  <c r="L1492" i="1"/>
  <c r="K1492" i="1"/>
  <c r="M1491" i="1"/>
  <c r="L1491" i="1"/>
  <c r="K1491" i="1"/>
  <c r="M1490" i="1"/>
  <c r="L1490" i="1"/>
  <c r="K1490" i="1"/>
  <c r="M1489" i="1"/>
  <c r="L1489" i="1"/>
  <c r="K1489" i="1"/>
  <c r="M1488" i="1"/>
  <c r="L1488" i="1"/>
  <c r="K1488" i="1"/>
  <c r="M1487" i="1"/>
  <c r="L1487" i="1"/>
  <c r="K1487" i="1"/>
  <c r="M1486" i="1"/>
  <c r="L1486" i="1"/>
  <c r="K1486" i="1"/>
  <c r="M1485" i="1"/>
  <c r="L1485" i="1"/>
  <c r="K1485" i="1"/>
  <c r="M1484" i="1"/>
  <c r="L1484" i="1"/>
  <c r="K1484" i="1"/>
  <c r="M1483" i="1"/>
  <c r="L1483" i="1"/>
  <c r="K1483" i="1"/>
  <c r="M1482" i="1"/>
  <c r="L1482" i="1"/>
  <c r="K1482" i="1"/>
  <c r="M1481" i="1"/>
  <c r="L1481" i="1"/>
  <c r="K1481" i="1"/>
  <c r="M1480" i="1"/>
  <c r="L1480" i="1"/>
  <c r="K1480" i="1"/>
  <c r="M1479" i="1"/>
  <c r="L1479" i="1"/>
  <c r="K1479" i="1"/>
  <c r="M1478" i="1"/>
  <c r="L1478" i="1"/>
  <c r="K1478" i="1"/>
  <c r="M1477" i="1"/>
  <c r="L1477" i="1"/>
  <c r="K1477" i="1"/>
  <c r="M1476" i="1"/>
  <c r="L1476" i="1"/>
  <c r="K1476" i="1"/>
  <c r="M1475" i="1"/>
  <c r="L1475" i="1"/>
  <c r="K1475" i="1"/>
  <c r="M1474" i="1"/>
  <c r="L1474" i="1"/>
  <c r="K1474" i="1"/>
  <c r="M1473" i="1"/>
  <c r="L1473" i="1"/>
  <c r="K1473" i="1"/>
  <c r="M1472" i="1"/>
  <c r="L1472" i="1"/>
  <c r="K1472" i="1"/>
  <c r="M1471" i="1"/>
  <c r="L1471" i="1"/>
  <c r="K1471" i="1"/>
  <c r="M1470" i="1"/>
  <c r="L1470" i="1"/>
  <c r="K1470" i="1"/>
  <c r="M1469" i="1"/>
  <c r="L1469" i="1"/>
  <c r="K1469" i="1"/>
  <c r="M1468" i="1"/>
  <c r="L1468" i="1"/>
  <c r="K1468" i="1"/>
  <c r="M1467" i="1"/>
  <c r="L1467" i="1"/>
  <c r="K1467" i="1"/>
  <c r="M1466" i="1"/>
  <c r="L1466" i="1"/>
  <c r="K1466" i="1"/>
  <c r="M1465" i="1"/>
  <c r="L1465" i="1"/>
  <c r="K1465" i="1"/>
  <c r="M1464" i="1"/>
  <c r="L1464" i="1"/>
  <c r="K1464" i="1"/>
  <c r="M1463" i="1"/>
  <c r="L1463" i="1"/>
  <c r="K1463" i="1"/>
  <c r="M1462" i="1"/>
  <c r="L1462" i="1"/>
  <c r="K1462" i="1"/>
  <c r="M1461" i="1"/>
  <c r="L1461" i="1"/>
  <c r="K1461" i="1"/>
  <c r="M1460" i="1"/>
  <c r="L1460" i="1"/>
  <c r="K1460" i="1"/>
  <c r="M1459" i="1"/>
  <c r="L1459" i="1"/>
  <c r="K1459" i="1"/>
  <c r="M1458" i="1"/>
  <c r="L1458" i="1"/>
  <c r="K1458" i="1"/>
  <c r="M1457" i="1"/>
  <c r="L1457" i="1"/>
  <c r="K1457" i="1"/>
  <c r="M1456" i="1"/>
  <c r="L1456" i="1"/>
  <c r="K1456" i="1"/>
  <c r="M1455" i="1"/>
  <c r="L1455" i="1"/>
  <c r="K1455" i="1"/>
  <c r="M1454" i="1"/>
  <c r="L1454" i="1"/>
  <c r="K1454" i="1"/>
  <c r="M1453" i="1"/>
  <c r="L1453" i="1"/>
  <c r="K1453" i="1"/>
  <c r="M1452" i="1"/>
  <c r="L1452" i="1"/>
  <c r="K1452" i="1"/>
  <c r="M1451" i="1"/>
  <c r="L1451" i="1"/>
  <c r="K1451" i="1"/>
  <c r="M1450" i="1"/>
  <c r="L1450" i="1"/>
  <c r="K1450" i="1"/>
  <c r="M1449" i="1"/>
  <c r="L1449" i="1"/>
  <c r="K1449" i="1"/>
  <c r="M1448" i="1"/>
  <c r="L1448" i="1"/>
  <c r="K1448" i="1"/>
  <c r="M1447" i="1"/>
  <c r="L1447" i="1"/>
  <c r="K1447" i="1"/>
  <c r="M1446" i="1"/>
  <c r="L1446" i="1"/>
  <c r="K1446" i="1"/>
  <c r="M1445" i="1"/>
  <c r="L1445" i="1"/>
  <c r="K1445" i="1"/>
  <c r="M1444" i="1"/>
  <c r="L1444" i="1"/>
  <c r="K1444" i="1"/>
  <c r="M1443" i="1"/>
  <c r="L1443" i="1"/>
  <c r="K1443" i="1"/>
  <c r="M1442" i="1"/>
  <c r="L1442" i="1"/>
  <c r="K1442" i="1"/>
  <c r="M1441" i="1"/>
  <c r="L1441" i="1"/>
  <c r="K1441" i="1"/>
  <c r="M1440" i="1"/>
  <c r="L1440" i="1"/>
  <c r="K1440" i="1"/>
  <c r="M1439" i="1"/>
  <c r="L1439" i="1"/>
  <c r="K1439" i="1"/>
  <c r="M1438" i="1"/>
  <c r="L1438" i="1"/>
  <c r="K1438" i="1"/>
  <c r="M1437" i="1"/>
  <c r="L1437" i="1"/>
  <c r="K1437" i="1"/>
  <c r="M1436" i="1"/>
  <c r="L1436" i="1"/>
  <c r="K1436" i="1"/>
  <c r="M1435" i="1"/>
  <c r="L1435" i="1"/>
  <c r="K1435" i="1"/>
  <c r="M1434" i="1"/>
  <c r="L1434" i="1"/>
  <c r="K1434" i="1"/>
  <c r="M1433" i="1"/>
  <c r="L1433" i="1"/>
  <c r="K1433" i="1"/>
  <c r="M1432" i="1"/>
  <c r="L1432" i="1"/>
  <c r="K1432" i="1"/>
  <c r="M1431" i="1"/>
  <c r="L1431" i="1"/>
  <c r="K1431" i="1"/>
  <c r="M1430" i="1"/>
  <c r="L1430" i="1"/>
  <c r="K1430" i="1"/>
  <c r="M1429" i="1"/>
  <c r="L1429" i="1"/>
  <c r="K1429" i="1"/>
  <c r="M1428" i="1"/>
  <c r="L1428" i="1"/>
  <c r="K1428" i="1"/>
  <c r="M1427" i="1"/>
  <c r="L1427" i="1"/>
  <c r="K1427" i="1"/>
  <c r="M1426" i="1"/>
  <c r="L1426" i="1"/>
  <c r="K1426" i="1"/>
  <c r="M1425" i="1"/>
  <c r="L1425" i="1"/>
  <c r="K1425" i="1"/>
  <c r="M1424" i="1"/>
  <c r="L1424" i="1"/>
  <c r="K1424" i="1"/>
  <c r="M1423" i="1"/>
  <c r="L1423" i="1"/>
  <c r="K1423" i="1"/>
  <c r="M1422" i="1"/>
  <c r="L1422" i="1"/>
  <c r="K1422" i="1"/>
  <c r="M1421" i="1"/>
  <c r="L1421" i="1"/>
  <c r="K1421" i="1"/>
  <c r="M1420" i="1"/>
  <c r="L1420" i="1"/>
  <c r="K1420" i="1"/>
  <c r="M1419" i="1"/>
  <c r="L1419" i="1"/>
  <c r="K1419" i="1"/>
  <c r="M1418" i="1"/>
  <c r="L1418" i="1"/>
  <c r="K1418" i="1"/>
  <c r="M1417" i="1"/>
  <c r="L1417" i="1"/>
  <c r="K1417" i="1"/>
  <c r="M1416" i="1"/>
  <c r="L1416" i="1"/>
  <c r="K1416" i="1"/>
  <c r="M1415" i="1"/>
  <c r="L1415" i="1"/>
  <c r="K1415" i="1"/>
  <c r="M1414" i="1"/>
  <c r="L1414" i="1"/>
  <c r="K1414" i="1"/>
  <c r="M1413" i="1"/>
  <c r="L1413" i="1"/>
  <c r="K1413" i="1"/>
  <c r="M1412" i="1"/>
  <c r="L1412" i="1"/>
  <c r="K1412" i="1"/>
  <c r="M1411" i="1"/>
  <c r="L1411" i="1"/>
  <c r="K1411" i="1"/>
  <c r="M1410" i="1"/>
  <c r="L1410" i="1"/>
  <c r="K1410" i="1"/>
  <c r="M1409" i="1"/>
  <c r="L1409" i="1"/>
  <c r="K1409" i="1"/>
  <c r="M1408" i="1"/>
  <c r="L1408" i="1"/>
  <c r="K1408" i="1"/>
  <c r="M1407" i="1"/>
  <c r="L1407" i="1"/>
  <c r="K1407" i="1"/>
  <c r="M1406" i="1"/>
  <c r="L1406" i="1"/>
  <c r="K1406" i="1"/>
  <c r="M1405" i="1"/>
  <c r="L1405" i="1"/>
  <c r="K1405" i="1"/>
  <c r="M1404" i="1"/>
  <c r="L1404" i="1"/>
  <c r="K1404" i="1"/>
  <c r="M1403" i="1"/>
  <c r="L1403" i="1"/>
  <c r="K1403" i="1"/>
  <c r="M1402" i="1"/>
  <c r="L1402" i="1"/>
  <c r="K1402" i="1"/>
  <c r="M1401" i="1"/>
  <c r="L1401" i="1"/>
  <c r="K1401" i="1"/>
  <c r="M1400" i="1"/>
  <c r="L1400" i="1"/>
  <c r="K1400" i="1"/>
  <c r="M1399" i="1"/>
  <c r="L1399" i="1"/>
  <c r="K1399" i="1"/>
  <c r="M1398" i="1"/>
  <c r="L1398" i="1"/>
  <c r="K1398" i="1"/>
  <c r="M1397" i="1"/>
  <c r="L1397" i="1"/>
  <c r="K1397" i="1"/>
  <c r="M1396" i="1"/>
  <c r="L1396" i="1"/>
  <c r="K1396" i="1"/>
  <c r="M1395" i="1"/>
  <c r="L1395" i="1"/>
  <c r="K1395" i="1"/>
  <c r="M1394" i="1"/>
  <c r="L1394" i="1"/>
  <c r="K1394" i="1"/>
  <c r="M1393" i="1"/>
  <c r="L1393" i="1"/>
  <c r="K1393" i="1"/>
  <c r="M1392" i="1"/>
  <c r="L1392" i="1"/>
  <c r="K1392" i="1"/>
  <c r="M1391" i="1"/>
  <c r="L1391" i="1"/>
  <c r="K1391" i="1"/>
  <c r="M1390" i="1"/>
  <c r="L1390" i="1"/>
  <c r="K1390" i="1"/>
  <c r="M1389" i="1"/>
  <c r="L1389" i="1"/>
  <c r="K1389" i="1"/>
  <c r="M1388" i="1"/>
  <c r="L1388" i="1"/>
  <c r="K1388" i="1"/>
  <c r="M1387" i="1"/>
  <c r="L1387" i="1"/>
  <c r="K1387" i="1"/>
  <c r="M1386" i="1"/>
  <c r="L1386" i="1"/>
  <c r="K1386" i="1"/>
  <c r="M1385" i="1"/>
  <c r="L1385" i="1"/>
  <c r="K1385" i="1"/>
  <c r="M1384" i="1"/>
  <c r="L1384" i="1"/>
  <c r="K1384" i="1"/>
  <c r="M1383" i="1"/>
  <c r="L1383" i="1"/>
  <c r="K1383" i="1"/>
  <c r="M1382" i="1"/>
  <c r="L1382" i="1"/>
  <c r="K1382" i="1"/>
  <c r="M1381" i="1"/>
  <c r="L1381" i="1"/>
  <c r="K1381" i="1"/>
  <c r="M1380" i="1"/>
  <c r="L1380" i="1"/>
  <c r="K1380" i="1"/>
  <c r="M1379" i="1"/>
  <c r="L1379" i="1"/>
  <c r="K1379" i="1"/>
  <c r="M1378" i="1"/>
  <c r="L1378" i="1"/>
  <c r="K1378" i="1"/>
  <c r="M1377" i="1"/>
  <c r="L1377" i="1"/>
  <c r="K1377" i="1"/>
  <c r="M1376" i="1"/>
  <c r="L1376" i="1"/>
  <c r="K1376" i="1"/>
  <c r="M1375" i="1"/>
  <c r="L1375" i="1"/>
  <c r="K1375" i="1"/>
  <c r="M1374" i="1"/>
  <c r="L1374" i="1"/>
  <c r="K1374" i="1"/>
  <c r="M1373" i="1"/>
  <c r="L1373" i="1"/>
  <c r="K1373" i="1"/>
  <c r="M1372" i="1"/>
  <c r="L1372" i="1"/>
  <c r="K1372" i="1"/>
  <c r="M1371" i="1"/>
  <c r="L1371" i="1"/>
  <c r="K1371" i="1"/>
  <c r="M1370" i="1"/>
  <c r="L1370" i="1"/>
  <c r="K1370" i="1"/>
  <c r="M1369" i="1"/>
  <c r="L1369" i="1"/>
  <c r="K1369" i="1"/>
  <c r="M1368" i="1"/>
  <c r="L1368" i="1"/>
  <c r="K1368" i="1"/>
  <c r="M1367" i="1"/>
  <c r="L1367" i="1"/>
  <c r="K1367" i="1"/>
  <c r="M1366" i="1"/>
  <c r="L1366" i="1"/>
  <c r="K1366" i="1"/>
  <c r="M1365" i="1"/>
  <c r="L1365" i="1"/>
  <c r="K1365" i="1"/>
  <c r="M1364" i="1"/>
  <c r="L1364" i="1"/>
  <c r="K1364" i="1"/>
  <c r="M1363" i="1"/>
  <c r="L1363" i="1"/>
  <c r="K1363" i="1"/>
  <c r="M1362" i="1"/>
  <c r="L1362" i="1"/>
  <c r="K1362" i="1"/>
  <c r="M1361" i="1"/>
  <c r="L1361" i="1"/>
  <c r="K1361" i="1"/>
  <c r="M1360" i="1"/>
  <c r="L1360" i="1"/>
  <c r="K1360" i="1"/>
  <c r="M1359" i="1"/>
  <c r="L1359" i="1"/>
  <c r="K1359" i="1"/>
  <c r="M1358" i="1"/>
  <c r="L1358" i="1"/>
  <c r="K1358" i="1"/>
  <c r="M1357" i="1"/>
  <c r="L1357" i="1"/>
  <c r="K1357" i="1"/>
  <c r="M1356" i="1"/>
  <c r="L1356" i="1"/>
  <c r="K1356" i="1"/>
  <c r="M1355" i="1"/>
  <c r="L1355" i="1"/>
  <c r="K1355" i="1"/>
  <c r="M1354" i="1"/>
  <c r="L1354" i="1"/>
  <c r="K1354" i="1"/>
  <c r="M1353" i="1"/>
  <c r="L1353" i="1"/>
  <c r="K1353" i="1"/>
  <c r="M1352" i="1"/>
  <c r="L1352" i="1"/>
  <c r="K1352" i="1"/>
  <c r="M1351" i="1"/>
  <c r="L1351" i="1"/>
  <c r="K1351" i="1"/>
  <c r="M1350" i="1"/>
  <c r="L1350" i="1"/>
  <c r="K1350" i="1"/>
  <c r="M1349" i="1"/>
  <c r="L1349" i="1"/>
  <c r="K1349" i="1"/>
  <c r="M1348" i="1"/>
  <c r="L1348" i="1"/>
  <c r="K1348" i="1"/>
  <c r="M1347" i="1"/>
  <c r="L1347" i="1"/>
  <c r="K1347" i="1"/>
  <c r="M1346" i="1"/>
  <c r="L1346" i="1"/>
  <c r="K1346" i="1"/>
  <c r="M1345" i="1"/>
  <c r="L1345" i="1"/>
  <c r="K1345" i="1"/>
  <c r="M1344" i="1"/>
  <c r="L1344" i="1"/>
  <c r="K1344" i="1"/>
  <c r="M1343" i="1"/>
  <c r="L1343" i="1"/>
  <c r="K1343" i="1"/>
  <c r="M1342" i="1"/>
  <c r="L1342" i="1"/>
  <c r="K1342" i="1"/>
  <c r="M1341" i="1"/>
  <c r="L1341" i="1"/>
  <c r="K1341" i="1"/>
  <c r="M1340" i="1"/>
  <c r="L1340" i="1"/>
  <c r="K1340" i="1"/>
  <c r="M1339" i="1"/>
  <c r="L1339" i="1"/>
  <c r="K1339" i="1"/>
  <c r="M1338" i="1"/>
  <c r="L1338" i="1"/>
  <c r="K1338" i="1"/>
  <c r="M1337" i="1"/>
  <c r="L1337" i="1"/>
  <c r="K1337" i="1"/>
  <c r="M1336" i="1"/>
  <c r="L1336" i="1"/>
  <c r="K1336" i="1"/>
  <c r="M1335" i="1"/>
  <c r="L1335" i="1"/>
  <c r="K1335" i="1"/>
  <c r="M1334" i="1"/>
  <c r="L1334" i="1"/>
  <c r="K1334" i="1"/>
  <c r="M1333" i="1"/>
  <c r="L1333" i="1"/>
  <c r="K1333" i="1"/>
  <c r="M1332" i="1"/>
  <c r="L1332" i="1"/>
  <c r="K1332" i="1"/>
  <c r="M1331" i="1"/>
  <c r="L1331" i="1"/>
  <c r="K1331" i="1"/>
  <c r="M1330" i="1"/>
  <c r="L1330" i="1"/>
  <c r="K1330" i="1"/>
  <c r="M1329" i="1"/>
  <c r="L1329" i="1"/>
  <c r="K1329" i="1"/>
  <c r="M1328" i="1"/>
  <c r="L1328" i="1"/>
  <c r="K1328" i="1"/>
  <c r="M1327" i="1"/>
  <c r="L1327" i="1"/>
  <c r="K1327" i="1"/>
  <c r="M1326" i="1"/>
  <c r="L1326" i="1"/>
  <c r="K1326" i="1"/>
  <c r="M1325" i="1"/>
  <c r="L1325" i="1"/>
  <c r="K1325" i="1"/>
  <c r="M1324" i="1"/>
  <c r="L1324" i="1"/>
  <c r="K1324" i="1"/>
  <c r="M1323" i="1"/>
  <c r="L1323" i="1"/>
  <c r="K1323" i="1"/>
  <c r="M1322" i="1"/>
  <c r="L1322" i="1"/>
  <c r="K1322" i="1"/>
  <c r="M1321" i="1"/>
  <c r="L1321" i="1"/>
  <c r="K1321" i="1"/>
  <c r="M1320" i="1"/>
  <c r="L1320" i="1"/>
  <c r="K1320" i="1"/>
  <c r="M1319" i="1"/>
  <c r="L1319" i="1"/>
  <c r="K1319" i="1"/>
  <c r="M1318" i="1"/>
  <c r="L1318" i="1"/>
  <c r="K1318" i="1"/>
  <c r="M1317" i="1"/>
  <c r="L1317" i="1"/>
  <c r="K1317" i="1"/>
  <c r="M1316" i="1"/>
  <c r="L1316" i="1"/>
  <c r="K1316" i="1"/>
  <c r="M1315" i="1"/>
  <c r="L1315" i="1"/>
  <c r="K1315" i="1"/>
  <c r="M1314" i="1"/>
  <c r="L1314" i="1"/>
  <c r="K1314" i="1"/>
  <c r="M1313" i="1"/>
  <c r="L1313" i="1"/>
  <c r="K1313" i="1"/>
  <c r="M1312" i="1"/>
  <c r="L1312" i="1"/>
  <c r="K1312" i="1"/>
  <c r="M1311" i="1"/>
  <c r="L1311" i="1"/>
  <c r="K1311" i="1"/>
  <c r="M1310" i="1"/>
  <c r="L1310" i="1"/>
  <c r="K1310" i="1"/>
  <c r="M1309" i="1"/>
  <c r="L1309" i="1"/>
  <c r="K1309" i="1"/>
  <c r="M1308" i="1"/>
  <c r="L1308" i="1"/>
  <c r="K1308" i="1"/>
  <c r="M1307" i="1"/>
  <c r="L1307" i="1"/>
  <c r="K1307" i="1"/>
  <c r="M1306" i="1"/>
  <c r="L1306" i="1"/>
  <c r="K1306" i="1"/>
  <c r="M1305" i="1"/>
  <c r="L1305" i="1"/>
  <c r="K1305" i="1"/>
  <c r="M1304" i="1"/>
  <c r="L1304" i="1"/>
  <c r="K1304" i="1"/>
  <c r="M1303" i="1"/>
  <c r="L1303" i="1"/>
  <c r="K1303" i="1"/>
  <c r="M1302" i="1"/>
  <c r="L1302" i="1"/>
  <c r="K1302" i="1"/>
  <c r="M1301" i="1"/>
  <c r="L1301" i="1"/>
  <c r="K1301" i="1"/>
  <c r="M1300" i="1"/>
  <c r="L1300" i="1"/>
  <c r="K1300" i="1"/>
  <c r="M1299" i="1"/>
  <c r="L1299" i="1"/>
  <c r="K1299" i="1"/>
  <c r="M1298" i="1"/>
  <c r="L1298" i="1"/>
  <c r="K1298" i="1"/>
  <c r="M1297" i="1"/>
  <c r="L1297" i="1"/>
  <c r="K1297" i="1"/>
  <c r="M1296" i="1"/>
  <c r="L1296" i="1"/>
  <c r="K1296" i="1"/>
  <c r="M1295" i="1"/>
  <c r="L1295" i="1"/>
  <c r="K1295" i="1"/>
  <c r="M1294" i="1"/>
  <c r="L1294" i="1"/>
  <c r="K1294" i="1"/>
  <c r="M1293" i="1"/>
  <c r="L1293" i="1"/>
  <c r="K1293" i="1"/>
  <c r="M1292" i="1"/>
  <c r="L1292" i="1"/>
  <c r="K1292" i="1"/>
  <c r="M1291" i="1"/>
  <c r="L1291" i="1"/>
  <c r="K1291" i="1"/>
  <c r="M1290" i="1"/>
  <c r="L1290" i="1"/>
  <c r="K1290" i="1"/>
  <c r="M1289" i="1"/>
  <c r="L1289" i="1"/>
  <c r="K1289" i="1"/>
  <c r="M1288" i="1"/>
  <c r="L1288" i="1"/>
  <c r="K1288" i="1"/>
  <c r="M1287" i="1"/>
  <c r="L1287" i="1"/>
  <c r="K1287" i="1"/>
  <c r="M1286" i="1"/>
  <c r="L1286" i="1"/>
  <c r="K1286" i="1"/>
  <c r="M1285" i="1"/>
  <c r="L1285" i="1"/>
  <c r="K1285" i="1"/>
  <c r="M1284" i="1"/>
  <c r="L1284" i="1"/>
  <c r="K1284" i="1"/>
  <c r="M1283" i="1"/>
  <c r="L1283" i="1"/>
  <c r="K1283" i="1"/>
  <c r="M1282" i="1"/>
  <c r="L1282" i="1"/>
  <c r="K1282" i="1"/>
  <c r="M1281" i="1"/>
  <c r="L1281" i="1"/>
  <c r="K1281" i="1"/>
  <c r="M1280" i="1"/>
  <c r="L1280" i="1"/>
  <c r="K1280" i="1"/>
  <c r="M1279" i="1"/>
  <c r="L1279" i="1"/>
  <c r="K1279" i="1"/>
  <c r="M1278" i="1"/>
  <c r="L1278" i="1"/>
  <c r="K1278" i="1"/>
  <c r="M1277" i="1"/>
  <c r="L1277" i="1"/>
  <c r="K1277" i="1"/>
  <c r="M1276" i="1"/>
  <c r="L1276" i="1"/>
  <c r="K1276" i="1"/>
  <c r="M1275" i="1"/>
  <c r="L1275" i="1"/>
  <c r="K1275" i="1"/>
  <c r="M1274" i="1"/>
  <c r="L1274" i="1"/>
  <c r="K1274" i="1"/>
  <c r="M1273" i="1"/>
  <c r="L1273" i="1"/>
  <c r="K1273" i="1"/>
  <c r="M1272" i="1"/>
  <c r="L1272" i="1"/>
  <c r="K1272" i="1"/>
  <c r="M1271" i="1"/>
  <c r="L1271" i="1"/>
  <c r="K1271" i="1"/>
  <c r="M1270" i="1"/>
  <c r="L1270" i="1"/>
  <c r="K1270" i="1"/>
  <c r="M1269" i="1"/>
  <c r="L1269" i="1"/>
  <c r="K1269" i="1"/>
  <c r="M1268" i="1"/>
  <c r="L1268" i="1"/>
  <c r="K1268" i="1"/>
  <c r="M1267" i="1"/>
  <c r="L1267" i="1"/>
  <c r="K1267" i="1"/>
  <c r="M1266" i="1"/>
  <c r="L1266" i="1"/>
  <c r="K1266" i="1"/>
  <c r="M1265" i="1"/>
  <c r="L1265" i="1"/>
  <c r="K1265" i="1"/>
  <c r="M1264" i="1"/>
  <c r="L1264" i="1"/>
  <c r="K1264" i="1"/>
  <c r="M1263" i="1"/>
  <c r="L1263" i="1"/>
  <c r="K1263" i="1"/>
  <c r="M1262" i="1"/>
  <c r="L1262" i="1"/>
  <c r="K1262" i="1"/>
  <c r="M1261" i="1"/>
  <c r="L1261" i="1"/>
  <c r="K1261" i="1"/>
  <c r="M1260" i="1"/>
  <c r="L1260" i="1"/>
  <c r="K1260" i="1"/>
  <c r="M1259" i="1"/>
  <c r="L1259" i="1"/>
  <c r="K1259" i="1"/>
  <c r="M1258" i="1"/>
  <c r="L1258" i="1"/>
  <c r="K1258" i="1"/>
  <c r="M1257" i="1"/>
  <c r="L1257" i="1"/>
  <c r="K1257" i="1"/>
  <c r="M1256" i="1"/>
  <c r="L1256" i="1"/>
  <c r="K1256" i="1"/>
  <c r="M1255" i="1"/>
  <c r="L1255" i="1"/>
  <c r="K1255" i="1"/>
  <c r="M1254" i="1"/>
  <c r="L1254" i="1"/>
  <c r="K1254" i="1"/>
  <c r="M1253" i="1"/>
  <c r="L1253" i="1"/>
  <c r="K1253" i="1"/>
  <c r="M1252" i="1"/>
  <c r="L1252" i="1"/>
  <c r="K1252" i="1"/>
  <c r="M1251" i="1"/>
  <c r="L1251" i="1"/>
  <c r="K1251" i="1"/>
  <c r="M1250" i="1"/>
  <c r="L1250" i="1"/>
  <c r="K1250" i="1"/>
  <c r="M1249" i="1"/>
  <c r="L1249" i="1"/>
  <c r="K1249" i="1"/>
  <c r="M1248" i="1"/>
  <c r="L1248" i="1"/>
  <c r="K1248" i="1"/>
  <c r="M1247" i="1"/>
  <c r="L1247" i="1"/>
  <c r="K1247" i="1"/>
  <c r="M1246" i="1"/>
  <c r="L1246" i="1"/>
  <c r="K1246" i="1"/>
  <c r="M1245" i="1"/>
  <c r="L1245" i="1"/>
  <c r="K1245" i="1"/>
  <c r="M1244" i="1"/>
  <c r="L1244" i="1"/>
  <c r="K1244" i="1"/>
  <c r="M1243" i="1"/>
  <c r="L1243" i="1"/>
  <c r="K1243" i="1"/>
  <c r="M1242" i="1"/>
  <c r="L1242" i="1"/>
  <c r="K1242" i="1"/>
  <c r="M1241" i="1"/>
  <c r="L1241" i="1"/>
  <c r="K1241" i="1"/>
  <c r="M1240" i="1"/>
  <c r="L1240" i="1"/>
  <c r="K1240" i="1"/>
  <c r="M1239" i="1"/>
  <c r="L1239" i="1"/>
  <c r="K1239" i="1"/>
  <c r="M1238" i="1"/>
  <c r="L1238" i="1"/>
  <c r="K1238" i="1"/>
  <c r="M1237" i="1"/>
  <c r="L1237" i="1"/>
  <c r="K1237" i="1"/>
  <c r="M1236" i="1"/>
  <c r="L1236" i="1"/>
  <c r="K1236" i="1"/>
  <c r="M1235" i="1"/>
  <c r="L1235" i="1"/>
  <c r="K1235" i="1"/>
  <c r="M1234" i="1"/>
  <c r="L1234" i="1"/>
  <c r="K1234" i="1"/>
  <c r="M1233" i="1"/>
  <c r="L1233" i="1"/>
  <c r="K1233" i="1"/>
  <c r="M1232" i="1"/>
  <c r="L1232" i="1"/>
  <c r="K1232" i="1"/>
  <c r="M1231" i="1"/>
  <c r="L1231" i="1"/>
  <c r="K1231" i="1"/>
  <c r="M1230" i="1"/>
  <c r="L1230" i="1"/>
  <c r="K1230" i="1"/>
  <c r="M1229" i="1"/>
  <c r="L1229" i="1"/>
  <c r="K1229" i="1"/>
  <c r="M1228" i="1"/>
  <c r="L1228" i="1"/>
  <c r="K1228" i="1"/>
  <c r="M1227" i="1"/>
  <c r="L1227" i="1"/>
  <c r="K1227" i="1"/>
  <c r="M1226" i="1"/>
  <c r="L1226" i="1"/>
  <c r="K1226" i="1"/>
  <c r="M1225" i="1"/>
  <c r="L1225" i="1"/>
  <c r="K1225" i="1"/>
  <c r="M1224" i="1"/>
  <c r="L1224" i="1"/>
  <c r="K1224" i="1"/>
  <c r="M1223" i="1"/>
  <c r="L1223" i="1"/>
  <c r="K1223" i="1"/>
  <c r="M1222" i="1"/>
  <c r="L1222" i="1"/>
  <c r="K1222" i="1"/>
  <c r="M1221" i="1"/>
  <c r="L1221" i="1"/>
  <c r="K1221" i="1"/>
  <c r="M1220" i="1"/>
  <c r="L1220" i="1"/>
  <c r="K1220" i="1"/>
  <c r="M1219" i="1"/>
  <c r="L1219" i="1"/>
  <c r="K1219" i="1"/>
  <c r="M1218" i="1"/>
  <c r="L1218" i="1"/>
  <c r="K1218" i="1"/>
  <c r="M1217" i="1"/>
  <c r="L1217" i="1"/>
  <c r="K1217" i="1"/>
  <c r="M1216" i="1"/>
  <c r="L1216" i="1"/>
  <c r="K1216" i="1"/>
  <c r="M1215" i="1"/>
  <c r="L1215" i="1"/>
  <c r="K1215" i="1"/>
  <c r="M1214" i="1"/>
  <c r="L1214" i="1"/>
  <c r="K1214" i="1"/>
  <c r="M1213" i="1"/>
  <c r="L1213" i="1"/>
  <c r="K1213" i="1"/>
  <c r="M1212" i="1"/>
  <c r="L1212" i="1"/>
  <c r="K1212" i="1"/>
  <c r="M1211" i="1"/>
  <c r="L1211" i="1"/>
  <c r="K1211" i="1"/>
  <c r="M1210" i="1"/>
  <c r="L1210" i="1"/>
  <c r="K1210" i="1"/>
  <c r="M1209" i="1"/>
  <c r="L1209" i="1"/>
  <c r="K1209" i="1"/>
  <c r="M1208" i="1"/>
  <c r="L1208" i="1"/>
  <c r="K1208" i="1"/>
  <c r="M1207" i="1"/>
  <c r="L1207" i="1"/>
  <c r="K1207" i="1"/>
  <c r="M1206" i="1"/>
  <c r="L1206" i="1"/>
  <c r="K1206" i="1"/>
  <c r="M1205" i="1"/>
  <c r="L1205" i="1"/>
  <c r="K1205" i="1"/>
  <c r="M1204" i="1"/>
  <c r="L1204" i="1"/>
  <c r="K1204" i="1"/>
  <c r="M1203" i="1"/>
  <c r="L1203" i="1"/>
  <c r="K1203" i="1"/>
  <c r="M1202" i="1"/>
  <c r="L1202" i="1"/>
  <c r="K1202" i="1"/>
  <c r="M1201" i="1"/>
  <c r="L1201" i="1"/>
  <c r="K1201" i="1"/>
  <c r="M1200" i="1"/>
  <c r="L1200" i="1"/>
  <c r="K1200" i="1"/>
  <c r="M1199" i="1"/>
  <c r="L1199" i="1"/>
  <c r="K1199" i="1"/>
  <c r="M1198" i="1"/>
  <c r="L1198" i="1"/>
  <c r="K1198" i="1"/>
  <c r="M1197" i="1"/>
  <c r="L1197" i="1"/>
  <c r="K1197" i="1"/>
  <c r="M1196" i="1"/>
  <c r="L1196" i="1"/>
  <c r="K1196" i="1"/>
  <c r="M1195" i="1"/>
  <c r="L1195" i="1"/>
  <c r="K1195" i="1"/>
  <c r="M1194" i="1"/>
  <c r="L1194" i="1"/>
  <c r="K1194" i="1"/>
  <c r="M1193" i="1"/>
  <c r="L1193" i="1"/>
  <c r="K1193" i="1"/>
  <c r="M1192" i="1"/>
  <c r="L1192" i="1"/>
  <c r="K1192" i="1"/>
  <c r="M1191" i="1"/>
  <c r="L1191" i="1"/>
  <c r="K1191" i="1"/>
  <c r="M1190" i="1"/>
  <c r="L1190" i="1"/>
  <c r="K1190" i="1"/>
  <c r="M1189" i="1"/>
  <c r="L1189" i="1"/>
  <c r="K1189" i="1"/>
  <c r="M1188" i="1"/>
  <c r="L1188" i="1"/>
  <c r="K1188" i="1"/>
  <c r="M1187" i="1"/>
  <c r="L1187" i="1"/>
  <c r="K1187" i="1"/>
  <c r="M1186" i="1"/>
  <c r="L1186" i="1"/>
  <c r="K1186" i="1"/>
  <c r="M1185" i="1"/>
  <c r="L1185" i="1"/>
  <c r="K1185" i="1"/>
  <c r="M1184" i="1"/>
  <c r="L1184" i="1"/>
  <c r="K1184" i="1"/>
  <c r="M1183" i="1"/>
  <c r="L1183" i="1"/>
  <c r="K1183" i="1"/>
  <c r="M1182" i="1"/>
  <c r="L1182" i="1"/>
  <c r="K1182" i="1"/>
  <c r="M1181" i="1"/>
  <c r="L1181" i="1"/>
  <c r="K1181" i="1"/>
  <c r="M1180" i="1"/>
  <c r="L1180" i="1"/>
  <c r="K1180" i="1"/>
  <c r="M1179" i="1"/>
  <c r="L1179" i="1"/>
  <c r="K1179" i="1"/>
  <c r="M1178" i="1"/>
  <c r="L1178" i="1"/>
  <c r="K1178" i="1"/>
  <c r="M1177" i="1"/>
  <c r="L1177" i="1"/>
  <c r="K1177" i="1"/>
  <c r="M1176" i="1"/>
  <c r="L1176" i="1"/>
  <c r="K1176" i="1"/>
  <c r="M1175" i="1"/>
  <c r="L1175" i="1"/>
  <c r="K1175" i="1"/>
  <c r="M1174" i="1"/>
  <c r="L1174" i="1"/>
  <c r="K1174" i="1"/>
  <c r="M1173" i="1"/>
  <c r="L1173" i="1"/>
  <c r="K1173" i="1"/>
  <c r="M1172" i="1"/>
  <c r="L1172" i="1"/>
  <c r="K1172" i="1"/>
  <c r="M1171" i="1"/>
  <c r="L1171" i="1"/>
  <c r="K1171" i="1"/>
  <c r="M1170" i="1"/>
  <c r="L1170" i="1"/>
  <c r="K1170" i="1"/>
  <c r="M1169" i="1"/>
  <c r="L1169" i="1"/>
  <c r="K1169" i="1"/>
  <c r="M1168" i="1"/>
  <c r="L1168" i="1"/>
  <c r="K1168" i="1"/>
  <c r="M1167" i="1"/>
  <c r="L1167" i="1"/>
  <c r="K1167" i="1"/>
  <c r="M1166" i="1"/>
  <c r="L1166" i="1"/>
  <c r="K1166" i="1"/>
  <c r="M1165" i="1"/>
  <c r="L1165" i="1"/>
  <c r="K1165" i="1"/>
  <c r="M1164" i="1"/>
  <c r="L1164" i="1"/>
  <c r="K1164" i="1"/>
  <c r="M1163" i="1"/>
  <c r="L1163" i="1"/>
  <c r="K1163" i="1"/>
  <c r="M1162" i="1"/>
  <c r="L1162" i="1"/>
  <c r="K1162" i="1"/>
  <c r="M1161" i="1"/>
  <c r="L1161" i="1"/>
  <c r="K1161" i="1"/>
  <c r="M1160" i="1"/>
  <c r="L1160" i="1"/>
  <c r="K1160" i="1"/>
  <c r="M1159" i="1"/>
  <c r="L1159" i="1"/>
  <c r="K1159" i="1"/>
  <c r="M1158" i="1"/>
  <c r="L1158" i="1"/>
  <c r="K1158" i="1"/>
  <c r="M1157" i="1"/>
  <c r="L1157" i="1"/>
  <c r="K1157" i="1"/>
  <c r="M1156" i="1"/>
  <c r="L1156" i="1"/>
  <c r="K1156" i="1"/>
  <c r="M1155" i="1"/>
  <c r="L1155" i="1"/>
  <c r="K1155" i="1"/>
  <c r="M1154" i="1"/>
  <c r="L1154" i="1"/>
  <c r="K1154" i="1"/>
  <c r="M1153" i="1"/>
  <c r="L1153" i="1"/>
  <c r="K1153" i="1"/>
  <c r="M1152" i="1"/>
  <c r="L1152" i="1"/>
  <c r="K1152" i="1"/>
  <c r="M1151" i="1"/>
  <c r="L1151" i="1"/>
  <c r="K1151" i="1"/>
  <c r="M1150" i="1"/>
  <c r="L1150" i="1"/>
  <c r="K1150" i="1"/>
  <c r="M1149" i="1"/>
  <c r="L1149" i="1"/>
  <c r="K1149" i="1"/>
  <c r="M1148" i="1"/>
  <c r="L1148" i="1"/>
  <c r="K1148" i="1"/>
  <c r="M1147" i="1"/>
  <c r="L1147" i="1"/>
  <c r="K1147" i="1"/>
  <c r="M1146" i="1"/>
  <c r="L1146" i="1"/>
  <c r="K1146" i="1"/>
  <c r="M1145" i="1"/>
  <c r="L1145" i="1"/>
  <c r="K1145" i="1"/>
  <c r="M1144" i="1"/>
  <c r="L1144" i="1"/>
  <c r="K1144" i="1"/>
  <c r="M1143" i="1"/>
  <c r="L1143" i="1"/>
  <c r="K1143" i="1"/>
  <c r="M1142" i="1"/>
  <c r="L1142" i="1"/>
  <c r="K1142" i="1"/>
  <c r="M1141" i="1"/>
  <c r="L1141" i="1"/>
  <c r="K1141" i="1"/>
  <c r="M1140" i="1"/>
  <c r="L1140" i="1"/>
  <c r="K1140" i="1"/>
  <c r="M1139" i="1"/>
  <c r="L1139" i="1"/>
  <c r="K1139" i="1"/>
  <c r="M1138" i="1"/>
  <c r="L1138" i="1"/>
  <c r="K1138" i="1"/>
  <c r="M1137" i="1"/>
  <c r="L1137" i="1"/>
  <c r="K1137" i="1"/>
  <c r="M1136" i="1"/>
  <c r="L1136" i="1"/>
  <c r="K1136" i="1"/>
  <c r="M1135" i="1"/>
  <c r="L1135" i="1"/>
  <c r="K1135" i="1"/>
  <c r="M1134" i="1"/>
  <c r="L1134" i="1"/>
  <c r="K1134" i="1"/>
  <c r="M1133" i="1"/>
  <c r="L1133" i="1"/>
  <c r="K1133" i="1"/>
  <c r="M1132" i="1"/>
  <c r="L1132" i="1"/>
  <c r="K1132" i="1"/>
  <c r="M1131" i="1"/>
  <c r="L1131" i="1"/>
  <c r="K1131" i="1"/>
  <c r="M1130" i="1"/>
  <c r="L1130" i="1"/>
  <c r="K1130" i="1"/>
  <c r="M1129" i="1"/>
  <c r="L1129" i="1"/>
  <c r="K1129" i="1"/>
  <c r="M1128" i="1"/>
  <c r="L1128" i="1"/>
  <c r="K1128" i="1"/>
  <c r="M1127" i="1"/>
  <c r="L1127" i="1"/>
  <c r="K1127" i="1"/>
  <c r="M1126" i="1"/>
  <c r="L1126" i="1"/>
  <c r="K1126" i="1"/>
  <c r="M1125" i="1"/>
  <c r="L1125" i="1"/>
  <c r="K1125" i="1"/>
  <c r="M1124" i="1"/>
  <c r="L1124" i="1"/>
  <c r="K1124" i="1"/>
  <c r="M1123" i="1"/>
  <c r="L1123" i="1"/>
  <c r="K1123" i="1"/>
  <c r="M1122" i="1"/>
  <c r="L1122" i="1"/>
  <c r="K1122" i="1"/>
  <c r="M1121" i="1"/>
  <c r="L1121" i="1"/>
  <c r="K1121" i="1"/>
  <c r="M1120" i="1"/>
  <c r="L1120" i="1"/>
  <c r="K1120" i="1"/>
  <c r="M1119" i="1"/>
  <c r="L1119" i="1"/>
  <c r="K1119" i="1"/>
  <c r="M1118" i="1"/>
  <c r="L1118" i="1"/>
  <c r="K1118" i="1"/>
  <c r="M1117" i="1"/>
  <c r="L1117" i="1"/>
  <c r="K1117" i="1"/>
  <c r="M1116" i="1"/>
  <c r="L1116" i="1"/>
  <c r="K1116" i="1"/>
  <c r="M1115" i="1"/>
  <c r="L1115" i="1"/>
  <c r="K1115" i="1"/>
  <c r="M1114" i="1"/>
  <c r="L1114" i="1"/>
  <c r="K1114" i="1"/>
  <c r="M1113" i="1"/>
  <c r="L1113" i="1"/>
  <c r="K1113" i="1"/>
  <c r="M1112" i="1"/>
  <c r="L1112" i="1"/>
  <c r="K1112" i="1"/>
  <c r="M1111" i="1"/>
  <c r="L1111" i="1"/>
  <c r="K1111" i="1"/>
  <c r="M1110" i="1"/>
  <c r="L1110" i="1"/>
  <c r="K1110" i="1"/>
  <c r="M1109" i="1"/>
  <c r="L1109" i="1"/>
  <c r="K1109" i="1"/>
  <c r="M1108" i="1"/>
  <c r="L1108" i="1"/>
  <c r="K1108" i="1"/>
  <c r="M1107" i="1"/>
  <c r="L1107" i="1"/>
  <c r="K1107" i="1"/>
  <c r="M1106" i="1"/>
  <c r="L1106" i="1"/>
  <c r="K1106" i="1"/>
  <c r="M1105" i="1"/>
  <c r="L1105" i="1"/>
  <c r="K1105" i="1"/>
  <c r="M1104" i="1"/>
  <c r="L1104" i="1"/>
  <c r="K1104" i="1"/>
  <c r="M1103" i="1"/>
  <c r="L1103" i="1"/>
  <c r="K1103" i="1"/>
  <c r="M1102" i="1"/>
  <c r="L1102" i="1"/>
  <c r="K1102" i="1"/>
  <c r="M1101" i="1"/>
  <c r="L1101" i="1"/>
  <c r="K1101" i="1"/>
  <c r="M1100" i="1"/>
  <c r="L1100" i="1"/>
  <c r="K1100" i="1"/>
  <c r="M1099" i="1"/>
  <c r="L1099" i="1"/>
  <c r="K1099" i="1"/>
  <c r="M1098" i="1"/>
  <c r="L1098" i="1"/>
  <c r="K1098" i="1"/>
  <c r="M1097" i="1"/>
  <c r="L1097" i="1"/>
  <c r="K1097" i="1"/>
  <c r="M1096" i="1"/>
  <c r="L1096" i="1"/>
  <c r="K1096" i="1"/>
  <c r="M1095" i="1"/>
  <c r="L1095" i="1"/>
  <c r="K1095" i="1"/>
  <c r="M1094" i="1"/>
  <c r="L1094" i="1"/>
  <c r="K1094" i="1"/>
  <c r="M1093" i="1"/>
  <c r="L1093" i="1"/>
  <c r="K1093" i="1"/>
  <c r="M1092" i="1"/>
  <c r="L1092" i="1"/>
  <c r="K1092" i="1"/>
  <c r="M1091" i="1"/>
  <c r="L1091" i="1"/>
  <c r="K1091" i="1"/>
  <c r="M1090" i="1"/>
  <c r="L1090" i="1"/>
  <c r="K1090" i="1"/>
  <c r="M1089" i="1"/>
  <c r="L1089" i="1"/>
  <c r="K1089" i="1"/>
  <c r="M1088" i="1"/>
  <c r="L1088" i="1"/>
  <c r="K1088" i="1"/>
  <c r="M1087" i="1"/>
  <c r="L1087" i="1"/>
  <c r="K1087" i="1"/>
  <c r="M1086" i="1"/>
  <c r="L1086" i="1"/>
  <c r="K1086" i="1"/>
  <c r="M1085" i="1"/>
  <c r="L1085" i="1"/>
  <c r="K1085" i="1"/>
  <c r="M1084" i="1"/>
  <c r="L1084" i="1"/>
  <c r="K1084" i="1"/>
  <c r="M1083" i="1"/>
  <c r="L1083" i="1"/>
  <c r="K1083" i="1"/>
  <c r="M1082" i="1"/>
  <c r="L1082" i="1"/>
  <c r="K1082" i="1"/>
  <c r="M1081" i="1"/>
  <c r="L1081" i="1"/>
  <c r="K1081" i="1"/>
  <c r="M1080" i="1"/>
  <c r="L1080" i="1"/>
  <c r="K1080" i="1"/>
  <c r="M1079" i="1"/>
  <c r="L1079" i="1"/>
  <c r="K1079" i="1"/>
  <c r="M1078" i="1"/>
  <c r="L1078" i="1"/>
  <c r="K1078" i="1"/>
  <c r="M1077" i="1"/>
  <c r="L1077" i="1"/>
  <c r="K1077" i="1"/>
  <c r="M1076" i="1"/>
  <c r="L1076" i="1"/>
  <c r="K1076" i="1"/>
  <c r="M1075" i="1"/>
  <c r="L1075" i="1"/>
  <c r="K1075" i="1"/>
  <c r="M1074" i="1"/>
  <c r="L1074" i="1"/>
  <c r="K1074" i="1"/>
  <c r="M1073" i="1"/>
  <c r="L1073" i="1"/>
  <c r="K1073" i="1"/>
  <c r="M1072" i="1"/>
  <c r="L1072" i="1"/>
  <c r="K1072" i="1"/>
  <c r="M1071" i="1"/>
  <c r="L1071" i="1"/>
  <c r="K1071" i="1"/>
  <c r="M1070" i="1"/>
  <c r="L1070" i="1"/>
  <c r="K1070" i="1"/>
  <c r="M1069" i="1"/>
  <c r="L1069" i="1"/>
  <c r="K1069" i="1"/>
  <c r="M1068" i="1"/>
  <c r="L1068" i="1"/>
  <c r="K1068" i="1"/>
  <c r="M1067" i="1"/>
  <c r="L1067" i="1"/>
  <c r="K1067" i="1"/>
  <c r="M1066" i="1"/>
  <c r="L1066" i="1"/>
  <c r="K1066" i="1"/>
  <c r="M1065" i="1"/>
  <c r="L1065" i="1"/>
  <c r="K1065" i="1"/>
  <c r="M1064" i="1"/>
  <c r="L1064" i="1"/>
  <c r="K1064" i="1"/>
  <c r="M1063" i="1"/>
  <c r="L1063" i="1"/>
  <c r="K1063" i="1"/>
  <c r="M1062" i="1"/>
  <c r="L1062" i="1"/>
  <c r="K1062" i="1"/>
  <c r="M1061" i="1"/>
  <c r="L1061" i="1"/>
  <c r="K1061" i="1"/>
  <c r="M1060" i="1"/>
  <c r="L1060" i="1"/>
  <c r="K1060" i="1"/>
  <c r="M1059" i="1"/>
  <c r="L1059" i="1"/>
  <c r="K1059" i="1"/>
  <c r="M1058" i="1"/>
  <c r="L1058" i="1"/>
  <c r="K1058" i="1"/>
  <c r="M1057" i="1"/>
  <c r="L1057" i="1"/>
  <c r="K1057" i="1"/>
  <c r="M1056" i="1"/>
  <c r="L1056" i="1"/>
  <c r="K1056" i="1"/>
  <c r="M1055" i="1"/>
  <c r="L1055" i="1"/>
  <c r="K1055" i="1"/>
  <c r="M1054" i="1"/>
  <c r="L1054" i="1"/>
  <c r="K1054" i="1"/>
  <c r="M1053" i="1"/>
  <c r="L1053" i="1"/>
  <c r="K1053" i="1"/>
  <c r="M1052" i="1"/>
  <c r="L1052" i="1"/>
  <c r="K1052" i="1"/>
  <c r="M1051" i="1"/>
  <c r="L1051" i="1"/>
  <c r="K1051" i="1"/>
  <c r="M1050" i="1"/>
  <c r="L1050" i="1"/>
  <c r="K1050" i="1"/>
  <c r="M1049" i="1"/>
  <c r="L1049" i="1"/>
  <c r="K1049" i="1"/>
  <c r="M1048" i="1"/>
  <c r="L1048" i="1"/>
  <c r="K1048" i="1"/>
  <c r="M1047" i="1"/>
  <c r="L1047" i="1"/>
  <c r="K1047" i="1"/>
  <c r="M1046" i="1"/>
  <c r="L1046" i="1"/>
  <c r="K1046" i="1"/>
  <c r="M1045" i="1"/>
  <c r="L1045" i="1"/>
  <c r="K1045" i="1"/>
  <c r="M1044" i="1"/>
  <c r="L1044" i="1"/>
  <c r="K1044" i="1"/>
  <c r="M1043" i="1"/>
  <c r="L1043" i="1"/>
  <c r="K1043" i="1"/>
  <c r="M1042" i="1"/>
  <c r="L1042" i="1"/>
  <c r="K1042" i="1"/>
  <c r="M1041" i="1"/>
  <c r="L1041" i="1"/>
  <c r="K1041" i="1"/>
  <c r="M1040" i="1"/>
  <c r="L1040" i="1"/>
  <c r="K1040" i="1"/>
  <c r="M1039" i="1"/>
  <c r="L1039" i="1"/>
  <c r="K1039" i="1"/>
  <c r="M1038" i="1"/>
  <c r="L1038" i="1"/>
  <c r="K1038" i="1"/>
  <c r="M1037" i="1"/>
  <c r="L1037" i="1"/>
  <c r="K1037" i="1"/>
  <c r="M1036" i="1"/>
  <c r="L1036" i="1"/>
  <c r="K1036" i="1"/>
  <c r="M1035" i="1"/>
  <c r="L1035" i="1"/>
  <c r="K1035" i="1"/>
  <c r="M1034" i="1"/>
  <c r="L1034" i="1"/>
  <c r="K1034" i="1"/>
  <c r="M1033" i="1"/>
  <c r="L1033" i="1"/>
  <c r="K1033" i="1"/>
  <c r="M1032" i="1"/>
  <c r="L1032" i="1"/>
  <c r="K1032" i="1"/>
  <c r="M1031" i="1"/>
  <c r="L1031" i="1"/>
  <c r="K1031" i="1"/>
  <c r="M1030" i="1"/>
  <c r="L1030" i="1"/>
  <c r="K1030" i="1"/>
  <c r="M1029" i="1"/>
  <c r="L1029" i="1"/>
  <c r="K1029" i="1"/>
  <c r="M1028" i="1"/>
  <c r="L1028" i="1"/>
  <c r="K1028" i="1"/>
  <c r="M1027" i="1"/>
  <c r="L1027" i="1"/>
  <c r="K1027" i="1"/>
  <c r="M1026" i="1"/>
  <c r="L1026" i="1"/>
  <c r="K1026" i="1"/>
  <c r="M1025" i="1"/>
  <c r="L1025" i="1"/>
  <c r="K1025" i="1"/>
  <c r="M1024" i="1"/>
  <c r="L1024" i="1"/>
  <c r="K1024" i="1"/>
  <c r="M1023" i="1"/>
  <c r="L1023" i="1"/>
  <c r="K1023" i="1"/>
  <c r="M1022" i="1"/>
  <c r="L1022" i="1"/>
  <c r="K1022" i="1"/>
  <c r="M1021" i="1"/>
  <c r="L1021" i="1"/>
  <c r="K1021" i="1"/>
  <c r="M1020" i="1"/>
  <c r="L1020" i="1"/>
  <c r="K1020" i="1"/>
  <c r="M1019" i="1"/>
  <c r="L1019" i="1"/>
  <c r="K1019" i="1"/>
  <c r="M1018" i="1"/>
  <c r="L1018" i="1"/>
  <c r="K1018" i="1"/>
  <c r="M1017" i="1"/>
  <c r="L1017" i="1"/>
  <c r="K1017" i="1"/>
  <c r="M1016" i="1"/>
  <c r="L1016" i="1"/>
  <c r="K1016" i="1"/>
  <c r="M1015" i="1"/>
  <c r="L1015" i="1"/>
  <c r="K1015" i="1"/>
  <c r="M1014" i="1"/>
  <c r="L1014" i="1"/>
  <c r="K1014" i="1"/>
  <c r="M1013" i="1"/>
  <c r="L1013" i="1"/>
  <c r="K1013" i="1"/>
  <c r="M1012" i="1"/>
  <c r="L1012" i="1"/>
  <c r="K1012" i="1"/>
  <c r="M1011" i="1"/>
  <c r="L1011" i="1"/>
  <c r="K1011" i="1"/>
  <c r="M1010" i="1"/>
  <c r="L1010" i="1"/>
  <c r="K1010" i="1"/>
  <c r="M1009" i="1"/>
  <c r="L1009" i="1"/>
  <c r="K1009" i="1"/>
  <c r="M1008" i="1"/>
  <c r="L1008" i="1"/>
  <c r="K1008" i="1"/>
  <c r="M1007" i="1"/>
  <c r="L1007" i="1"/>
  <c r="K1007" i="1"/>
  <c r="M1006" i="1"/>
  <c r="L1006" i="1"/>
  <c r="K1006" i="1"/>
  <c r="M1005" i="1"/>
  <c r="L1005" i="1"/>
  <c r="K1005" i="1"/>
  <c r="M1004" i="1"/>
  <c r="L1004" i="1"/>
  <c r="K1004" i="1"/>
  <c r="M1003" i="1"/>
  <c r="L1003" i="1"/>
  <c r="K1003" i="1"/>
  <c r="M1002" i="1"/>
  <c r="L1002" i="1"/>
  <c r="K1002" i="1"/>
  <c r="M1001" i="1"/>
  <c r="L1001" i="1"/>
  <c r="K1001" i="1"/>
  <c r="M1000" i="1"/>
  <c r="L1000" i="1"/>
  <c r="K1000" i="1"/>
  <c r="M999" i="1"/>
  <c r="L999" i="1"/>
  <c r="K999" i="1"/>
  <c r="M998" i="1"/>
  <c r="L998" i="1"/>
  <c r="K998" i="1"/>
  <c r="M997" i="1"/>
  <c r="L997" i="1"/>
  <c r="K997" i="1"/>
  <c r="M996" i="1"/>
  <c r="L996" i="1"/>
  <c r="K996" i="1"/>
  <c r="M995" i="1"/>
  <c r="L995" i="1"/>
  <c r="K995" i="1"/>
  <c r="M994" i="1"/>
  <c r="L994" i="1"/>
  <c r="K994" i="1"/>
  <c r="M993" i="1"/>
  <c r="L993" i="1"/>
  <c r="K993" i="1"/>
  <c r="M992" i="1"/>
  <c r="L992" i="1"/>
  <c r="K992" i="1"/>
  <c r="M991" i="1"/>
  <c r="L991" i="1"/>
  <c r="K991" i="1"/>
  <c r="M990" i="1"/>
  <c r="L990" i="1"/>
  <c r="K990" i="1"/>
  <c r="M989" i="1"/>
  <c r="L989" i="1"/>
  <c r="K989" i="1"/>
  <c r="M988" i="1"/>
  <c r="L988" i="1"/>
  <c r="K988" i="1"/>
  <c r="M987" i="1"/>
  <c r="L987" i="1"/>
  <c r="K987" i="1"/>
  <c r="M986" i="1"/>
  <c r="L986" i="1"/>
  <c r="K986" i="1"/>
  <c r="M985" i="1"/>
  <c r="L985" i="1"/>
  <c r="K985" i="1"/>
  <c r="M984" i="1"/>
  <c r="L984" i="1"/>
  <c r="K984" i="1"/>
  <c r="M983" i="1"/>
  <c r="L983" i="1"/>
  <c r="K983" i="1"/>
  <c r="M982" i="1"/>
  <c r="L982" i="1"/>
  <c r="K982" i="1"/>
  <c r="M981" i="1"/>
  <c r="L981" i="1"/>
  <c r="K981" i="1"/>
  <c r="M980" i="1"/>
  <c r="L980" i="1"/>
  <c r="K980" i="1"/>
  <c r="M979" i="1"/>
  <c r="L979" i="1"/>
  <c r="K979" i="1"/>
  <c r="M978" i="1"/>
  <c r="L978" i="1"/>
  <c r="K978" i="1"/>
  <c r="M977" i="1"/>
  <c r="L977" i="1"/>
  <c r="K977" i="1"/>
  <c r="M976" i="1"/>
  <c r="L976" i="1"/>
  <c r="K976" i="1"/>
  <c r="M975" i="1"/>
  <c r="L975" i="1"/>
  <c r="K975" i="1"/>
  <c r="M974" i="1"/>
  <c r="L974" i="1"/>
  <c r="K974" i="1"/>
  <c r="M973" i="1"/>
  <c r="L973" i="1"/>
  <c r="K973" i="1"/>
  <c r="M972" i="1"/>
  <c r="L972" i="1"/>
  <c r="K972" i="1"/>
  <c r="M971" i="1"/>
  <c r="L971" i="1"/>
  <c r="K971" i="1"/>
  <c r="M970" i="1"/>
  <c r="L970" i="1"/>
  <c r="K970" i="1"/>
  <c r="M969" i="1"/>
  <c r="L969" i="1"/>
  <c r="K969" i="1"/>
  <c r="M968" i="1"/>
  <c r="L968" i="1"/>
  <c r="K968" i="1"/>
  <c r="M967" i="1"/>
  <c r="L967" i="1"/>
  <c r="K967" i="1"/>
  <c r="M966" i="1"/>
  <c r="L966" i="1"/>
  <c r="K966" i="1"/>
  <c r="M965" i="1"/>
  <c r="L965" i="1"/>
  <c r="K965" i="1"/>
  <c r="M964" i="1"/>
  <c r="L964" i="1"/>
  <c r="K964" i="1"/>
  <c r="M963" i="1"/>
  <c r="L963" i="1"/>
  <c r="K963" i="1"/>
  <c r="M962" i="1"/>
  <c r="L962" i="1"/>
  <c r="K962" i="1"/>
  <c r="M961" i="1"/>
  <c r="L961" i="1"/>
  <c r="K961" i="1"/>
  <c r="M960" i="1"/>
  <c r="L960" i="1"/>
  <c r="K960" i="1"/>
  <c r="M959" i="1"/>
  <c r="L959" i="1"/>
  <c r="K959" i="1"/>
  <c r="M958" i="1"/>
  <c r="L958" i="1"/>
  <c r="K958" i="1"/>
  <c r="M957" i="1"/>
  <c r="L957" i="1"/>
  <c r="K957" i="1"/>
  <c r="M956" i="1"/>
  <c r="L956" i="1"/>
  <c r="K956" i="1"/>
  <c r="M955" i="1"/>
  <c r="L955" i="1"/>
  <c r="K955" i="1"/>
  <c r="M954" i="1"/>
  <c r="L954" i="1"/>
  <c r="K954" i="1"/>
  <c r="M953" i="1"/>
  <c r="L953" i="1"/>
  <c r="K953" i="1"/>
  <c r="M952" i="1"/>
  <c r="L952" i="1"/>
  <c r="K952" i="1"/>
  <c r="M951" i="1"/>
  <c r="L951" i="1"/>
  <c r="K951" i="1"/>
  <c r="M950" i="1"/>
  <c r="L950" i="1"/>
  <c r="K950" i="1"/>
  <c r="M949" i="1"/>
  <c r="L949" i="1"/>
  <c r="K949" i="1"/>
  <c r="M948" i="1"/>
  <c r="L948" i="1"/>
  <c r="K948" i="1"/>
  <c r="M947" i="1"/>
  <c r="L947" i="1"/>
  <c r="K947" i="1"/>
  <c r="M946" i="1"/>
  <c r="L946" i="1"/>
  <c r="K946" i="1"/>
  <c r="M945" i="1"/>
  <c r="L945" i="1"/>
  <c r="K945" i="1"/>
  <c r="M944" i="1"/>
  <c r="L944" i="1"/>
  <c r="K944" i="1"/>
  <c r="M943" i="1"/>
  <c r="L943" i="1"/>
  <c r="K943" i="1"/>
  <c r="M942" i="1"/>
  <c r="L942" i="1"/>
  <c r="K942" i="1"/>
  <c r="M941" i="1"/>
  <c r="L941" i="1"/>
  <c r="K941" i="1"/>
  <c r="M940" i="1"/>
  <c r="L940" i="1"/>
  <c r="K940" i="1"/>
  <c r="M939" i="1"/>
  <c r="L939" i="1"/>
  <c r="K939" i="1"/>
  <c r="M938" i="1"/>
  <c r="L938" i="1"/>
  <c r="K938" i="1"/>
  <c r="M937" i="1"/>
  <c r="L937" i="1"/>
  <c r="K937" i="1"/>
  <c r="M936" i="1"/>
  <c r="L936" i="1"/>
  <c r="K936" i="1"/>
  <c r="M935" i="1"/>
  <c r="L935" i="1"/>
  <c r="K935" i="1"/>
  <c r="M934" i="1"/>
  <c r="L934" i="1"/>
  <c r="K934" i="1"/>
  <c r="M933" i="1"/>
  <c r="L933" i="1"/>
  <c r="K933" i="1"/>
  <c r="M932" i="1"/>
  <c r="L932" i="1"/>
  <c r="K932" i="1"/>
  <c r="M931" i="1"/>
  <c r="L931" i="1"/>
  <c r="K931" i="1"/>
  <c r="M930" i="1"/>
  <c r="L930" i="1"/>
  <c r="K930" i="1"/>
  <c r="M929" i="1"/>
  <c r="L929" i="1"/>
  <c r="K929" i="1"/>
  <c r="M928" i="1"/>
  <c r="L928" i="1"/>
  <c r="K928" i="1"/>
  <c r="M927" i="1"/>
  <c r="L927" i="1"/>
  <c r="K927" i="1"/>
  <c r="M926" i="1"/>
  <c r="L926" i="1"/>
  <c r="K926" i="1"/>
  <c r="M925" i="1"/>
  <c r="L925" i="1"/>
  <c r="K925" i="1"/>
  <c r="M924" i="1"/>
  <c r="L924" i="1"/>
  <c r="K924" i="1"/>
  <c r="M923" i="1"/>
  <c r="L923" i="1"/>
  <c r="K923" i="1"/>
  <c r="M922" i="1"/>
  <c r="L922" i="1"/>
  <c r="K922" i="1"/>
  <c r="M921" i="1"/>
  <c r="L921" i="1"/>
  <c r="K921" i="1"/>
  <c r="M920" i="1"/>
  <c r="L920" i="1"/>
  <c r="K920" i="1"/>
  <c r="M919" i="1"/>
  <c r="L919" i="1"/>
  <c r="K919" i="1"/>
  <c r="M918" i="1"/>
  <c r="L918" i="1"/>
  <c r="K918" i="1"/>
  <c r="M917" i="1"/>
  <c r="L917" i="1"/>
  <c r="K917" i="1"/>
  <c r="M916" i="1"/>
  <c r="L916" i="1"/>
  <c r="K916" i="1"/>
  <c r="M915" i="1"/>
  <c r="L915" i="1"/>
  <c r="K915" i="1"/>
  <c r="M914" i="1"/>
  <c r="L914" i="1"/>
  <c r="K914" i="1"/>
  <c r="M913" i="1"/>
  <c r="L913" i="1"/>
  <c r="K913" i="1"/>
  <c r="M912" i="1"/>
  <c r="L912" i="1"/>
  <c r="K912" i="1"/>
  <c r="M911" i="1"/>
  <c r="L911" i="1"/>
  <c r="K911" i="1"/>
  <c r="M910" i="1"/>
  <c r="L910" i="1"/>
  <c r="K910" i="1"/>
  <c r="M909" i="1"/>
  <c r="L909" i="1"/>
  <c r="K909" i="1"/>
  <c r="M908" i="1"/>
  <c r="L908" i="1"/>
  <c r="K908" i="1"/>
  <c r="M907" i="1"/>
  <c r="L907" i="1"/>
  <c r="K907" i="1"/>
  <c r="M906" i="1"/>
  <c r="L906" i="1"/>
  <c r="K906" i="1"/>
  <c r="M905" i="1"/>
  <c r="L905" i="1"/>
  <c r="K905" i="1"/>
  <c r="M904" i="1"/>
  <c r="L904" i="1"/>
  <c r="K904" i="1"/>
  <c r="M903" i="1"/>
  <c r="L903" i="1"/>
  <c r="K903" i="1"/>
  <c r="M902" i="1"/>
  <c r="L902" i="1"/>
  <c r="K902" i="1"/>
  <c r="M901" i="1"/>
  <c r="L901" i="1"/>
  <c r="K901" i="1"/>
  <c r="M900" i="1"/>
  <c r="L900" i="1"/>
  <c r="K900" i="1"/>
  <c r="M899" i="1"/>
  <c r="L899" i="1"/>
  <c r="K899" i="1"/>
  <c r="M898" i="1"/>
  <c r="L898" i="1"/>
  <c r="K898" i="1"/>
  <c r="M897" i="1"/>
  <c r="L897" i="1"/>
  <c r="K897" i="1"/>
  <c r="M896" i="1"/>
  <c r="L896" i="1"/>
  <c r="K896" i="1"/>
  <c r="M895" i="1"/>
  <c r="L895" i="1"/>
  <c r="K895" i="1"/>
  <c r="M894" i="1"/>
  <c r="L894" i="1"/>
  <c r="K894" i="1"/>
  <c r="M893" i="1"/>
  <c r="L893" i="1"/>
  <c r="K893" i="1"/>
  <c r="M892" i="1"/>
  <c r="L892" i="1"/>
  <c r="K892" i="1"/>
  <c r="M891" i="1"/>
  <c r="L891" i="1"/>
  <c r="K891" i="1"/>
  <c r="M890" i="1"/>
  <c r="L890" i="1"/>
  <c r="K890" i="1"/>
  <c r="M889" i="1"/>
  <c r="L889" i="1"/>
  <c r="K889" i="1"/>
  <c r="M888" i="1"/>
  <c r="L888" i="1"/>
  <c r="K888" i="1"/>
  <c r="M887" i="1"/>
  <c r="L887" i="1"/>
  <c r="K887" i="1"/>
  <c r="M886" i="1"/>
  <c r="L886" i="1"/>
  <c r="K886" i="1"/>
  <c r="M885" i="1"/>
  <c r="L885" i="1"/>
  <c r="K885" i="1"/>
  <c r="M884" i="1"/>
  <c r="L884" i="1"/>
  <c r="K884" i="1"/>
  <c r="M883" i="1"/>
  <c r="L883" i="1"/>
  <c r="K883" i="1"/>
  <c r="M882" i="1"/>
  <c r="L882" i="1"/>
  <c r="K882" i="1"/>
  <c r="M881" i="1"/>
  <c r="L881" i="1"/>
  <c r="K881" i="1"/>
  <c r="M880" i="1"/>
  <c r="L880" i="1"/>
  <c r="K880" i="1"/>
  <c r="M879" i="1"/>
  <c r="L879" i="1"/>
  <c r="K879" i="1"/>
  <c r="M878" i="1"/>
  <c r="L878" i="1"/>
  <c r="K878" i="1"/>
  <c r="M877" i="1"/>
  <c r="L877" i="1"/>
  <c r="K877" i="1"/>
  <c r="M876" i="1"/>
  <c r="L876" i="1"/>
  <c r="K876" i="1"/>
  <c r="M875" i="1"/>
  <c r="L875" i="1"/>
  <c r="K875" i="1"/>
  <c r="M874" i="1"/>
  <c r="L874" i="1"/>
  <c r="K874" i="1"/>
  <c r="M873" i="1"/>
  <c r="L873" i="1"/>
  <c r="K873" i="1"/>
  <c r="M872" i="1"/>
  <c r="L872" i="1"/>
  <c r="K872" i="1"/>
  <c r="M871" i="1"/>
  <c r="L871" i="1"/>
  <c r="K871" i="1"/>
  <c r="M870" i="1"/>
  <c r="L870" i="1"/>
  <c r="K870" i="1"/>
  <c r="M869" i="1"/>
  <c r="L869" i="1"/>
  <c r="K869" i="1"/>
  <c r="M868" i="1"/>
  <c r="L868" i="1"/>
  <c r="K868" i="1"/>
  <c r="M867" i="1"/>
  <c r="L867" i="1"/>
  <c r="K867" i="1"/>
  <c r="M866" i="1"/>
  <c r="L866" i="1"/>
  <c r="K866" i="1"/>
  <c r="M865" i="1"/>
  <c r="L865" i="1"/>
  <c r="K865" i="1"/>
  <c r="M864" i="1"/>
  <c r="L864" i="1"/>
  <c r="K864" i="1"/>
  <c r="M863" i="1"/>
  <c r="L863" i="1"/>
  <c r="K863" i="1"/>
  <c r="M862" i="1"/>
  <c r="L862" i="1"/>
  <c r="K862" i="1"/>
  <c r="M861" i="1"/>
  <c r="L861" i="1"/>
  <c r="K861" i="1"/>
  <c r="M860" i="1"/>
  <c r="L860" i="1"/>
  <c r="K860" i="1"/>
  <c r="M859" i="1"/>
  <c r="L859" i="1"/>
  <c r="K859" i="1"/>
  <c r="M858" i="1"/>
  <c r="L858" i="1"/>
  <c r="K858" i="1"/>
  <c r="M857" i="1"/>
  <c r="L857" i="1"/>
  <c r="K857" i="1"/>
  <c r="M856" i="1"/>
  <c r="L856" i="1"/>
  <c r="K856" i="1"/>
  <c r="M855" i="1"/>
  <c r="L855" i="1"/>
  <c r="K855" i="1"/>
  <c r="M854" i="1"/>
  <c r="L854" i="1"/>
  <c r="K854" i="1"/>
  <c r="M853" i="1"/>
  <c r="L853" i="1"/>
  <c r="K853" i="1"/>
  <c r="M852" i="1"/>
  <c r="L852" i="1"/>
  <c r="K852" i="1"/>
  <c r="M851" i="1"/>
  <c r="L851" i="1"/>
  <c r="K851" i="1"/>
  <c r="M850" i="1"/>
  <c r="L850" i="1"/>
  <c r="K850" i="1"/>
  <c r="M849" i="1"/>
  <c r="L849" i="1"/>
  <c r="K849" i="1"/>
  <c r="M848" i="1"/>
  <c r="L848" i="1"/>
  <c r="K848" i="1"/>
  <c r="M847" i="1"/>
  <c r="L847" i="1"/>
  <c r="K847" i="1"/>
  <c r="M846" i="1"/>
  <c r="L846" i="1"/>
  <c r="K846" i="1"/>
  <c r="M845" i="1"/>
  <c r="L845" i="1"/>
  <c r="K845" i="1"/>
  <c r="M844" i="1"/>
  <c r="L844" i="1"/>
  <c r="K844" i="1"/>
  <c r="M843" i="1"/>
  <c r="L843" i="1"/>
  <c r="K843" i="1"/>
  <c r="M842" i="1"/>
  <c r="L842" i="1"/>
  <c r="K842" i="1"/>
  <c r="M841" i="1"/>
  <c r="L841" i="1"/>
  <c r="K841" i="1"/>
  <c r="M840" i="1"/>
  <c r="L840" i="1"/>
  <c r="K840" i="1"/>
  <c r="M839" i="1"/>
  <c r="L839" i="1"/>
  <c r="K839" i="1"/>
  <c r="M838" i="1"/>
  <c r="L838" i="1"/>
  <c r="K838" i="1"/>
  <c r="M837" i="1"/>
  <c r="L837" i="1"/>
  <c r="K837" i="1"/>
  <c r="M836" i="1"/>
  <c r="L836" i="1"/>
  <c r="K836" i="1"/>
  <c r="M835" i="1"/>
  <c r="L835" i="1"/>
  <c r="K835" i="1"/>
  <c r="M834" i="1"/>
  <c r="L834" i="1"/>
  <c r="K834" i="1"/>
  <c r="M833" i="1"/>
  <c r="L833" i="1"/>
  <c r="K833" i="1"/>
  <c r="M832" i="1"/>
  <c r="L832" i="1"/>
  <c r="K832" i="1"/>
  <c r="M831" i="1"/>
  <c r="L831" i="1"/>
  <c r="K831" i="1"/>
  <c r="M830" i="1"/>
  <c r="L830" i="1"/>
  <c r="K830" i="1"/>
  <c r="M829" i="1"/>
  <c r="L829" i="1"/>
  <c r="K829" i="1"/>
  <c r="M828" i="1"/>
  <c r="L828" i="1"/>
  <c r="K828" i="1"/>
  <c r="M827" i="1"/>
  <c r="L827" i="1"/>
  <c r="K827" i="1"/>
  <c r="M826" i="1"/>
  <c r="L826" i="1"/>
  <c r="K826" i="1"/>
  <c r="M825" i="1"/>
  <c r="L825" i="1"/>
  <c r="K825" i="1"/>
  <c r="M824" i="1"/>
  <c r="L824" i="1"/>
  <c r="K824" i="1"/>
  <c r="M823" i="1"/>
  <c r="L823" i="1"/>
  <c r="K823" i="1"/>
  <c r="M822" i="1"/>
  <c r="L822" i="1"/>
  <c r="K822" i="1"/>
  <c r="M821" i="1"/>
  <c r="L821" i="1"/>
  <c r="K821" i="1"/>
  <c r="M820" i="1"/>
  <c r="L820" i="1"/>
  <c r="K820" i="1"/>
  <c r="M819" i="1"/>
  <c r="L819" i="1"/>
  <c r="K819" i="1"/>
  <c r="M818" i="1"/>
  <c r="L818" i="1"/>
  <c r="K818" i="1"/>
  <c r="M817" i="1"/>
  <c r="L817" i="1"/>
  <c r="K817" i="1"/>
  <c r="M816" i="1"/>
  <c r="L816" i="1"/>
  <c r="K816" i="1"/>
  <c r="M815" i="1"/>
  <c r="L815" i="1"/>
  <c r="K815" i="1"/>
  <c r="M814" i="1"/>
  <c r="L814" i="1"/>
  <c r="K814" i="1"/>
  <c r="M813" i="1"/>
  <c r="L813" i="1"/>
  <c r="K813" i="1"/>
  <c r="M812" i="1"/>
  <c r="L812" i="1"/>
  <c r="K812" i="1"/>
  <c r="M811" i="1"/>
  <c r="L811" i="1"/>
  <c r="K811" i="1"/>
  <c r="M810" i="1"/>
  <c r="L810" i="1"/>
  <c r="K810" i="1"/>
  <c r="M809" i="1"/>
  <c r="L809" i="1"/>
  <c r="K809" i="1"/>
  <c r="M808" i="1"/>
  <c r="L808" i="1"/>
  <c r="K808" i="1"/>
  <c r="M807" i="1"/>
  <c r="L807" i="1"/>
  <c r="K807" i="1"/>
  <c r="M806" i="1"/>
  <c r="L806" i="1"/>
  <c r="K806" i="1"/>
  <c r="M805" i="1"/>
  <c r="L805" i="1"/>
  <c r="K805" i="1"/>
  <c r="M804" i="1"/>
  <c r="L804" i="1"/>
  <c r="K804" i="1"/>
  <c r="M803" i="1"/>
  <c r="L803" i="1"/>
  <c r="K803" i="1"/>
  <c r="M802" i="1"/>
  <c r="L802" i="1"/>
  <c r="K802" i="1"/>
  <c r="M801" i="1"/>
  <c r="L801" i="1"/>
  <c r="K801" i="1"/>
  <c r="M800" i="1"/>
  <c r="L800" i="1"/>
  <c r="K800" i="1"/>
  <c r="M799" i="1"/>
  <c r="L799" i="1"/>
  <c r="K799" i="1"/>
  <c r="M798" i="1"/>
  <c r="L798" i="1"/>
  <c r="K798" i="1"/>
  <c r="M797" i="1"/>
  <c r="L797" i="1"/>
  <c r="K797" i="1"/>
  <c r="M796" i="1"/>
  <c r="L796" i="1"/>
  <c r="K796" i="1"/>
  <c r="M795" i="1"/>
  <c r="L795" i="1"/>
  <c r="K795" i="1"/>
  <c r="M794" i="1"/>
  <c r="L794" i="1"/>
  <c r="K794" i="1"/>
  <c r="M793" i="1"/>
  <c r="L793" i="1"/>
  <c r="K793" i="1"/>
  <c r="M792" i="1"/>
  <c r="L792" i="1"/>
  <c r="K792" i="1"/>
  <c r="M791" i="1"/>
  <c r="L791" i="1"/>
  <c r="K791" i="1"/>
  <c r="M790" i="1"/>
  <c r="L790" i="1"/>
  <c r="K790" i="1"/>
  <c r="M789" i="1"/>
  <c r="L789" i="1"/>
  <c r="K789" i="1"/>
  <c r="M788" i="1"/>
  <c r="L788" i="1"/>
  <c r="K788" i="1"/>
  <c r="M787" i="1"/>
  <c r="L787" i="1"/>
  <c r="K787" i="1"/>
  <c r="M786" i="1"/>
  <c r="L786" i="1"/>
  <c r="K786" i="1"/>
  <c r="M785" i="1"/>
  <c r="L785" i="1"/>
  <c r="K785" i="1"/>
  <c r="M784" i="1"/>
  <c r="L784" i="1"/>
  <c r="K784" i="1"/>
  <c r="M783" i="1"/>
  <c r="L783" i="1"/>
  <c r="K783" i="1"/>
  <c r="M782" i="1"/>
  <c r="L782" i="1"/>
  <c r="K782" i="1"/>
  <c r="M781" i="1"/>
  <c r="L781" i="1"/>
  <c r="K781" i="1"/>
  <c r="M780" i="1"/>
  <c r="L780" i="1"/>
  <c r="K780" i="1"/>
  <c r="M779" i="1"/>
  <c r="L779" i="1"/>
  <c r="K779" i="1"/>
  <c r="M778" i="1"/>
  <c r="L778" i="1"/>
  <c r="K778" i="1"/>
  <c r="M777" i="1"/>
  <c r="L777" i="1"/>
  <c r="K777" i="1"/>
  <c r="M776" i="1"/>
  <c r="L776" i="1"/>
  <c r="K776" i="1"/>
  <c r="M775" i="1"/>
  <c r="L775" i="1"/>
  <c r="K775" i="1"/>
  <c r="M774" i="1"/>
  <c r="L774" i="1"/>
  <c r="K774" i="1"/>
  <c r="M773" i="1"/>
  <c r="L773" i="1"/>
  <c r="K773" i="1"/>
  <c r="M772" i="1"/>
  <c r="L772" i="1"/>
  <c r="K772" i="1"/>
  <c r="M771" i="1"/>
  <c r="L771" i="1"/>
  <c r="K771" i="1"/>
  <c r="M770" i="1"/>
  <c r="L770" i="1"/>
  <c r="K770" i="1"/>
  <c r="M769" i="1"/>
  <c r="L769" i="1"/>
  <c r="K769" i="1"/>
  <c r="M768" i="1"/>
  <c r="L768" i="1"/>
  <c r="K768" i="1"/>
  <c r="M767" i="1"/>
  <c r="L767" i="1"/>
  <c r="K767" i="1"/>
  <c r="M766" i="1"/>
  <c r="L766" i="1"/>
  <c r="K766" i="1"/>
  <c r="M765" i="1"/>
  <c r="L765" i="1"/>
  <c r="K765" i="1"/>
  <c r="M764" i="1"/>
  <c r="L764" i="1"/>
  <c r="K764" i="1"/>
  <c r="M763" i="1"/>
  <c r="L763" i="1"/>
  <c r="K763" i="1"/>
  <c r="M762" i="1"/>
  <c r="L762" i="1"/>
  <c r="K762" i="1"/>
  <c r="M761" i="1"/>
  <c r="L761" i="1"/>
  <c r="K761" i="1"/>
  <c r="M760" i="1"/>
  <c r="L760" i="1"/>
  <c r="K760" i="1"/>
  <c r="M759" i="1"/>
  <c r="L759" i="1"/>
  <c r="K759" i="1"/>
  <c r="M758" i="1"/>
  <c r="L758" i="1"/>
  <c r="K758" i="1"/>
  <c r="M757" i="1"/>
  <c r="L757" i="1"/>
  <c r="K757" i="1"/>
  <c r="M756" i="1"/>
  <c r="L756" i="1"/>
  <c r="K756" i="1"/>
  <c r="M755" i="1"/>
  <c r="L755" i="1"/>
  <c r="K755" i="1"/>
  <c r="M754" i="1"/>
  <c r="L754" i="1"/>
  <c r="K754" i="1"/>
  <c r="M753" i="1"/>
  <c r="L753" i="1"/>
  <c r="K753" i="1"/>
  <c r="M752" i="1"/>
  <c r="L752" i="1"/>
  <c r="K752" i="1"/>
  <c r="M751" i="1"/>
  <c r="L751" i="1"/>
  <c r="K751" i="1"/>
  <c r="M750" i="1"/>
  <c r="L750" i="1"/>
  <c r="K750" i="1"/>
  <c r="M749" i="1"/>
  <c r="L749" i="1"/>
  <c r="K749" i="1"/>
  <c r="M748" i="1"/>
  <c r="L748" i="1"/>
  <c r="K748" i="1"/>
  <c r="M747" i="1"/>
  <c r="L747" i="1"/>
  <c r="K747" i="1"/>
  <c r="M746" i="1"/>
  <c r="L746" i="1"/>
  <c r="K746" i="1"/>
  <c r="M745" i="1"/>
  <c r="L745" i="1"/>
  <c r="K745" i="1"/>
  <c r="M744" i="1"/>
  <c r="L744" i="1"/>
  <c r="K744" i="1"/>
  <c r="M743" i="1"/>
  <c r="L743" i="1"/>
  <c r="K743" i="1"/>
  <c r="M742" i="1"/>
  <c r="L742" i="1"/>
  <c r="K742" i="1"/>
  <c r="M741" i="1"/>
  <c r="L741" i="1"/>
  <c r="K741" i="1"/>
  <c r="M740" i="1"/>
  <c r="L740" i="1"/>
  <c r="K740" i="1"/>
  <c r="M739" i="1"/>
  <c r="L739" i="1"/>
  <c r="K739" i="1"/>
  <c r="M738" i="1"/>
  <c r="L738" i="1"/>
  <c r="K738" i="1"/>
  <c r="M737" i="1"/>
  <c r="L737" i="1"/>
  <c r="K737" i="1"/>
  <c r="M736" i="1"/>
  <c r="L736" i="1"/>
  <c r="K736" i="1"/>
  <c r="M735" i="1"/>
  <c r="L735" i="1"/>
  <c r="K735" i="1"/>
  <c r="M734" i="1"/>
  <c r="L734" i="1"/>
  <c r="K734" i="1"/>
  <c r="M733" i="1"/>
  <c r="L733" i="1"/>
  <c r="K733" i="1"/>
  <c r="M732" i="1"/>
  <c r="L732" i="1"/>
  <c r="K732" i="1"/>
  <c r="M731" i="1"/>
  <c r="L731" i="1"/>
  <c r="K731" i="1"/>
  <c r="M730" i="1"/>
  <c r="L730" i="1"/>
  <c r="K730" i="1"/>
  <c r="M729" i="1"/>
  <c r="L729" i="1"/>
  <c r="K729" i="1"/>
  <c r="M728" i="1"/>
  <c r="L728" i="1"/>
  <c r="K728" i="1"/>
  <c r="M727" i="1"/>
  <c r="L727" i="1"/>
  <c r="K727" i="1"/>
  <c r="M726" i="1"/>
  <c r="L726" i="1"/>
  <c r="K726" i="1"/>
  <c r="M725" i="1"/>
  <c r="L725" i="1"/>
  <c r="K725" i="1"/>
  <c r="M724" i="1"/>
  <c r="L724" i="1"/>
  <c r="K724" i="1"/>
  <c r="M723" i="1"/>
  <c r="L723" i="1"/>
  <c r="K723" i="1"/>
  <c r="M722" i="1"/>
  <c r="L722" i="1"/>
  <c r="K722" i="1"/>
  <c r="M721" i="1"/>
  <c r="L721" i="1"/>
  <c r="K721" i="1"/>
  <c r="M720" i="1"/>
  <c r="L720" i="1"/>
  <c r="K720" i="1"/>
  <c r="M719" i="1"/>
  <c r="L719" i="1"/>
  <c r="K719" i="1"/>
  <c r="M718" i="1"/>
  <c r="L718" i="1"/>
  <c r="K718" i="1"/>
  <c r="M717" i="1"/>
  <c r="L717" i="1"/>
  <c r="K717" i="1"/>
  <c r="M716" i="1"/>
  <c r="L716" i="1"/>
  <c r="K716" i="1"/>
  <c r="M715" i="1"/>
  <c r="L715" i="1"/>
  <c r="K715" i="1"/>
  <c r="M714" i="1"/>
  <c r="L714" i="1"/>
  <c r="K714" i="1"/>
  <c r="M713" i="1"/>
  <c r="L713" i="1"/>
  <c r="K713" i="1"/>
  <c r="M712" i="1"/>
  <c r="L712" i="1"/>
  <c r="K712" i="1"/>
  <c r="M711" i="1"/>
  <c r="L711" i="1"/>
  <c r="K711" i="1"/>
  <c r="M710" i="1"/>
  <c r="L710" i="1"/>
  <c r="K710" i="1"/>
  <c r="M709" i="1"/>
  <c r="L709" i="1"/>
  <c r="K709" i="1"/>
  <c r="M708" i="1"/>
  <c r="L708" i="1"/>
  <c r="K708" i="1"/>
  <c r="M707" i="1"/>
  <c r="L707" i="1"/>
  <c r="K707" i="1"/>
  <c r="M706" i="1"/>
  <c r="L706" i="1"/>
  <c r="K706" i="1"/>
  <c r="M705" i="1"/>
  <c r="L705" i="1"/>
  <c r="K705" i="1"/>
  <c r="M704" i="1"/>
  <c r="L704" i="1"/>
  <c r="K704" i="1"/>
  <c r="M703" i="1"/>
  <c r="L703" i="1"/>
  <c r="K703" i="1"/>
  <c r="M702" i="1"/>
  <c r="L702" i="1"/>
  <c r="K702" i="1"/>
  <c r="M701" i="1"/>
  <c r="L701" i="1"/>
  <c r="K701" i="1"/>
  <c r="M700" i="1"/>
  <c r="L700" i="1"/>
  <c r="K700" i="1"/>
  <c r="M699" i="1"/>
  <c r="L699" i="1"/>
  <c r="K699" i="1"/>
  <c r="M698" i="1"/>
  <c r="L698" i="1"/>
  <c r="K698" i="1"/>
  <c r="M697" i="1"/>
  <c r="L697" i="1"/>
  <c r="K697" i="1"/>
  <c r="M696" i="1"/>
  <c r="L696" i="1"/>
  <c r="K696" i="1"/>
  <c r="M695" i="1"/>
  <c r="L695" i="1"/>
  <c r="K695" i="1"/>
  <c r="M694" i="1"/>
  <c r="L694" i="1"/>
  <c r="K694" i="1"/>
  <c r="M693" i="1"/>
  <c r="L693" i="1"/>
  <c r="K693" i="1"/>
  <c r="M692" i="1"/>
  <c r="L692" i="1"/>
  <c r="K692" i="1"/>
  <c r="M691" i="1"/>
  <c r="L691" i="1"/>
  <c r="K691" i="1"/>
  <c r="M690" i="1"/>
  <c r="L690" i="1"/>
  <c r="K690" i="1"/>
  <c r="M689" i="1"/>
  <c r="L689" i="1"/>
  <c r="K689" i="1"/>
  <c r="M688" i="1"/>
  <c r="L688" i="1"/>
  <c r="K688" i="1"/>
  <c r="M687" i="1"/>
  <c r="L687" i="1"/>
  <c r="K687" i="1"/>
  <c r="M686" i="1"/>
  <c r="L686" i="1"/>
  <c r="K686" i="1"/>
  <c r="M685" i="1"/>
  <c r="L685" i="1"/>
  <c r="K685" i="1"/>
  <c r="M684" i="1"/>
  <c r="L684" i="1"/>
  <c r="K684" i="1"/>
  <c r="M683" i="1"/>
  <c r="L683" i="1"/>
  <c r="K683" i="1"/>
  <c r="M682" i="1"/>
  <c r="L682" i="1"/>
  <c r="K682" i="1"/>
  <c r="M681" i="1"/>
  <c r="L681" i="1"/>
  <c r="K681" i="1"/>
  <c r="M680" i="1"/>
  <c r="L680" i="1"/>
  <c r="K680" i="1"/>
  <c r="M679" i="1"/>
  <c r="L679" i="1"/>
  <c r="K679" i="1"/>
  <c r="M678" i="1"/>
  <c r="L678" i="1"/>
  <c r="K678" i="1"/>
  <c r="M677" i="1"/>
  <c r="L677" i="1"/>
  <c r="K677" i="1"/>
  <c r="M676" i="1"/>
  <c r="L676" i="1"/>
  <c r="K676" i="1"/>
  <c r="M675" i="1"/>
  <c r="L675" i="1"/>
  <c r="K675" i="1"/>
  <c r="M674" i="1"/>
  <c r="L674" i="1"/>
  <c r="K674" i="1"/>
  <c r="M673" i="1"/>
  <c r="L673" i="1"/>
  <c r="K673" i="1"/>
  <c r="M672" i="1"/>
  <c r="L672" i="1"/>
  <c r="K672" i="1"/>
  <c r="M671" i="1"/>
  <c r="L671" i="1"/>
  <c r="K671" i="1"/>
  <c r="M670" i="1"/>
  <c r="L670" i="1"/>
  <c r="K670" i="1"/>
  <c r="M669" i="1"/>
  <c r="L669" i="1"/>
  <c r="K669" i="1"/>
  <c r="M668" i="1"/>
  <c r="L668" i="1"/>
  <c r="K668" i="1"/>
  <c r="M667" i="1"/>
  <c r="L667" i="1"/>
  <c r="K667" i="1"/>
  <c r="M666" i="1"/>
  <c r="L666" i="1"/>
  <c r="K666" i="1"/>
  <c r="M665" i="1"/>
  <c r="L665" i="1"/>
  <c r="K665" i="1"/>
  <c r="M664" i="1"/>
  <c r="L664" i="1"/>
  <c r="K664" i="1"/>
  <c r="M663" i="1"/>
  <c r="L663" i="1"/>
  <c r="K663" i="1"/>
  <c r="M662" i="1"/>
  <c r="L662" i="1"/>
  <c r="K662" i="1"/>
  <c r="M661" i="1"/>
  <c r="L661" i="1"/>
  <c r="K661" i="1"/>
  <c r="M660" i="1"/>
  <c r="L660" i="1"/>
  <c r="K660" i="1"/>
  <c r="M659" i="1"/>
  <c r="L659" i="1"/>
  <c r="K659" i="1"/>
  <c r="M658" i="1"/>
  <c r="L658" i="1"/>
  <c r="K658" i="1"/>
  <c r="M657" i="1"/>
  <c r="L657" i="1"/>
  <c r="K657" i="1"/>
  <c r="M656" i="1"/>
  <c r="L656" i="1"/>
  <c r="K656" i="1"/>
  <c r="M655" i="1"/>
  <c r="L655" i="1"/>
  <c r="K655" i="1"/>
  <c r="M654" i="1"/>
  <c r="L654" i="1"/>
  <c r="K654" i="1"/>
  <c r="M653" i="1"/>
  <c r="L653" i="1"/>
  <c r="K653" i="1"/>
  <c r="M652" i="1"/>
  <c r="L652" i="1"/>
  <c r="K652" i="1"/>
  <c r="M651" i="1"/>
  <c r="L651" i="1"/>
  <c r="K651" i="1"/>
  <c r="M650" i="1"/>
  <c r="L650" i="1"/>
  <c r="K650" i="1"/>
  <c r="M649" i="1"/>
  <c r="L649" i="1"/>
  <c r="K649" i="1"/>
  <c r="M648" i="1"/>
  <c r="L648" i="1"/>
  <c r="K648" i="1"/>
  <c r="M647" i="1"/>
  <c r="L647" i="1"/>
  <c r="K647" i="1"/>
  <c r="M646" i="1"/>
  <c r="L646" i="1"/>
  <c r="K646" i="1"/>
  <c r="M645" i="1"/>
  <c r="L645" i="1"/>
  <c r="K645" i="1"/>
  <c r="M644" i="1"/>
  <c r="L644" i="1"/>
  <c r="K644" i="1"/>
  <c r="M643" i="1"/>
  <c r="L643" i="1"/>
  <c r="K643" i="1"/>
  <c r="M642" i="1"/>
  <c r="L642" i="1"/>
  <c r="K642" i="1"/>
  <c r="M641" i="1"/>
  <c r="L641" i="1"/>
  <c r="K641" i="1"/>
  <c r="M640" i="1"/>
  <c r="L640" i="1"/>
  <c r="K640" i="1"/>
  <c r="M639" i="1"/>
  <c r="L639" i="1"/>
  <c r="K639" i="1"/>
  <c r="M638" i="1"/>
  <c r="L638" i="1"/>
  <c r="K638" i="1"/>
  <c r="M637" i="1"/>
  <c r="L637" i="1"/>
  <c r="K637" i="1"/>
  <c r="M636" i="1"/>
  <c r="L636" i="1"/>
  <c r="K636" i="1"/>
  <c r="M635" i="1"/>
  <c r="L635" i="1"/>
  <c r="K635" i="1"/>
  <c r="M634" i="1"/>
  <c r="L634" i="1"/>
  <c r="K634" i="1"/>
  <c r="M633" i="1"/>
  <c r="L633" i="1"/>
  <c r="K633" i="1"/>
  <c r="M632" i="1"/>
  <c r="L632" i="1"/>
  <c r="K632" i="1"/>
  <c r="M631" i="1"/>
  <c r="L631" i="1"/>
  <c r="K631" i="1"/>
  <c r="M630" i="1"/>
  <c r="L630" i="1"/>
  <c r="K630" i="1"/>
  <c r="M629" i="1"/>
  <c r="L629" i="1"/>
  <c r="K629" i="1"/>
  <c r="M628" i="1"/>
  <c r="L628" i="1"/>
  <c r="K628" i="1"/>
  <c r="M627" i="1"/>
  <c r="L627" i="1"/>
  <c r="K627" i="1"/>
  <c r="M626" i="1"/>
  <c r="L626" i="1"/>
  <c r="K626" i="1"/>
  <c r="M625" i="1"/>
  <c r="L625" i="1"/>
  <c r="K625" i="1"/>
  <c r="M624" i="1"/>
  <c r="L624" i="1"/>
  <c r="K624" i="1"/>
  <c r="M623" i="1"/>
  <c r="L623" i="1"/>
  <c r="K623" i="1"/>
  <c r="M622" i="1"/>
  <c r="L622" i="1"/>
  <c r="K622" i="1"/>
  <c r="M621" i="1"/>
  <c r="L621" i="1"/>
  <c r="K621" i="1"/>
  <c r="M620" i="1"/>
  <c r="L620" i="1"/>
  <c r="K620" i="1"/>
  <c r="M619" i="1"/>
  <c r="L619" i="1"/>
  <c r="K619" i="1"/>
  <c r="M618" i="1"/>
  <c r="L618" i="1"/>
  <c r="K618" i="1"/>
  <c r="M617" i="1"/>
  <c r="L617" i="1"/>
  <c r="K617" i="1"/>
  <c r="M616" i="1"/>
  <c r="L616" i="1"/>
  <c r="K616" i="1"/>
  <c r="M615" i="1"/>
  <c r="L615" i="1"/>
  <c r="K615" i="1"/>
  <c r="M614" i="1"/>
  <c r="L614" i="1"/>
  <c r="K614" i="1"/>
  <c r="M613" i="1"/>
  <c r="L613" i="1"/>
  <c r="K613" i="1"/>
  <c r="M612" i="1"/>
  <c r="L612" i="1"/>
  <c r="K612" i="1"/>
  <c r="M611" i="1"/>
  <c r="L611" i="1"/>
  <c r="K611" i="1"/>
  <c r="M610" i="1"/>
  <c r="L610" i="1"/>
  <c r="K610" i="1"/>
  <c r="M609" i="1"/>
  <c r="L609" i="1"/>
  <c r="K609" i="1"/>
  <c r="M608" i="1"/>
  <c r="L608" i="1"/>
  <c r="K608" i="1"/>
  <c r="M607" i="1"/>
  <c r="L607" i="1"/>
  <c r="K607" i="1"/>
  <c r="M606" i="1"/>
  <c r="L606" i="1"/>
  <c r="K606" i="1"/>
  <c r="M605" i="1"/>
  <c r="L605" i="1"/>
  <c r="K605" i="1"/>
  <c r="M604" i="1"/>
  <c r="L604" i="1"/>
  <c r="K604" i="1"/>
  <c r="M603" i="1"/>
  <c r="L603" i="1"/>
  <c r="K603" i="1"/>
  <c r="M602" i="1"/>
  <c r="L602" i="1"/>
  <c r="K602" i="1"/>
  <c r="M601" i="1"/>
  <c r="L601" i="1"/>
  <c r="K601" i="1"/>
  <c r="M600" i="1"/>
  <c r="L600" i="1"/>
  <c r="K600" i="1"/>
  <c r="M599" i="1"/>
  <c r="L599" i="1"/>
  <c r="K599" i="1"/>
  <c r="M598" i="1"/>
  <c r="L598" i="1"/>
  <c r="K598" i="1"/>
  <c r="M597" i="1"/>
  <c r="L597" i="1"/>
  <c r="K597" i="1"/>
  <c r="M596" i="1"/>
  <c r="L596" i="1"/>
  <c r="K596" i="1"/>
  <c r="M595" i="1"/>
  <c r="L595" i="1"/>
  <c r="K595" i="1"/>
  <c r="M594" i="1"/>
  <c r="L594" i="1"/>
  <c r="K594" i="1"/>
  <c r="M593" i="1"/>
  <c r="L593" i="1"/>
  <c r="K593" i="1"/>
  <c r="M592" i="1"/>
  <c r="L592" i="1"/>
  <c r="K592" i="1"/>
  <c r="M591" i="1"/>
  <c r="L591" i="1"/>
  <c r="K591" i="1"/>
  <c r="M590" i="1"/>
  <c r="L590" i="1"/>
  <c r="K590" i="1"/>
  <c r="M589" i="1"/>
  <c r="L589" i="1"/>
  <c r="K589" i="1"/>
  <c r="M588" i="1"/>
  <c r="L588" i="1"/>
  <c r="K588" i="1"/>
  <c r="M587" i="1"/>
  <c r="L587" i="1"/>
  <c r="K587" i="1"/>
  <c r="M586" i="1"/>
  <c r="L586" i="1"/>
  <c r="K586" i="1"/>
  <c r="M585" i="1"/>
  <c r="L585" i="1"/>
  <c r="K585" i="1"/>
  <c r="M584" i="1"/>
  <c r="L584" i="1"/>
  <c r="K584" i="1"/>
  <c r="M583" i="1"/>
  <c r="L583" i="1"/>
  <c r="K583" i="1"/>
  <c r="M582" i="1"/>
  <c r="L582" i="1"/>
  <c r="K582" i="1"/>
  <c r="M581" i="1"/>
  <c r="L581" i="1"/>
  <c r="K581" i="1"/>
  <c r="M580" i="1"/>
  <c r="L580" i="1"/>
  <c r="K580" i="1"/>
  <c r="M579" i="1"/>
  <c r="L579" i="1"/>
  <c r="K579" i="1"/>
  <c r="M578" i="1"/>
  <c r="L578" i="1"/>
  <c r="K578" i="1"/>
  <c r="M577" i="1"/>
  <c r="L577" i="1"/>
  <c r="K577" i="1"/>
  <c r="M576" i="1"/>
  <c r="L576" i="1"/>
  <c r="K576" i="1"/>
  <c r="M575" i="1"/>
  <c r="L575" i="1"/>
  <c r="K575" i="1"/>
  <c r="M574" i="1"/>
  <c r="L574" i="1"/>
  <c r="K574" i="1"/>
  <c r="M573" i="1"/>
  <c r="L573" i="1"/>
  <c r="K573" i="1"/>
  <c r="M572" i="1"/>
  <c r="L572" i="1"/>
  <c r="K572" i="1"/>
  <c r="M571" i="1"/>
  <c r="L571" i="1"/>
  <c r="K571" i="1"/>
  <c r="M570" i="1"/>
  <c r="L570" i="1"/>
  <c r="K570" i="1"/>
  <c r="M569" i="1"/>
  <c r="L569" i="1"/>
  <c r="K569" i="1"/>
  <c r="M568" i="1"/>
  <c r="L568" i="1"/>
  <c r="K568" i="1"/>
  <c r="M567" i="1"/>
  <c r="L567" i="1"/>
  <c r="K567" i="1"/>
  <c r="M566" i="1"/>
  <c r="L566" i="1"/>
  <c r="K566" i="1"/>
  <c r="M565" i="1"/>
  <c r="L565" i="1"/>
  <c r="K565" i="1"/>
  <c r="M564" i="1"/>
  <c r="L564" i="1"/>
  <c r="K564" i="1"/>
  <c r="M563" i="1"/>
  <c r="L563" i="1"/>
  <c r="K563" i="1"/>
  <c r="M562" i="1"/>
  <c r="L562" i="1"/>
  <c r="K562" i="1"/>
  <c r="M561" i="1"/>
  <c r="L561" i="1"/>
  <c r="K561" i="1"/>
  <c r="M560" i="1"/>
  <c r="L560" i="1"/>
  <c r="K560" i="1"/>
  <c r="M559" i="1"/>
  <c r="L559" i="1"/>
  <c r="K559" i="1"/>
  <c r="M558" i="1"/>
  <c r="L558" i="1"/>
  <c r="K558" i="1"/>
  <c r="M557" i="1"/>
  <c r="L557" i="1"/>
  <c r="K557" i="1"/>
  <c r="M556" i="1"/>
  <c r="L556" i="1"/>
  <c r="K556" i="1"/>
  <c r="M555" i="1"/>
  <c r="L555" i="1"/>
  <c r="K555" i="1"/>
  <c r="M554" i="1"/>
  <c r="L554" i="1"/>
  <c r="K554" i="1"/>
  <c r="M553" i="1"/>
  <c r="L553" i="1"/>
  <c r="K553" i="1"/>
  <c r="M552" i="1"/>
  <c r="L552" i="1"/>
  <c r="K552" i="1"/>
  <c r="M551" i="1"/>
  <c r="L551" i="1"/>
  <c r="K551" i="1"/>
  <c r="M550" i="1"/>
  <c r="L550" i="1"/>
  <c r="K550" i="1"/>
  <c r="M549" i="1"/>
  <c r="L549" i="1"/>
  <c r="K549" i="1"/>
  <c r="M548" i="1"/>
  <c r="L548" i="1"/>
  <c r="K548" i="1"/>
  <c r="M547" i="1"/>
  <c r="L547" i="1"/>
  <c r="K547" i="1"/>
  <c r="M546" i="1"/>
  <c r="L546" i="1"/>
  <c r="K546" i="1"/>
  <c r="M545" i="1"/>
  <c r="L545" i="1"/>
  <c r="K545" i="1"/>
  <c r="M544" i="1"/>
  <c r="L544" i="1"/>
  <c r="K544" i="1"/>
  <c r="M543" i="1"/>
  <c r="L543" i="1"/>
  <c r="K543" i="1"/>
  <c r="M542" i="1"/>
  <c r="L542" i="1"/>
  <c r="K542" i="1"/>
  <c r="M541" i="1"/>
  <c r="L541" i="1"/>
  <c r="K541" i="1"/>
  <c r="M540" i="1"/>
  <c r="L540" i="1"/>
  <c r="K540" i="1"/>
  <c r="M539" i="1"/>
  <c r="L539" i="1"/>
  <c r="K539" i="1"/>
  <c r="M538" i="1"/>
  <c r="L538" i="1"/>
  <c r="K538" i="1"/>
  <c r="M537" i="1"/>
  <c r="L537" i="1"/>
  <c r="K537" i="1"/>
  <c r="M536" i="1"/>
  <c r="L536" i="1"/>
  <c r="K536" i="1"/>
  <c r="M535" i="1"/>
  <c r="L535" i="1"/>
  <c r="K535" i="1"/>
  <c r="M534" i="1"/>
  <c r="L534" i="1"/>
  <c r="K534" i="1"/>
  <c r="M533" i="1"/>
  <c r="L533" i="1"/>
  <c r="K533" i="1"/>
  <c r="M532" i="1"/>
  <c r="L532" i="1"/>
  <c r="K532" i="1"/>
  <c r="M531" i="1"/>
  <c r="L531" i="1"/>
  <c r="K531" i="1"/>
  <c r="M530" i="1"/>
  <c r="L530" i="1"/>
  <c r="K530" i="1"/>
  <c r="M529" i="1"/>
  <c r="L529" i="1"/>
  <c r="K529" i="1"/>
  <c r="M528" i="1"/>
  <c r="L528" i="1"/>
  <c r="K528" i="1"/>
  <c r="M527" i="1"/>
  <c r="L527" i="1"/>
  <c r="K527" i="1"/>
  <c r="M526" i="1"/>
  <c r="L526" i="1"/>
  <c r="K526" i="1"/>
  <c r="M525" i="1"/>
  <c r="L525" i="1"/>
  <c r="K525" i="1"/>
  <c r="M524" i="1"/>
  <c r="L524" i="1"/>
  <c r="K524" i="1"/>
  <c r="M523" i="1"/>
  <c r="L523" i="1"/>
  <c r="K523" i="1"/>
  <c r="M522" i="1"/>
  <c r="L522" i="1"/>
  <c r="K522" i="1"/>
  <c r="M521" i="1"/>
  <c r="L521" i="1"/>
  <c r="K521" i="1"/>
  <c r="M520" i="1"/>
  <c r="L520" i="1"/>
  <c r="K520" i="1"/>
  <c r="M519" i="1"/>
  <c r="L519" i="1"/>
  <c r="K519" i="1"/>
  <c r="M518" i="1"/>
  <c r="L518" i="1"/>
  <c r="K518" i="1"/>
  <c r="M517" i="1"/>
  <c r="L517" i="1"/>
  <c r="K517" i="1"/>
  <c r="M516" i="1"/>
  <c r="L516" i="1"/>
  <c r="K516" i="1"/>
  <c r="M515" i="1"/>
  <c r="L515" i="1"/>
  <c r="K515" i="1"/>
  <c r="M514" i="1"/>
  <c r="L514" i="1"/>
  <c r="K514" i="1"/>
  <c r="M513" i="1"/>
  <c r="L513" i="1"/>
  <c r="K513" i="1"/>
  <c r="M512" i="1"/>
  <c r="L512" i="1"/>
  <c r="K512" i="1"/>
  <c r="M511" i="1"/>
  <c r="L511" i="1"/>
  <c r="K511" i="1"/>
  <c r="M510" i="1"/>
  <c r="L510" i="1"/>
  <c r="K510" i="1"/>
  <c r="M509" i="1"/>
  <c r="L509" i="1"/>
  <c r="K509" i="1"/>
  <c r="M508" i="1"/>
  <c r="L508" i="1"/>
  <c r="K508" i="1"/>
  <c r="M507" i="1"/>
  <c r="L507" i="1"/>
  <c r="K507" i="1"/>
  <c r="M506" i="1"/>
  <c r="L506" i="1"/>
  <c r="K506" i="1"/>
  <c r="M505" i="1"/>
  <c r="L505" i="1"/>
  <c r="K505" i="1"/>
  <c r="M504" i="1"/>
  <c r="L504" i="1"/>
  <c r="K504" i="1"/>
  <c r="M503" i="1"/>
  <c r="L503" i="1"/>
  <c r="K503" i="1"/>
  <c r="M502" i="1"/>
  <c r="L502" i="1"/>
  <c r="K502" i="1"/>
  <c r="M501" i="1"/>
  <c r="L501" i="1"/>
  <c r="K501" i="1"/>
  <c r="M500" i="1"/>
  <c r="L500" i="1"/>
  <c r="K500" i="1"/>
  <c r="M499" i="1"/>
  <c r="L499" i="1"/>
  <c r="K499" i="1"/>
  <c r="M498" i="1"/>
  <c r="L498" i="1"/>
  <c r="K498" i="1"/>
  <c r="M497" i="1"/>
  <c r="L497" i="1"/>
  <c r="K497" i="1"/>
  <c r="M496" i="1"/>
  <c r="L496" i="1"/>
  <c r="K496" i="1"/>
  <c r="M495" i="1"/>
  <c r="L495" i="1"/>
  <c r="K495" i="1"/>
  <c r="M494" i="1"/>
  <c r="L494" i="1"/>
  <c r="K494" i="1"/>
  <c r="M493" i="1"/>
  <c r="L493" i="1"/>
  <c r="K493" i="1"/>
  <c r="M492" i="1"/>
  <c r="L492" i="1"/>
  <c r="K492" i="1"/>
  <c r="M491" i="1"/>
  <c r="L491" i="1"/>
  <c r="K491" i="1"/>
  <c r="M490" i="1"/>
  <c r="L490" i="1"/>
  <c r="K490" i="1"/>
  <c r="M489" i="1"/>
  <c r="L489" i="1"/>
  <c r="K489" i="1"/>
  <c r="M488" i="1"/>
  <c r="L488" i="1"/>
  <c r="K488" i="1"/>
  <c r="M487" i="1"/>
  <c r="L487" i="1"/>
  <c r="K487" i="1"/>
  <c r="M485" i="1"/>
  <c r="L485" i="1"/>
  <c r="K485" i="1"/>
  <c r="M484" i="1"/>
  <c r="L484" i="1"/>
  <c r="K484" i="1"/>
  <c r="M483" i="1"/>
  <c r="L483" i="1"/>
  <c r="K483" i="1"/>
  <c r="M482" i="1"/>
  <c r="L482" i="1"/>
  <c r="K482" i="1"/>
  <c r="M481" i="1"/>
  <c r="L481" i="1"/>
  <c r="K481" i="1"/>
  <c r="M480" i="1"/>
  <c r="L480" i="1"/>
  <c r="K480" i="1"/>
  <c r="M479" i="1"/>
  <c r="L479" i="1"/>
  <c r="K479" i="1"/>
  <c r="M478" i="1"/>
  <c r="L478" i="1"/>
  <c r="K478" i="1"/>
  <c r="M477" i="1"/>
  <c r="L477" i="1"/>
  <c r="K477" i="1"/>
  <c r="M476" i="1"/>
  <c r="L476" i="1"/>
  <c r="K476" i="1"/>
  <c r="M475" i="1"/>
  <c r="L475" i="1"/>
  <c r="K475" i="1"/>
  <c r="M474" i="1"/>
  <c r="L474" i="1"/>
  <c r="K474" i="1"/>
  <c r="M473" i="1"/>
  <c r="L473" i="1"/>
  <c r="K473" i="1"/>
  <c r="M472" i="1"/>
  <c r="L472" i="1"/>
  <c r="K472" i="1"/>
  <c r="M471" i="1"/>
  <c r="L471" i="1"/>
  <c r="K471" i="1"/>
  <c r="M470" i="1"/>
  <c r="L470" i="1"/>
  <c r="K470" i="1"/>
  <c r="M469" i="1"/>
  <c r="L469" i="1"/>
  <c r="K469" i="1"/>
  <c r="M468" i="1"/>
  <c r="L468" i="1"/>
  <c r="K468" i="1"/>
  <c r="M467" i="1"/>
  <c r="L467" i="1"/>
  <c r="K467" i="1"/>
  <c r="M466" i="1"/>
  <c r="L466" i="1"/>
  <c r="K466" i="1"/>
  <c r="M465" i="1"/>
  <c r="L465" i="1"/>
  <c r="K465" i="1"/>
  <c r="M464" i="1"/>
  <c r="L464" i="1"/>
  <c r="K464" i="1"/>
  <c r="M463" i="1"/>
  <c r="L463" i="1"/>
  <c r="K463" i="1"/>
  <c r="M462" i="1"/>
  <c r="L462" i="1"/>
  <c r="K462" i="1"/>
  <c r="M461" i="1"/>
  <c r="L461" i="1"/>
  <c r="K461" i="1"/>
  <c r="M460" i="1"/>
  <c r="L460" i="1"/>
  <c r="K460" i="1"/>
  <c r="M459" i="1"/>
  <c r="L459" i="1"/>
  <c r="K459" i="1"/>
  <c r="M458" i="1"/>
  <c r="L458" i="1"/>
  <c r="K458" i="1"/>
  <c r="M457" i="1"/>
  <c r="L457" i="1"/>
  <c r="K457" i="1"/>
  <c r="M456" i="1"/>
  <c r="L456" i="1"/>
  <c r="K456" i="1"/>
  <c r="M455" i="1"/>
  <c r="L455" i="1"/>
  <c r="K455" i="1"/>
  <c r="M454" i="1"/>
  <c r="L454" i="1"/>
  <c r="K454" i="1"/>
  <c r="M453" i="1"/>
  <c r="L453" i="1"/>
  <c r="K453" i="1"/>
  <c r="M452" i="1"/>
  <c r="L452" i="1"/>
  <c r="K452" i="1"/>
  <c r="M451" i="1"/>
  <c r="L451" i="1"/>
  <c r="K451" i="1"/>
  <c r="M450" i="1"/>
  <c r="L450" i="1"/>
  <c r="K450" i="1"/>
  <c r="M449" i="1"/>
  <c r="L449" i="1"/>
  <c r="K449" i="1"/>
  <c r="M448" i="1"/>
  <c r="L448" i="1"/>
  <c r="K448" i="1"/>
  <c r="M447" i="1"/>
  <c r="L447" i="1"/>
  <c r="K447" i="1"/>
  <c r="M446" i="1"/>
  <c r="L446" i="1"/>
  <c r="K446" i="1"/>
  <c r="M445" i="1"/>
  <c r="L445" i="1"/>
  <c r="K445" i="1"/>
  <c r="M444" i="1"/>
  <c r="L444" i="1"/>
  <c r="K444" i="1"/>
  <c r="M443" i="1"/>
  <c r="L443" i="1"/>
  <c r="K443" i="1"/>
  <c r="M442" i="1"/>
  <c r="L442" i="1"/>
  <c r="K442" i="1"/>
  <c r="M441" i="1"/>
  <c r="L441" i="1"/>
  <c r="K441" i="1"/>
  <c r="M440" i="1"/>
  <c r="L440" i="1"/>
  <c r="K440" i="1"/>
  <c r="M439" i="1"/>
  <c r="L439" i="1"/>
  <c r="K439" i="1"/>
  <c r="M438" i="1"/>
  <c r="L438" i="1"/>
  <c r="K438" i="1"/>
  <c r="M437" i="1"/>
  <c r="L437" i="1"/>
  <c r="K437" i="1"/>
  <c r="M436" i="1"/>
  <c r="L436" i="1"/>
  <c r="K436" i="1"/>
  <c r="M435" i="1"/>
  <c r="L435" i="1"/>
  <c r="K435" i="1"/>
  <c r="M434" i="1"/>
  <c r="L434" i="1"/>
  <c r="K434" i="1"/>
  <c r="M433" i="1"/>
  <c r="L433" i="1"/>
  <c r="K433" i="1"/>
  <c r="M432" i="1"/>
  <c r="L432" i="1"/>
  <c r="K432" i="1"/>
  <c r="M431" i="1"/>
  <c r="L431" i="1"/>
  <c r="K431" i="1"/>
  <c r="M430" i="1"/>
  <c r="L430" i="1"/>
  <c r="K430" i="1"/>
  <c r="M429" i="1"/>
  <c r="L429" i="1"/>
  <c r="K429" i="1"/>
  <c r="M428" i="1"/>
  <c r="L428" i="1"/>
  <c r="K428" i="1"/>
  <c r="M427" i="1"/>
  <c r="L427" i="1"/>
  <c r="K427" i="1"/>
  <c r="M426" i="1"/>
  <c r="L426" i="1"/>
  <c r="K426" i="1"/>
  <c r="M425" i="1"/>
  <c r="L425" i="1"/>
  <c r="K425" i="1"/>
  <c r="M424" i="1"/>
  <c r="L424" i="1"/>
  <c r="K424" i="1"/>
  <c r="M423" i="1"/>
  <c r="L423" i="1"/>
  <c r="K423" i="1"/>
  <c r="M422" i="1"/>
  <c r="L422" i="1"/>
  <c r="K422" i="1"/>
  <c r="M421" i="1"/>
  <c r="L421" i="1"/>
  <c r="K421" i="1"/>
  <c r="M420" i="1"/>
  <c r="L420" i="1"/>
  <c r="K420" i="1"/>
  <c r="M419" i="1"/>
  <c r="L419" i="1"/>
  <c r="K419" i="1"/>
  <c r="M418" i="1"/>
  <c r="L418" i="1"/>
  <c r="K418" i="1"/>
  <c r="M417" i="1"/>
  <c r="L417" i="1"/>
  <c r="K417" i="1"/>
  <c r="M416" i="1"/>
  <c r="L416" i="1"/>
  <c r="K416" i="1"/>
  <c r="M415" i="1"/>
  <c r="L415" i="1"/>
  <c r="K415" i="1"/>
  <c r="M414" i="1"/>
  <c r="L414" i="1"/>
  <c r="K414" i="1"/>
  <c r="M413" i="1"/>
  <c r="L413" i="1"/>
  <c r="K413" i="1"/>
  <c r="M412" i="1"/>
  <c r="L412" i="1"/>
  <c r="K412" i="1"/>
  <c r="M411" i="1"/>
  <c r="L411" i="1"/>
  <c r="K411" i="1"/>
  <c r="M410" i="1"/>
  <c r="L410" i="1"/>
  <c r="K410" i="1"/>
  <c r="M409" i="1"/>
  <c r="L409" i="1"/>
  <c r="K409" i="1"/>
  <c r="M408" i="1"/>
  <c r="L408" i="1"/>
  <c r="K408" i="1"/>
  <c r="M407" i="1"/>
  <c r="L407" i="1"/>
  <c r="K407" i="1"/>
  <c r="M406" i="1"/>
  <c r="L406" i="1"/>
  <c r="K406" i="1"/>
  <c r="M405" i="1"/>
  <c r="L405" i="1"/>
  <c r="K405" i="1"/>
  <c r="M404" i="1"/>
  <c r="L404" i="1"/>
  <c r="K404" i="1"/>
  <c r="M403" i="1"/>
  <c r="L403" i="1"/>
  <c r="K403" i="1"/>
  <c r="M402" i="1"/>
  <c r="L402" i="1"/>
  <c r="K402" i="1"/>
  <c r="M401" i="1"/>
  <c r="L401" i="1"/>
  <c r="K401" i="1"/>
  <c r="M400" i="1"/>
  <c r="L400" i="1"/>
  <c r="K400" i="1"/>
  <c r="M399" i="1"/>
  <c r="L399" i="1"/>
  <c r="K399" i="1"/>
  <c r="M398" i="1"/>
  <c r="L398" i="1"/>
  <c r="K398" i="1"/>
  <c r="M397" i="1"/>
  <c r="L397" i="1"/>
  <c r="K397" i="1"/>
  <c r="M396" i="1"/>
  <c r="L396" i="1"/>
  <c r="K396" i="1"/>
  <c r="M395" i="1"/>
  <c r="L395" i="1"/>
  <c r="K395" i="1"/>
  <c r="M394" i="1"/>
  <c r="L394" i="1"/>
  <c r="K394" i="1"/>
  <c r="M393" i="1"/>
  <c r="L393" i="1"/>
  <c r="K393" i="1"/>
  <c r="M392" i="1"/>
  <c r="L392" i="1"/>
  <c r="K392" i="1"/>
  <c r="M391" i="1"/>
  <c r="L391" i="1"/>
  <c r="K391" i="1"/>
  <c r="M390" i="1"/>
  <c r="L390" i="1"/>
  <c r="K390" i="1"/>
  <c r="M389" i="1"/>
  <c r="L389" i="1"/>
  <c r="K389" i="1"/>
  <c r="M388" i="1"/>
  <c r="L388" i="1"/>
  <c r="K388" i="1"/>
  <c r="M387" i="1"/>
  <c r="L387" i="1"/>
  <c r="K387" i="1"/>
  <c r="M386" i="1"/>
  <c r="L386" i="1"/>
  <c r="K386" i="1"/>
  <c r="M385" i="1"/>
  <c r="L385" i="1"/>
  <c r="K385" i="1"/>
  <c r="M384" i="1"/>
  <c r="L384" i="1"/>
  <c r="K384" i="1"/>
  <c r="M383" i="1"/>
  <c r="L383" i="1"/>
  <c r="K383" i="1"/>
  <c r="M382" i="1"/>
  <c r="L382" i="1"/>
  <c r="K382" i="1"/>
  <c r="M381" i="1"/>
  <c r="L381" i="1"/>
  <c r="K381" i="1"/>
  <c r="M380" i="1"/>
  <c r="L380" i="1"/>
  <c r="K380" i="1"/>
  <c r="M379" i="1"/>
  <c r="L379" i="1"/>
  <c r="K379" i="1"/>
  <c r="M378" i="1"/>
  <c r="L378" i="1"/>
  <c r="K378" i="1"/>
  <c r="M377" i="1"/>
  <c r="L377" i="1"/>
  <c r="K377" i="1"/>
  <c r="M376" i="1"/>
  <c r="L376" i="1"/>
  <c r="K376" i="1"/>
  <c r="M375" i="1"/>
  <c r="L375" i="1"/>
  <c r="K375" i="1"/>
  <c r="M374" i="1"/>
  <c r="L374" i="1"/>
  <c r="K374" i="1"/>
  <c r="M373" i="1"/>
  <c r="L373" i="1"/>
  <c r="K373" i="1"/>
  <c r="M372" i="1"/>
  <c r="L372" i="1"/>
  <c r="K372" i="1"/>
  <c r="M371" i="1"/>
  <c r="L371" i="1"/>
  <c r="K371" i="1"/>
  <c r="M370" i="1"/>
  <c r="L370" i="1"/>
  <c r="K370" i="1"/>
  <c r="M369" i="1"/>
  <c r="L369" i="1"/>
  <c r="K369" i="1"/>
  <c r="M368" i="1"/>
  <c r="L368" i="1"/>
  <c r="K368" i="1"/>
  <c r="M367" i="1"/>
  <c r="L367" i="1"/>
  <c r="K367" i="1"/>
  <c r="M366" i="1"/>
  <c r="L366" i="1"/>
  <c r="K366" i="1"/>
  <c r="M365" i="1"/>
  <c r="L365" i="1"/>
  <c r="K365" i="1"/>
  <c r="M364" i="1"/>
  <c r="L364" i="1"/>
  <c r="K364" i="1"/>
  <c r="M363" i="1"/>
  <c r="L363" i="1"/>
  <c r="K363" i="1"/>
  <c r="M362" i="1"/>
  <c r="L362" i="1"/>
  <c r="K362" i="1"/>
  <c r="M361" i="1"/>
  <c r="L361" i="1"/>
  <c r="K361" i="1"/>
  <c r="M360" i="1"/>
  <c r="L360" i="1"/>
  <c r="K360" i="1"/>
  <c r="M359" i="1"/>
  <c r="L359" i="1"/>
  <c r="K359" i="1"/>
  <c r="M358" i="1"/>
  <c r="L358" i="1"/>
  <c r="K358" i="1"/>
  <c r="M357" i="1"/>
  <c r="L357" i="1"/>
  <c r="K357" i="1"/>
  <c r="M356" i="1"/>
  <c r="L356" i="1"/>
  <c r="K356" i="1"/>
  <c r="M355" i="1"/>
  <c r="L355" i="1"/>
  <c r="K355" i="1"/>
  <c r="M354" i="1"/>
  <c r="L354" i="1"/>
  <c r="K354" i="1"/>
  <c r="M353" i="1"/>
  <c r="L353" i="1"/>
  <c r="K353" i="1"/>
  <c r="M352" i="1"/>
  <c r="L352" i="1"/>
  <c r="K352" i="1"/>
  <c r="M351" i="1"/>
  <c r="L351" i="1"/>
  <c r="K351" i="1"/>
  <c r="M350" i="1"/>
  <c r="L350" i="1"/>
  <c r="K350" i="1"/>
  <c r="M349" i="1"/>
  <c r="L349" i="1"/>
  <c r="K349" i="1"/>
  <c r="M348" i="1"/>
  <c r="L348" i="1"/>
  <c r="K348" i="1"/>
  <c r="M347" i="1"/>
  <c r="L347" i="1"/>
  <c r="K347" i="1"/>
  <c r="M346" i="1"/>
  <c r="L346" i="1"/>
  <c r="K346" i="1"/>
  <c r="M345" i="1"/>
  <c r="L345" i="1"/>
  <c r="K345" i="1"/>
  <c r="M344" i="1"/>
  <c r="L344" i="1"/>
  <c r="K344" i="1"/>
  <c r="M343" i="1"/>
  <c r="L343" i="1"/>
  <c r="K343" i="1"/>
  <c r="M342" i="1"/>
  <c r="L342" i="1"/>
  <c r="K342" i="1"/>
  <c r="M341" i="1"/>
  <c r="L341" i="1"/>
  <c r="K341" i="1"/>
  <c r="M340" i="1"/>
  <c r="L340" i="1"/>
  <c r="K340" i="1"/>
  <c r="M339" i="1"/>
  <c r="L339" i="1"/>
  <c r="K339" i="1"/>
  <c r="M338" i="1"/>
  <c r="L338" i="1"/>
  <c r="K338" i="1"/>
  <c r="M337" i="1"/>
  <c r="L337" i="1"/>
  <c r="K337" i="1"/>
  <c r="M336" i="1"/>
  <c r="L336" i="1"/>
  <c r="K336" i="1"/>
  <c r="M335" i="1"/>
  <c r="L335" i="1"/>
  <c r="K335" i="1"/>
  <c r="M334" i="1"/>
  <c r="L334" i="1"/>
  <c r="K334" i="1"/>
  <c r="M333" i="1"/>
  <c r="L333" i="1"/>
  <c r="K333" i="1"/>
  <c r="M332" i="1"/>
  <c r="L332" i="1"/>
  <c r="K332" i="1"/>
  <c r="M331" i="1"/>
  <c r="L331" i="1"/>
  <c r="K331" i="1"/>
  <c r="M330" i="1"/>
  <c r="L330" i="1"/>
  <c r="K330" i="1"/>
  <c r="M329" i="1"/>
  <c r="L329" i="1"/>
  <c r="K329" i="1"/>
  <c r="M328" i="1"/>
  <c r="L328" i="1"/>
  <c r="K328" i="1"/>
  <c r="M327" i="1"/>
  <c r="L327" i="1"/>
  <c r="K327" i="1"/>
  <c r="M326" i="1"/>
  <c r="L326" i="1"/>
  <c r="K326" i="1"/>
  <c r="M325" i="1"/>
  <c r="L325" i="1"/>
  <c r="K325" i="1"/>
  <c r="M324" i="1"/>
  <c r="L324" i="1"/>
  <c r="K324" i="1"/>
  <c r="M323" i="1"/>
  <c r="L323" i="1"/>
  <c r="K323" i="1"/>
  <c r="M322" i="1"/>
  <c r="L322" i="1"/>
  <c r="K322" i="1"/>
  <c r="M321" i="1"/>
  <c r="L321" i="1"/>
  <c r="K321" i="1"/>
  <c r="M320" i="1"/>
  <c r="L320" i="1"/>
  <c r="K320" i="1"/>
  <c r="M319" i="1"/>
  <c r="L319" i="1"/>
  <c r="K319" i="1"/>
  <c r="M318" i="1"/>
  <c r="L318" i="1"/>
  <c r="K318" i="1"/>
  <c r="M317" i="1"/>
  <c r="L317" i="1"/>
  <c r="K317" i="1"/>
  <c r="M316" i="1"/>
  <c r="L316" i="1"/>
  <c r="K316" i="1"/>
  <c r="M315" i="1"/>
  <c r="L315" i="1"/>
  <c r="K315" i="1"/>
  <c r="M314" i="1"/>
  <c r="L314" i="1"/>
  <c r="K314" i="1"/>
  <c r="M313" i="1"/>
  <c r="L313" i="1"/>
  <c r="K313" i="1"/>
  <c r="M312" i="1"/>
  <c r="L312" i="1"/>
  <c r="K312" i="1"/>
  <c r="M311" i="1"/>
  <c r="L311" i="1"/>
  <c r="K311" i="1"/>
  <c r="M310" i="1"/>
  <c r="L310" i="1"/>
  <c r="K310" i="1"/>
  <c r="M309" i="1"/>
  <c r="L309" i="1"/>
  <c r="K309" i="1"/>
  <c r="M308" i="1"/>
  <c r="L308" i="1"/>
  <c r="K308" i="1"/>
  <c r="M307" i="1"/>
  <c r="L307" i="1"/>
  <c r="K307" i="1"/>
  <c r="M306" i="1"/>
  <c r="L306" i="1"/>
  <c r="K306" i="1"/>
  <c r="M305" i="1"/>
  <c r="L305" i="1"/>
  <c r="K305" i="1"/>
  <c r="M304" i="1"/>
  <c r="L304" i="1"/>
  <c r="K304" i="1"/>
  <c r="M303" i="1"/>
  <c r="L303" i="1"/>
  <c r="K303" i="1"/>
  <c r="M302" i="1"/>
  <c r="L302" i="1"/>
  <c r="K302" i="1"/>
  <c r="M301" i="1"/>
  <c r="L301" i="1"/>
  <c r="K301" i="1"/>
  <c r="M300" i="1"/>
  <c r="L300" i="1"/>
  <c r="K300" i="1"/>
  <c r="M299" i="1"/>
  <c r="L299" i="1"/>
  <c r="K299" i="1"/>
  <c r="M298" i="1"/>
  <c r="L298" i="1"/>
  <c r="K298" i="1"/>
  <c r="M297" i="1"/>
  <c r="L297" i="1"/>
  <c r="K297" i="1"/>
  <c r="M296" i="1"/>
  <c r="L296" i="1"/>
  <c r="K296" i="1"/>
  <c r="M295" i="1"/>
  <c r="L295" i="1"/>
  <c r="K295" i="1"/>
  <c r="M294" i="1"/>
  <c r="L294" i="1"/>
  <c r="K294" i="1"/>
  <c r="M293" i="1"/>
  <c r="L293" i="1"/>
  <c r="K293" i="1"/>
  <c r="M292" i="1"/>
  <c r="L292" i="1"/>
  <c r="K292" i="1"/>
  <c r="M291" i="1"/>
  <c r="L291" i="1"/>
  <c r="K291" i="1"/>
  <c r="M290" i="1"/>
  <c r="L290" i="1"/>
  <c r="K290" i="1"/>
  <c r="M289" i="1"/>
  <c r="L289" i="1"/>
  <c r="K289" i="1"/>
  <c r="M288" i="1"/>
  <c r="L288" i="1"/>
  <c r="K288" i="1"/>
  <c r="M287" i="1"/>
  <c r="L287" i="1"/>
  <c r="K287" i="1"/>
  <c r="M286" i="1"/>
  <c r="L286" i="1"/>
  <c r="K286" i="1"/>
  <c r="M285" i="1"/>
  <c r="L285" i="1"/>
  <c r="K285" i="1"/>
  <c r="M284" i="1"/>
  <c r="L284" i="1"/>
  <c r="K284" i="1"/>
  <c r="M283" i="1"/>
  <c r="L283" i="1"/>
  <c r="K283" i="1"/>
  <c r="M282" i="1"/>
  <c r="L282" i="1"/>
  <c r="K282" i="1"/>
  <c r="M281" i="1"/>
  <c r="L281" i="1"/>
  <c r="K281" i="1"/>
  <c r="M280" i="1"/>
  <c r="L280" i="1"/>
  <c r="K280" i="1"/>
  <c r="M279" i="1"/>
  <c r="L279" i="1"/>
  <c r="K279" i="1"/>
  <c r="M278" i="1"/>
  <c r="L278" i="1"/>
  <c r="K278" i="1"/>
  <c r="M277" i="1"/>
  <c r="L277" i="1"/>
  <c r="K277" i="1"/>
  <c r="M276" i="1"/>
  <c r="L276" i="1"/>
  <c r="K276" i="1"/>
  <c r="M275" i="1"/>
  <c r="L275" i="1"/>
  <c r="K275" i="1"/>
  <c r="M274" i="1"/>
  <c r="L274" i="1"/>
  <c r="K274" i="1"/>
  <c r="M273" i="1"/>
  <c r="L273" i="1"/>
  <c r="K273" i="1"/>
  <c r="M272" i="1"/>
  <c r="L272" i="1"/>
  <c r="K272" i="1"/>
  <c r="M271" i="1"/>
  <c r="L271" i="1"/>
  <c r="K271" i="1"/>
  <c r="M270" i="1"/>
  <c r="L270" i="1"/>
  <c r="K270" i="1"/>
  <c r="M269" i="1"/>
  <c r="L269" i="1"/>
  <c r="K269" i="1"/>
  <c r="M268" i="1"/>
  <c r="L268" i="1"/>
  <c r="K268" i="1"/>
  <c r="M267" i="1"/>
  <c r="L267" i="1"/>
  <c r="K267" i="1"/>
  <c r="M266" i="1"/>
  <c r="L266" i="1"/>
  <c r="K266" i="1"/>
  <c r="M265" i="1"/>
  <c r="L265" i="1"/>
  <c r="K265" i="1"/>
  <c r="M264" i="1"/>
  <c r="L264" i="1"/>
  <c r="K264" i="1"/>
  <c r="M263" i="1"/>
  <c r="L263" i="1"/>
  <c r="K263" i="1"/>
  <c r="M262" i="1"/>
  <c r="L262" i="1"/>
  <c r="K262" i="1"/>
  <c r="M261" i="1"/>
  <c r="L261" i="1"/>
  <c r="K261" i="1"/>
  <c r="M260" i="1"/>
  <c r="L260" i="1"/>
  <c r="K260" i="1"/>
  <c r="M259" i="1"/>
  <c r="L259" i="1"/>
  <c r="K259" i="1"/>
  <c r="M258" i="1"/>
  <c r="L258" i="1"/>
  <c r="K258" i="1"/>
  <c r="M257" i="1"/>
  <c r="L257" i="1"/>
  <c r="K257" i="1"/>
  <c r="M255" i="1"/>
  <c r="L255" i="1"/>
  <c r="K255" i="1"/>
  <c r="M254" i="1"/>
  <c r="L254" i="1"/>
  <c r="K254" i="1"/>
  <c r="M253" i="1"/>
  <c r="L253" i="1"/>
  <c r="K253" i="1"/>
  <c r="M252" i="1"/>
  <c r="L252" i="1"/>
  <c r="K252" i="1"/>
  <c r="M251" i="1"/>
  <c r="L251" i="1"/>
  <c r="K251" i="1"/>
  <c r="M250" i="1"/>
  <c r="L250" i="1"/>
  <c r="K250" i="1"/>
  <c r="M249" i="1"/>
  <c r="L249" i="1"/>
  <c r="K249" i="1"/>
  <c r="M248" i="1"/>
  <c r="L248" i="1"/>
  <c r="K248" i="1"/>
  <c r="M247" i="1"/>
  <c r="L247" i="1"/>
  <c r="K247" i="1"/>
  <c r="M246" i="1"/>
  <c r="L246" i="1"/>
  <c r="K246" i="1"/>
  <c r="M245" i="1"/>
  <c r="L245" i="1"/>
  <c r="K245" i="1"/>
  <c r="M244" i="1"/>
  <c r="L244" i="1"/>
  <c r="K244" i="1"/>
  <c r="M243" i="1"/>
  <c r="L243" i="1"/>
  <c r="K243" i="1"/>
  <c r="M242" i="1"/>
  <c r="L242" i="1"/>
  <c r="K242" i="1"/>
  <c r="M241" i="1"/>
  <c r="L241" i="1"/>
  <c r="K241" i="1"/>
  <c r="M240" i="1"/>
  <c r="L240" i="1"/>
  <c r="K240" i="1"/>
  <c r="M239" i="1"/>
  <c r="L239" i="1"/>
  <c r="K239" i="1"/>
  <c r="M238" i="1"/>
  <c r="L238" i="1"/>
  <c r="K238" i="1"/>
  <c r="M237" i="1"/>
  <c r="L237" i="1"/>
  <c r="K237" i="1"/>
  <c r="M236" i="1"/>
  <c r="L236" i="1"/>
  <c r="K236" i="1"/>
  <c r="M235" i="1"/>
  <c r="L235" i="1"/>
  <c r="K235" i="1"/>
  <c r="M234" i="1"/>
  <c r="L234" i="1"/>
  <c r="K234" i="1"/>
  <c r="M233" i="1"/>
  <c r="L233" i="1"/>
  <c r="K233" i="1"/>
  <c r="M232" i="1"/>
  <c r="L232" i="1"/>
  <c r="K232" i="1"/>
  <c r="M231" i="1"/>
  <c r="L231" i="1"/>
  <c r="K231" i="1"/>
  <c r="M230" i="1"/>
  <c r="L230" i="1"/>
  <c r="M229" i="1"/>
  <c r="L229" i="1"/>
  <c r="K229" i="1"/>
  <c r="M228" i="1"/>
  <c r="L228" i="1"/>
  <c r="K228" i="1"/>
  <c r="M227" i="1"/>
  <c r="L227" i="1"/>
  <c r="K227" i="1"/>
  <c r="M226" i="1"/>
  <c r="L226" i="1"/>
  <c r="K226" i="1"/>
  <c r="M225" i="1"/>
  <c r="K225" i="1"/>
  <c r="M224" i="1"/>
  <c r="L224" i="1"/>
  <c r="K224" i="1"/>
  <c r="M223" i="1"/>
  <c r="L223" i="1"/>
  <c r="K223" i="1"/>
  <c r="M222" i="1"/>
  <c r="L222" i="1"/>
  <c r="K222" i="1"/>
  <c r="M221" i="1"/>
  <c r="L221" i="1"/>
  <c r="K221" i="1"/>
  <c r="M220" i="1"/>
  <c r="L220" i="1"/>
  <c r="K220" i="1"/>
  <c r="M219" i="1"/>
  <c r="L219" i="1"/>
  <c r="K219" i="1"/>
  <c r="M218" i="1"/>
  <c r="L218" i="1"/>
  <c r="K218" i="1"/>
  <c r="M217" i="1"/>
  <c r="L217" i="1"/>
  <c r="K217" i="1"/>
  <c r="M216" i="1"/>
  <c r="L216" i="1"/>
  <c r="K216" i="1"/>
  <c r="M215" i="1"/>
  <c r="L215" i="1"/>
  <c r="K215" i="1"/>
  <c r="M214" i="1"/>
  <c r="L214" i="1"/>
  <c r="K214" i="1"/>
  <c r="M213" i="1"/>
  <c r="L213" i="1"/>
  <c r="K213" i="1"/>
  <c r="M212" i="1"/>
  <c r="L212" i="1"/>
  <c r="K212" i="1"/>
  <c r="M211" i="1"/>
  <c r="L211" i="1"/>
  <c r="K211" i="1"/>
  <c r="M210" i="1"/>
  <c r="L210" i="1"/>
  <c r="K210" i="1"/>
  <c r="M209" i="1"/>
  <c r="L209" i="1"/>
  <c r="K209" i="1"/>
  <c r="M208" i="1"/>
  <c r="L208" i="1"/>
  <c r="K208" i="1"/>
  <c r="M207" i="1"/>
  <c r="L207" i="1"/>
  <c r="K207" i="1"/>
  <c r="M206" i="1"/>
  <c r="L206" i="1"/>
  <c r="K206" i="1"/>
  <c r="M205" i="1"/>
  <c r="L205" i="1"/>
  <c r="K205" i="1"/>
  <c r="M204" i="1"/>
  <c r="L204" i="1"/>
  <c r="K204" i="1"/>
  <c r="M203" i="1"/>
  <c r="L203" i="1"/>
  <c r="K203" i="1"/>
  <c r="M202" i="1"/>
  <c r="L202" i="1"/>
  <c r="K202" i="1"/>
  <c r="M201" i="1"/>
  <c r="L201" i="1"/>
  <c r="K201" i="1"/>
  <c r="M200" i="1"/>
  <c r="L200" i="1"/>
  <c r="K200" i="1"/>
  <c r="M199" i="1"/>
  <c r="L199" i="1"/>
  <c r="K199" i="1"/>
  <c r="M198" i="1"/>
  <c r="L198" i="1"/>
  <c r="K198" i="1"/>
  <c r="M197" i="1"/>
  <c r="L197" i="1"/>
  <c r="K197" i="1"/>
  <c r="M196" i="1"/>
  <c r="L196" i="1"/>
  <c r="K196" i="1"/>
  <c r="M195" i="1"/>
  <c r="L195" i="1"/>
  <c r="K195" i="1"/>
  <c r="M194" i="1"/>
  <c r="L194" i="1"/>
  <c r="K194" i="1"/>
  <c r="M193" i="1"/>
  <c r="L193" i="1"/>
  <c r="K193" i="1"/>
  <c r="M192" i="1"/>
  <c r="L192" i="1"/>
  <c r="K192" i="1"/>
  <c r="M191" i="1"/>
  <c r="L191" i="1"/>
  <c r="K191" i="1"/>
  <c r="M190" i="1"/>
  <c r="L190" i="1"/>
  <c r="K190" i="1"/>
  <c r="M189" i="1"/>
  <c r="L189" i="1"/>
  <c r="K189" i="1"/>
  <c r="M188" i="1"/>
  <c r="L188" i="1"/>
  <c r="K188" i="1"/>
  <c r="M187" i="1"/>
  <c r="L187" i="1"/>
  <c r="K187" i="1"/>
  <c r="M186" i="1"/>
  <c r="L186" i="1"/>
  <c r="K186" i="1"/>
  <c r="M185" i="1"/>
  <c r="L185" i="1"/>
  <c r="K185" i="1"/>
  <c r="M184" i="1"/>
  <c r="L184" i="1"/>
  <c r="K184" i="1"/>
  <c r="M183" i="1"/>
  <c r="L183" i="1"/>
  <c r="K183" i="1"/>
  <c r="M182" i="1"/>
  <c r="L182" i="1"/>
  <c r="K182" i="1"/>
  <c r="M181" i="1"/>
  <c r="L181" i="1"/>
  <c r="K181" i="1"/>
  <c r="M180" i="1"/>
  <c r="L180" i="1"/>
  <c r="K180" i="1"/>
  <c r="M179" i="1"/>
  <c r="L179" i="1"/>
  <c r="K179" i="1"/>
  <c r="M178" i="1"/>
  <c r="L178" i="1"/>
  <c r="K178" i="1"/>
  <c r="M177" i="1"/>
  <c r="L177" i="1"/>
  <c r="K177" i="1"/>
  <c r="M176" i="1"/>
  <c r="L176" i="1"/>
  <c r="K176" i="1"/>
  <c r="M175" i="1"/>
  <c r="L175" i="1"/>
  <c r="K175" i="1"/>
  <c r="M174" i="1"/>
  <c r="L174" i="1"/>
  <c r="K174" i="1"/>
  <c r="M173" i="1"/>
  <c r="L173" i="1"/>
  <c r="K173" i="1"/>
  <c r="M172" i="1"/>
  <c r="L172" i="1"/>
  <c r="K172" i="1"/>
  <c r="M171" i="1"/>
  <c r="L171" i="1"/>
  <c r="K171" i="1"/>
  <c r="M170" i="1"/>
  <c r="L170" i="1"/>
  <c r="K170" i="1"/>
  <c r="M169" i="1"/>
  <c r="L169" i="1"/>
  <c r="K169" i="1"/>
  <c r="M168" i="1"/>
  <c r="L168" i="1"/>
  <c r="K168" i="1"/>
  <c r="M167" i="1"/>
  <c r="L167" i="1"/>
  <c r="K167" i="1"/>
  <c r="M166" i="1"/>
  <c r="L166" i="1"/>
  <c r="K166" i="1"/>
  <c r="M165" i="1"/>
  <c r="L165" i="1"/>
  <c r="K165" i="1"/>
  <c r="M164" i="1"/>
  <c r="L164" i="1"/>
  <c r="K164" i="1"/>
  <c r="M163" i="1"/>
  <c r="L163" i="1"/>
  <c r="K163" i="1"/>
  <c r="M162" i="1"/>
  <c r="L162" i="1"/>
  <c r="K162" i="1"/>
  <c r="M161" i="1"/>
  <c r="L161" i="1"/>
  <c r="K161" i="1"/>
  <c r="M160" i="1"/>
  <c r="L160" i="1"/>
  <c r="K160" i="1"/>
  <c r="M159" i="1"/>
  <c r="L159" i="1"/>
  <c r="K159" i="1"/>
  <c r="M158" i="1"/>
  <c r="L158" i="1"/>
  <c r="K158" i="1"/>
  <c r="M157" i="1"/>
  <c r="L157" i="1"/>
  <c r="K157" i="1"/>
  <c r="M156" i="1"/>
  <c r="L156" i="1"/>
  <c r="K156" i="1"/>
  <c r="M155" i="1"/>
  <c r="L155" i="1"/>
  <c r="K155" i="1"/>
  <c r="M154" i="1"/>
  <c r="L154" i="1"/>
  <c r="K154" i="1"/>
  <c r="M153" i="1"/>
  <c r="L153" i="1"/>
  <c r="K153" i="1"/>
  <c r="M152" i="1"/>
  <c r="L152" i="1"/>
  <c r="K152" i="1"/>
  <c r="M151" i="1"/>
  <c r="L151" i="1"/>
  <c r="K151" i="1"/>
  <c r="M150" i="1"/>
  <c r="L150" i="1"/>
  <c r="K150" i="1"/>
  <c r="M149" i="1"/>
  <c r="L149" i="1"/>
  <c r="K149" i="1"/>
  <c r="M148" i="1"/>
  <c r="L148" i="1"/>
  <c r="K148" i="1"/>
  <c r="M147" i="1"/>
  <c r="L147" i="1"/>
  <c r="K147" i="1"/>
  <c r="M146" i="1"/>
  <c r="L146" i="1"/>
  <c r="K146" i="1"/>
  <c r="M145" i="1"/>
  <c r="L145" i="1"/>
  <c r="K145" i="1"/>
  <c r="M144" i="1"/>
  <c r="L144" i="1"/>
  <c r="K144" i="1"/>
  <c r="M143" i="1"/>
  <c r="L143" i="1"/>
  <c r="K143" i="1"/>
  <c r="M142" i="1"/>
  <c r="L142" i="1"/>
  <c r="K142" i="1"/>
  <c r="M141" i="1"/>
  <c r="L141" i="1"/>
  <c r="K141" i="1"/>
  <c r="M140" i="1"/>
  <c r="L140" i="1"/>
  <c r="K140" i="1"/>
  <c r="M139" i="1"/>
  <c r="L139" i="1"/>
  <c r="K139" i="1"/>
  <c r="M138" i="1"/>
  <c r="L138" i="1"/>
  <c r="K138" i="1"/>
  <c r="M137" i="1"/>
  <c r="L137" i="1"/>
  <c r="K137" i="1"/>
  <c r="M136" i="1"/>
  <c r="L136" i="1"/>
  <c r="K136" i="1"/>
  <c r="M135" i="1"/>
  <c r="L135" i="1"/>
  <c r="K135" i="1"/>
  <c r="M134" i="1"/>
  <c r="L134" i="1"/>
  <c r="K134" i="1"/>
  <c r="M133" i="1"/>
  <c r="L133" i="1"/>
  <c r="K133" i="1"/>
  <c r="M132" i="1"/>
  <c r="L132" i="1"/>
  <c r="K132" i="1"/>
  <c r="M131" i="1"/>
  <c r="L131" i="1"/>
  <c r="K131" i="1"/>
  <c r="M130" i="1"/>
  <c r="L130" i="1"/>
  <c r="K130" i="1"/>
  <c r="M129" i="1"/>
  <c r="L129" i="1"/>
  <c r="K129" i="1"/>
  <c r="M128" i="1"/>
  <c r="L128" i="1"/>
  <c r="K128" i="1"/>
  <c r="M127" i="1"/>
  <c r="L127" i="1"/>
  <c r="K127" i="1"/>
  <c r="M126" i="1"/>
  <c r="L126" i="1"/>
  <c r="K126" i="1"/>
  <c r="M125" i="1"/>
  <c r="L125" i="1"/>
  <c r="K125" i="1"/>
  <c r="M124" i="1"/>
  <c r="L124" i="1"/>
  <c r="K124" i="1"/>
  <c r="M123" i="1"/>
  <c r="L123" i="1"/>
  <c r="K123" i="1"/>
  <c r="M122" i="1"/>
  <c r="L122" i="1"/>
  <c r="K122" i="1"/>
  <c r="M121" i="1"/>
  <c r="L121" i="1"/>
  <c r="K121" i="1"/>
  <c r="M120" i="1"/>
  <c r="L120" i="1"/>
  <c r="K120" i="1"/>
  <c r="M119" i="1"/>
  <c r="L119" i="1"/>
  <c r="K119" i="1"/>
  <c r="M118" i="1"/>
  <c r="L118" i="1"/>
  <c r="K118" i="1"/>
  <c r="M117" i="1"/>
  <c r="L117" i="1"/>
  <c r="K117" i="1"/>
  <c r="M116" i="1"/>
  <c r="L116" i="1"/>
  <c r="K116" i="1"/>
  <c r="M115" i="1"/>
  <c r="L115" i="1"/>
  <c r="K115" i="1"/>
  <c r="M114" i="1"/>
  <c r="L114" i="1"/>
  <c r="K114" i="1"/>
  <c r="M113" i="1"/>
  <c r="L113" i="1"/>
  <c r="K113" i="1"/>
  <c r="M112" i="1"/>
  <c r="L112" i="1"/>
  <c r="K112" i="1"/>
  <c r="M111" i="1"/>
  <c r="L111" i="1"/>
  <c r="K111" i="1"/>
  <c r="M110" i="1"/>
  <c r="L110" i="1"/>
  <c r="K110" i="1"/>
  <c r="M109" i="1"/>
  <c r="L109" i="1"/>
  <c r="K109" i="1"/>
  <c r="M108" i="1"/>
  <c r="L108" i="1"/>
  <c r="K108" i="1"/>
  <c r="M107" i="1"/>
  <c r="L107" i="1"/>
  <c r="K107" i="1"/>
  <c r="M106" i="1"/>
  <c r="L106" i="1"/>
  <c r="K106" i="1"/>
  <c r="M105" i="1"/>
  <c r="L105" i="1"/>
  <c r="K105" i="1"/>
  <c r="M104" i="1"/>
  <c r="L104" i="1"/>
  <c r="K104" i="1"/>
  <c r="M103" i="1"/>
  <c r="L103" i="1"/>
  <c r="K103" i="1"/>
  <c r="M102" i="1"/>
  <c r="L102" i="1"/>
  <c r="K102" i="1"/>
  <c r="M101" i="1"/>
  <c r="L101" i="1"/>
  <c r="K101" i="1"/>
  <c r="M100" i="1"/>
  <c r="L100" i="1"/>
  <c r="K100" i="1"/>
  <c r="M99" i="1"/>
  <c r="L99" i="1"/>
  <c r="K99" i="1"/>
  <c r="M98" i="1"/>
  <c r="L98" i="1"/>
  <c r="K98" i="1"/>
  <c r="M97" i="1"/>
  <c r="L97" i="1"/>
  <c r="K97" i="1"/>
  <c r="M96" i="1"/>
  <c r="L96" i="1"/>
  <c r="K96" i="1"/>
  <c r="M95" i="1"/>
  <c r="L95" i="1"/>
  <c r="K95" i="1"/>
  <c r="M94" i="1"/>
  <c r="L94" i="1"/>
  <c r="K94" i="1"/>
  <c r="M93" i="1"/>
  <c r="L93" i="1"/>
  <c r="K93" i="1"/>
  <c r="M92" i="1"/>
  <c r="L92" i="1"/>
  <c r="K92" i="1"/>
  <c r="M91" i="1"/>
  <c r="L91" i="1"/>
  <c r="K91" i="1"/>
  <c r="M90" i="1"/>
  <c r="L90" i="1"/>
  <c r="K90" i="1"/>
  <c r="M89" i="1"/>
  <c r="L89" i="1"/>
  <c r="K89" i="1"/>
  <c r="M88" i="1"/>
  <c r="L88" i="1"/>
  <c r="K88" i="1"/>
  <c r="M87" i="1"/>
  <c r="L87" i="1"/>
  <c r="K87" i="1"/>
  <c r="M86" i="1"/>
  <c r="L86" i="1"/>
  <c r="K86" i="1"/>
  <c r="M85" i="1"/>
  <c r="L85" i="1"/>
  <c r="K85" i="1"/>
  <c r="M84" i="1"/>
  <c r="L84" i="1"/>
  <c r="K84" i="1"/>
  <c r="M83" i="1"/>
  <c r="L83" i="1"/>
  <c r="K83" i="1"/>
  <c r="M82" i="1"/>
  <c r="L82" i="1"/>
  <c r="K82" i="1"/>
  <c r="M81" i="1"/>
  <c r="L81" i="1"/>
  <c r="K81" i="1"/>
  <c r="M80" i="1"/>
  <c r="L80" i="1"/>
  <c r="K80" i="1"/>
  <c r="M79" i="1"/>
  <c r="L79" i="1"/>
  <c r="K79" i="1"/>
  <c r="M78" i="1"/>
  <c r="L78" i="1"/>
  <c r="K78" i="1"/>
  <c r="M77" i="1"/>
  <c r="L77" i="1"/>
  <c r="K77" i="1"/>
  <c r="M76" i="1"/>
  <c r="L76" i="1"/>
  <c r="K76" i="1"/>
  <c r="M75" i="1"/>
  <c r="L75" i="1"/>
  <c r="K75" i="1"/>
  <c r="M74" i="1"/>
  <c r="L74" i="1"/>
  <c r="K74" i="1"/>
  <c r="M73" i="1"/>
  <c r="L73" i="1"/>
  <c r="K73" i="1"/>
  <c r="M72" i="1"/>
  <c r="L72" i="1"/>
  <c r="K72" i="1"/>
  <c r="M71" i="1"/>
  <c r="L71" i="1"/>
  <c r="K71" i="1"/>
  <c r="M70" i="1"/>
  <c r="L70" i="1"/>
  <c r="K70" i="1"/>
  <c r="M69" i="1"/>
  <c r="L69" i="1"/>
  <c r="K69" i="1"/>
  <c r="M68" i="1"/>
  <c r="L68" i="1"/>
  <c r="K68" i="1"/>
  <c r="M67" i="1"/>
  <c r="L67" i="1"/>
  <c r="K67" i="1"/>
  <c r="M66" i="1"/>
  <c r="L66" i="1"/>
  <c r="K66" i="1"/>
  <c r="M65" i="1"/>
  <c r="L65" i="1"/>
  <c r="K65" i="1"/>
  <c r="M64" i="1"/>
  <c r="L64" i="1"/>
  <c r="K64" i="1"/>
  <c r="M63" i="1"/>
  <c r="L63" i="1"/>
  <c r="K63" i="1"/>
  <c r="M62" i="1"/>
  <c r="L62" i="1"/>
  <c r="K62" i="1"/>
  <c r="M61" i="1"/>
  <c r="L61" i="1"/>
  <c r="K61" i="1"/>
  <c r="M60" i="1"/>
  <c r="L60" i="1"/>
  <c r="K60" i="1"/>
  <c r="M59" i="1"/>
  <c r="L59" i="1"/>
  <c r="K59" i="1"/>
  <c r="M58" i="1"/>
  <c r="L58" i="1"/>
  <c r="K58" i="1"/>
  <c r="M57" i="1"/>
  <c r="L57" i="1"/>
  <c r="K57" i="1"/>
  <c r="M56" i="1"/>
  <c r="L56" i="1"/>
  <c r="K56" i="1"/>
  <c r="M55" i="1"/>
  <c r="L55" i="1"/>
  <c r="K55" i="1"/>
  <c r="M54" i="1"/>
  <c r="L54" i="1"/>
  <c r="K54" i="1"/>
  <c r="M53" i="1"/>
  <c r="L53" i="1"/>
  <c r="K53" i="1"/>
  <c r="M52" i="1"/>
  <c r="L52" i="1"/>
  <c r="K52" i="1"/>
  <c r="M51" i="1"/>
  <c r="L51" i="1"/>
  <c r="K51" i="1"/>
  <c r="M50" i="1"/>
  <c r="L50" i="1"/>
  <c r="K50" i="1"/>
  <c r="M49" i="1"/>
  <c r="L49" i="1"/>
  <c r="K49" i="1"/>
  <c r="M48" i="1"/>
  <c r="L48" i="1"/>
  <c r="K48" i="1"/>
  <c r="M47" i="1"/>
  <c r="L47" i="1"/>
  <c r="K47" i="1"/>
  <c r="M46" i="1"/>
  <c r="L46" i="1"/>
  <c r="K46" i="1"/>
  <c r="M45" i="1"/>
  <c r="L45" i="1"/>
  <c r="K45" i="1"/>
  <c r="M44" i="1"/>
  <c r="L44" i="1"/>
  <c r="K44" i="1"/>
  <c r="M43" i="1"/>
  <c r="L43" i="1"/>
  <c r="K43" i="1"/>
  <c r="M42" i="1"/>
  <c r="L42" i="1"/>
  <c r="K42" i="1"/>
  <c r="M41" i="1"/>
  <c r="L41" i="1"/>
  <c r="K41" i="1"/>
  <c r="M40" i="1"/>
  <c r="L40" i="1"/>
  <c r="K40" i="1"/>
  <c r="M39" i="1"/>
  <c r="L39" i="1"/>
  <c r="K39" i="1"/>
  <c r="M38" i="1"/>
  <c r="L38" i="1"/>
  <c r="K38" i="1"/>
  <c r="M37" i="1"/>
  <c r="L37" i="1"/>
  <c r="K37" i="1"/>
  <c r="M36" i="1"/>
  <c r="L36" i="1"/>
  <c r="K36" i="1"/>
  <c r="M35" i="1"/>
  <c r="L35" i="1"/>
  <c r="K35" i="1"/>
  <c r="M34" i="1"/>
  <c r="L34" i="1"/>
  <c r="K34" i="1"/>
  <c r="M33" i="1"/>
  <c r="L33" i="1"/>
  <c r="K33" i="1"/>
  <c r="M32" i="1"/>
  <c r="L32" i="1"/>
  <c r="K32" i="1"/>
  <c r="M31" i="1"/>
  <c r="L31" i="1"/>
  <c r="K31" i="1"/>
  <c r="M30" i="1"/>
  <c r="L30" i="1"/>
  <c r="K30" i="1"/>
  <c r="M29" i="1"/>
  <c r="L29" i="1"/>
  <c r="K29" i="1"/>
  <c r="M28" i="1"/>
  <c r="L28" i="1"/>
  <c r="K28" i="1"/>
  <c r="M27" i="1"/>
  <c r="L27" i="1"/>
  <c r="K27" i="1"/>
  <c r="M26" i="1"/>
  <c r="L26" i="1"/>
  <c r="K26" i="1"/>
  <c r="M25" i="1"/>
  <c r="L25" i="1"/>
  <c r="K25" i="1"/>
  <c r="M24" i="1"/>
  <c r="L24" i="1"/>
  <c r="K24" i="1"/>
  <c r="M23" i="1"/>
  <c r="L23" i="1"/>
  <c r="K23" i="1"/>
  <c r="M22" i="1"/>
  <c r="L22" i="1"/>
  <c r="K22" i="1"/>
  <c r="M21" i="1"/>
  <c r="L21" i="1"/>
  <c r="K21" i="1"/>
  <c r="M20" i="1"/>
  <c r="L20" i="1"/>
  <c r="K20" i="1"/>
  <c r="M19" i="1"/>
  <c r="L19" i="1"/>
  <c r="K19" i="1"/>
  <c r="M18" i="1"/>
  <c r="L18" i="1"/>
  <c r="K18" i="1"/>
  <c r="M17" i="1"/>
  <c r="L17" i="1"/>
  <c r="K17" i="1"/>
  <c r="M16" i="1"/>
  <c r="L16" i="1"/>
  <c r="K16" i="1"/>
  <c r="M15" i="1"/>
  <c r="L15" i="1"/>
  <c r="K15" i="1"/>
  <c r="M14" i="1"/>
  <c r="L14" i="1"/>
  <c r="K14" i="1"/>
  <c r="M13" i="1"/>
  <c r="L13" i="1"/>
  <c r="K13" i="1"/>
  <c r="M12" i="1"/>
  <c r="L12" i="1"/>
  <c r="K12" i="1"/>
  <c r="M11" i="1"/>
  <c r="L11" i="1"/>
  <c r="K11" i="1"/>
  <c r="M10" i="1"/>
  <c r="L10" i="1"/>
  <c r="K10" i="1"/>
  <c r="M9" i="1"/>
  <c r="L9" i="1"/>
  <c r="K9" i="1"/>
  <c r="M8" i="1"/>
  <c r="L8" i="1"/>
  <c r="K8" i="1"/>
  <c r="M7" i="1"/>
  <c r="L7" i="1"/>
  <c r="K7" i="1"/>
  <c r="M6" i="1"/>
  <c r="L6" i="1"/>
  <c r="K6" i="1"/>
  <c r="M5" i="1"/>
  <c r="L5" i="1"/>
  <c r="K5" i="1"/>
  <c r="M4" i="1"/>
  <c r="L4" i="1"/>
  <c r="K4" i="1"/>
  <c r="M3" i="1"/>
  <c r="L3" i="1"/>
  <c r="K3" i="1"/>
  <c r="G13" i="7"/>
  <c r="G12" i="7"/>
  <c r="G11" i="7"/>
  <c r="F9" i="7"/>
  <c r="G9" i="7" s="1"/>
  <c r="D9" i="7"/>
  <c r="C9" i="7"/>
  <c r="B9" i="7"/>
  <c r="D82" i="11"/>
  <c r="D80" i="11"/>
  <c r="D78" i="11"/>
  <c r="D77" i="11"/>
  <c r="D76" i="11"/>
  <c r="D73" i="11"/>
  <c r="D66" i="11"/>
  <c r="D64" i="11"/>
  <c r="D62" i="11"/>
  <c r="D60" i="11"/>
  <c r="C125" i="12" s="1"/>
  <c r="E125" i="12" s="1"/>
  <c r="B125" i="12" s="1"/>
  <c r="D59" i="11"/>
  <c r="D57" i="11"/>
  <c r="D52" i="11"/>
  <c r="D50" i="11"/>
  <c r="D49" i="11"/>
  <c r="D48" i="11"/>
  <c r="D44" i="11"/>
  <c r="D43" i="11"/>
  <c r="D40" i="11"/>
  <c r="D39" i="11"/>
  <c r="D38" i="11"/>
  <c r="D36" i="11"/>
  <c r="D34" i="11"/>
  <c r="D32" i="11"/>
  <c r="D31" i="11"/>
  <c r="D27" i="11"/>
  <c r="D23" i="11"/>
  <c r="D22" i="11"/>
  <c r="C148" i="12" s="1"/>
  <c r="D21" i="11"/>
  <c r="B598" i="4"/>
  <c r="B597" i="4"/>
  <c r="B596" i="4"/>
  <c r="B594" i="4"/>
  <c r="B593" i="4" s="1"/>
  <c r="B592" i="4"/>
  <c r="B590" i="4"/>
  <c r="B589" i="4" s="1"/>
  <c r="C280" i="48" s="1"/>
  <c r="C290" i="48" s="1"/>
  <c r="C291" i="48" s="1"/>
  <c r="B587" i="4"/>
  <c r="B586" i="4" s="1"/>
  <c r="B585" i="4"/>
  <c r="B584" i="4" s="1"/>
  <c r="B578" i="4"/>
  <c r="B574" i="4"/>
  <c r="B567" i="4"/>
  <c r="B565" i="4"/>
  <c r="B556" i="4"/>
  <c r="B553" i="4"/>
  <c r="B552" i="4" s="1"/>
  <c r="B551" i="4"/>
  <c r="B550" i="4" s="1"/>
  <c r="E17" i="34" s="1"/>
  <c r="F17" i="34" s="1"/>
  <c r="B549" i="4"/>
  <c r="E12" i="34" s="1"/>
  <c r="F12" i="34" s="1"/>
  <c r="B546" i="4"/>
  <c r="B544" i="4"/>
  <c r="E15" i="34" s="1"/>
  <c r="F15" i="34" s="1"/>
  <c r="B541" i="4"/>
  <c r="E11" i="34" s="1"/>
  <c r="B537" i="4"/>
  <c r="B536" i="4"/>
  <c r="B535" i="4"/>
  <c r="B528" i="4"/>
  <c r="B527" i="4" s="1"/>
  <c r="B526" i="4"/>
  <c r="B525" i="4" s="1"/>
  <c r="B519" i="4"/>
  <c r="B517" i="4"/>
  <c r="B509" i="4"/>
  <c r="B507" i="4"/>
  <c r="B501" i="4"/>
  <c r="B498" i="4"/>
  <c r="B496" i="4"/>
  <c r="B495" i="4"/>
  <c r="B494" i="4"/>
  <c r="B487" i="4"/>
  <c r="B486" i="4" s="1"/>
  <c r="B484" i="4"/>
  <c r="B480" i="4"/>
  <c r="B479" i="4"/>
  <c r="B478" i="4"/>
  <c r="B475" i="4"/>
  <c r="B472" i="4"/>
  <c r="B469" i="4"/>
  <c r="B468" i="4"/>
  <c r="C444" i="48" s="1"/>
  <c r="B467" i="4"/>
  <c r="B465" i="4"/>
  <c r="B455" i="4"/>
  <c r="B454" i="4"/>
  <c r="B450" i="4"/>
  <c r="B448" i="4"/>
  <c r="B447" i="4"/>
  <c r="B445" i="4"/>
  <c r="B444" i="4"/>
  <c r="B439" i="4"/>
  <c r="B436" i="4"/>
  <c r="B418" i="4"/>
  <c r="B397" i="4"/>
  <c r="B407" i="4"/>
  <c r="B401" i="4"/>
  <c r="B400" i="4"/>
  <c r="B396" i="4"/>
  <c r="B392" i="4"/>
  <c r="B391" i="4"/>
  <c r="B388" i="4"/>
  <c r="B385" i="4"/>
  <c r="B373" i="4"/>
  <c r="B372" i="4" s="1"/>
  <c r="B281" i="48" s="1"/>
  <c r="B371" i="4"/>
  <c r="B368" i="4"/>
  <c r="B367" i="4"/>
  <c r="B366" i="4"/>
  <c r="B364" i="4"/>
  <c r="B361" i="4"/>
  <c r="B359" i="4"/>
  <c r="F11" i="57" s="1"/>
  <c r="F12" i="57" s="1"/>
  <c r="F10" i="57" s="1"/>
  <c r="B350" i="4"/>
  <c r="B349" i="4"/>
  <c r="B348" i="4"/>
  <c r="B347" i="4"/>
  <c r="B346" i="4"/>
  <c r="B345" i="4"/>
  <c r="B343" i="4"/>
  <c r="B342" i="4" s="1"/>
  <c r="B341" i="4"/>
  <c r="B340" i="4" s="1"/>
  <c r="B336" i="4"/>
  <c r="B335" i="4" s="1"/>
  <c r="B334" i="4"/>
  <c r="B331" i="4"/>
  <c r="B330" i="4"/>
  <c r="B329" i="4"/>
  <c r="B328" i="4"/>
  <c r="B324" i="4"/>
  <c r="B320" i="4"/>
  <c r="B319" i="4"/>
  <c r="B318" i="4"/>
  <c r="B317" i="4"/>
  <c r="B316" i="4"/>
  <c r="I309" i="4" s="1"/>
  <c r="B315" i="4"/>
  <c r="B314" i="4"/>
  <c r="B310" i="4"/>
  <c r="B308" i="4"/>
  <c r="B305" i="4"/>
  <c r="B301" i="4"/>
  <c r="B300" i="4"/>
  <c r="B297" i="4"/>
  <c r="B296" i="4"/>
  <c r="B293" i="4"/>
  <c r="B289" i="4"/>
  <c r="B288" i="4" s="1"/>
  <c r="B283" i="4"/>
  <c r="B280" i="4"/>
  <c r="B278" i="4"/>
  <c r="B277" i="4"/>
  <c r="B273" i="4"/>
  <c r="B272" i="4"/>
  <c r="B271" i="4"/>
  <c r="B270" i="4"/>
  <c r="B269" i="4"/>
  <c r="B267" i="4"/>
  <c r="B266" i="4"/>
  <c r="B265" i="4"/>
  <c r="B264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8" i="4"/>
  <c r="B247" i="4"/>
  <c r="B246" i="4"/>
  <c r="B245" i="4"/>
  <c r="B243" i="4"/>
  <c r="B242" i="4" s="1"/>
  <c r="C9" i="30" s="1"/>
  <c r="B241" i="4"/>
  <c r="B240" i="4" s="1"/>
  <c r="C8" i="30" s="1"/>
  <c r="B239" i="4"/>
  <c r="B238" i="4" s="1"/>
  <c r="B237" i="4"/>
  <c r="B236" i="4" s="1"/>
  <c r="B235" i="4"/>
  <c r="B234" i="4"/>
  <c r="B233" i="4"/>
  <c r="B232" i="4"/>
  <c r="B228" i="4"/>
  <c r="B227" i="4"/>
  <c r="B226" i="4"/>
  <c r="B225" i="4"/>
  <c r="B224" i="4"/>
  <c r="B223" i="4"/>
  <c r="B222" i="4"/>
  <c r="B218" i="4"/>
  <c r="B217" i="4"/>
  <c r="B216" i="4"/>
  <c r="B214" i="4"/>
  <c r="B212" i="4"/>
  <c r="B209" i="4"/>
  <c r="B206" i="4"/>
  <c r="B202" i="4"/>
  <c r="B200" i="4"/>
  <c r="B198" i="4"/>
  <c r="B196" i="4"/>
  <c r="C196" i="4" s="1"/>
  <c r="B193" i="4"/>
  <c r="B192" i="4"/>
  <c r="B190" i="4"/>
  <c r="B189" i="4" s="1"/>
  <c r="B187" i="4"/>
  <c r="B186" i="4"/>
  <c r="B179" i="4"/>
  <c r="G35" i="28" s="1"/>
  <c r="B177" i="4"/>
  <c r="B172" i="4"/>
  <c r="B165" i="4"/>
  <c r="B164" i="4"/>
  <c r="B163" i="4"/>
  <c r="B162" i="4"/>
  <c r="B161" i="4"/>
  <c r="H471" i="48"/>
  <c r="B469" i="48" s="1"/>
  <c r="B142" i="4"/>
  <c r="B126" i="4" s="1"/>
  <c r="I28" i="28" s="1"/>
  <c r="B120" i="4"/>
  <c r="C147" i="48"/>
  <c r="C150" i="48" s="1"/>
  <c r="B105" i="4"/>
  <c r="B104" i="4"/>
  <c r="B103" i="4"/>
  <c r="B102" i="4"/>
  <c r="B101" i="4"/>
  <c r="B100" i="4"/>
  <c r="B99" i="4"/>
  <c r="B98" i="4"/>
  <c r="B97" i="4"/>
  <c r="B96" i="4"/>
  <c r="B95" i="4"/>
  <c r="B93" i="4"/>
  <c r="B92" i="4"/>
  <c r="B91" i="4"/>
  <c r="B90" i="4"/>
  <c r="B89" i="4"/>
  <c r="B88" i="4"/>
  <c r="B87" i="4"/>
  <c r="B86" i="4"/>
  <c r="B85" i="4"/>
  <c r="B84" i="4"/>
  <c r="B83" i="4"/>
  <c r="B77" i="4"/>
  <c r="B76" i="4" s="1"/>
  <c r="B75" i="4" s="1"/>
  <c r="B73" i="4"/>
  <c r="B70" i="4"/>
  <c r="K61" i="58" s="1"/>
  <c r="B66" i="4"/>
  <c r="B73" i="48" s="1"/>
  <c r="B53" i="4"/>
  <c r="B52" i="4"/>
  <c r="B65" i="4"/>
  <c r="B64" i="4"/>
  <c r="B58" i="4"/>
  <c r="B56" i="4"/>
  <c r="B55" i="4"/>
  <c r="B50" i="4"/>
  <c r="B49" i="4"/>
  <c r="B45" i="4"/>
  <c r="B41" i="4"/>
  <c r="B40" i="4"/>
  <c r="B39" i="4"/>
  <c r="B38" i="4"/>
  <c r="B37" i="4"/>
  <c r="B35" i="4"/>
  <c r="B34" i="4"/>
  <c r="B33" i="4"/>
  <c r="B31" i="4"/>
  <c r="B30" i="4"/>
  <c r="B29" i="4"/>
  <c r="B26" i="4"/>
  <c r="B25" i="4"/>
  <c r="B23" i="4"/>
  <c r="B22" i="4"/>
  <c r="B21" i="4"/>
  <c r="B20" i="4"/>
  <c r="B19" i="4"/>
  <c r="B18" i="4"/>
  <c r="B17" i="4"/>
  <c r="B16" i="4"/>
  <c r="B15" i="4"/>
  <c r="B13" i="4"/>
  <c r="B12" i="4"/>
  <c r="B11" i="4"/>
  <c r="B10" i="4"/>
  <c r="B9" i="4"/>
  <c r="B8" i="4"/>
  <c r="C25" i="46"/>
  <c r="I28" i="5"/>
  <c r="I8" i="5"/>
  <c r="I13" i="5" s="1"/>
  <c r="I16" i="5" s="1"/>
  <c r="I19" i="5" s="1"/>
  <c r="B82" i="50"/>
  <c r="B128" i="47"/>
  <c r="B176" i="47"/>
  <c r="B202" i="47"/>
  <c r="B192" i="47"/>
  <c r="K60" i="47"/>
  <c r="E9" i="16"/>
  <c r="B181" i="48" l="1"/>
  <c r="B32" i="4"/>
  <c r="I310" i="4"/>
  <c r="C11" i="29"/>
  <c r="C49" i="4"/>
  <c r="C206" i="4"/>
  <c r="B150" i="4"/>
  <c r="D208" i="12"/>
  <c r="I200" i="12" s="1"/>
  <c r="D114" i="12"/>
  <c r="E114" i="12" s="1"/>
  <c r="B114" i="12" s="1"/>
  <c r="B92" i="18" s="1"/>
  <c r="B54" i="4"/>
  <c r="I30" i="5"/>
  <c r="G11" i="57"/>
  <c r="C43" i="50"/>
  <c r="B483" i="4"/>
  <c r="F40" i="57" s="1"/>
  <c r="G42" i="57"/>
  <c r="D206" i="12"/>
  <c r="E206" i="12" s="1"/>
  <c r="I308" i="4"/>
  <c r="G212" i="4"/>
  <c r="D192" i="12"/>
  <c r="D190" i="12" s="1"/>
  <c r="D205" i="12"/>
  <c r="E205" i="12" s="1"/>
  <c r="G213" i="4"/>
  <c r="B83" i="50"/>
  <c r="B84" i="50" s="1"/>
  <c r="B384" i="4"/>
  <c r="K31" i="31" s="1"/>
  <c r="B540" i="4"/>
  <c r="B139" i="47"/>
  <c r="K58" i="47"/>
  <c r="E58" i="47" s="1"/>
  <c r="F58" i="47" s="1"/>
  <c r="B200" i="48"/>
  <c r="B201" i="48" s="1"/>
  <c r="C150" i="12"/>
  <c r="E150" i="12" s="1"/>
  <c r="B150" i="12" s="1"/>
  <c r="B65" i="49" s="1"/>
  <c r="B244" i="4"/>
  <c r="B175" i="47"/>
  <c r="E401" i="48" s="1"/>
  <c r="F401" i="48" s="1"/>
  <c r="B197" i="48"/>
  <c r="B370" i="4"/>
  <c r="B236" i="48" s="1"/>
  <c r="B238" i="48" s="1"/>
  <c r="B280" i="48"/>
  <c r="B290" i="48" s="1"/>
  <c r="B310" i="48" s="1"/>
  <c r="B591" i="4"/>
  <c r="C281" i="48"/>
  <c r="B292" i="48"/>
  <c r="E26" i="61"/>
  <c r="E28" i="61" s="1"/>
  <c r="B148" i="48"/>
  <c r="D148" i="48" s="1"/>
  <c r="D34" i="60"/>
  <c r="B82" i="4"/>
  <c r="B81" i="4" s="1"/>
  <c r="C14" i="6" s="1"/>
  <c r="B190" i="47"/>
  <c r="C44" i="50"/>
  <c r="B358" i="4"/>
  <c r="C13" i="6"/>
  <c r="B10" i="11" s="1"/>
  <c r="C45" i="50"/>
  <c r="F45" i="50" s="1"/>
  <c r="I21" i="57"/>
  <c r="D400" i="48"/>
  <c r="D403" i="48" s="1"/>
  <c r="B545" i="4"/>
  <c r="G35" i="58"/>
  <c r="E39" i="34"/>
  <c r="F39" i="34" s="1"/>
  <c r="F22" i="57"/>
  <c r="F15" i="57" s="1"/>
  <c r="F4" i="57" s="1"/>
  <c r="K52" i="47"/>
  <c r="E52" i="47" s="1"/>
  <c r="F52" i="47" s="1"/>
  <c r="G52" i="47" s="1"/>
  <c r="G22" i="57"/>
  <c r="B196" i="48"/>
  <c r="B167" i="47"/>
  <c r="B180" i="47"/>
  <c r="K57" i="47"/>
  <c r="E57" i="47" s="1"/>
  <c r="F57" i="47" s="1"/>
  <c r="D202" i="12"/>
  <c r="E202" i="12" s="1"/>
  <c r="B363" i="48"/>
  <c r="B364" i="48" s="1"/>
  <c r="D210" i="12"/>
  <c r="D174" i="12" s="1"/>
  <c r="D98" i="12"/>
  <c r="E98" i="12" s="1"/>
  <c r="B138" i="47"/>
  <c r="B216" i="47"/>
  <c r="B217" i="47" s="1"/>
  <c r="B116" i="47"/>
  <c r="B292" i="4"/>
  <c r="B115" i="47"/>
  <c r="B127" i="47"/>
  <c r="B227" i="48"/>
  <c r="E402" i="48"/>
  <c r="F402" i="48" s="1"/>
  <c r="B118" i="47"/>
  <c r="B189" i="47"/>
  <c r="B179" i="47"/>
  <c r="B117" i="47"/>
  <c r="B203" i="47"/>
  <c r="B120" i="47"/>
  <c r="B153" i="47"/>
  <c r="C5" i="30"/>
  <c r="B165" i="48"/>
  <c r="E7" i="34"/>
  <c r="F7" i="34" s="1"/>
  <c r="B351" i="48"/>
  <c r="C7" i="6"/>
  <c r="B6" i="11" s="1"/>
  <c r="B66" i="48"/>
  <c r="B198" i="48"/>
  <c r="C48" i="30"/>
  <c r="B173" i="48"/>
  <c r="C7" i="30"/>
  <c r="B166" i="48"/>
  <c r="B156" i="48"/>
  <c r="B157" i="48" s="1"/>
  <c r="B195" i="48"/>
  <c r="B184" i="48"/>
  <c r="E6" i="34"/>
  <c r="F6" i="34" s="1"/>
  <c r="B350" i="48"/>
  <c r="B107" i="47"/>
  <c r="E60" i="47"/>
  <c r="F60" i="47" s="1"/>
  <c r="B105" i="47"/>
  <c r="B106" i="47"/>
  <c r="B114" i="47"/>
  <c r="E13" i="34"/>
  <c r="F13" i="34" s="1"/>
  <c r="D101" i="12"/>
  <c r="E101" i="12" s="1"/>
  <c r="D99" i="12"/>
  <c r="E99" i="12" s="1"/>
  <c r="B284" i="4"/>
  <c r="D97" i="12"/>
  <c r="E97" i="12" s="1"/>
  <c r="B282" i="4"/>
  <c r="C19" i="30"/>
  <c r="C3" i="33"/>
  <c r="U9" i="33"/>
  <c r="B4" i="33"/>
  <c r="C10" i="33"/>
  <c r="D260" i="12"/>
  <c r="D233" i="12"/>
  <c r="I235" i="12" s="1"/>
  <c r="D200" i="12"/>
  <c r="D261" i="12"/>
  <c r="E261" i="12" s="1"/>
  <c r="D234" i="12"/>
  <c r="E234" i="12" s="1"/>
  <c r="D201" i="12"/>
  <c r="E201" i="12" s="1"/>
  <c r="C14" i="29"/>
  <c r="D14" i="29" s="1"/>
  <c r="B183" i="4"/>
  <c r="B44" i="50" s="1"/>
  <c r="B37" i="11"/>
  <c r="C36" i="6"/>
  <c r="B560" i="4"/>
  <c r="C43" i="21"/>
  <c r="C9" i="46"/>
  <c r="E20" i="16"/>
  <c r="B69" i="4"/>
  <c r="C10" i="6" s="1"/>
  <c r="B56" i="11"/>
  <c r="B515" i="4"/>
  <c r="B140" i="47"/>
  <c r="K50" i="47"/>
  <c r="E50" i="47" s="1"/>
  <c r="F50" i="47" s="1"/>
  <c r="G50" i="47" s="1"/>
  <c r="B142" i="47"/>
  <c r="B195" i="4"/>
  <c r="L61" i="58" s="1"/>
  <c r="B199" i="4"/>
  <c r="B307" i="4"/>
  <c r="B306" i="4" s="1"/>
  <c r="C306" i="4" s="1"/>
  <c r="B493" i="4"/>
  <c r="G71" i="57" s="1"/>
  <c r="G66" i="57" s="1"/>
  <c r="B497" i="4"/>
  <c r="G72" i="57" s="1"/>
  <c r="B534" i="4"/>
  <c r="B595" i="4"/>
  <c r="C237" i="48" s="1"/>
  <c r="B583" i="4"/>
  <c r="B508" i="4"/>
  <c r="G84" i="57" s="1"/>
  <c r="B457" i="4"/>
  <c r="B464" i="4"/>
  <c r="B176" i="4"/>
  <c r="B191" i="4"/>
  <c r="B188" i="4" s="1"/>
  <c r="B204" i="4"/>
  <c r="B365" i="4"/>
  <c r="B63" i="4"/>
  <c r="B14" i="4"/>
  <c r="B108" i="4"/>
  <c r="C108" i="4" s="1"/>
  <c r="B208" i="4"/>
  <c r="K59" i="47"/>
  <c r="E59" i="47" s="1"/>
  <c r="F59" i="47" s="1"/>
  <c r="B185" i="4"/>
  <c r="K49" i="47"/>
  <c r="E49" i="47" s="1"/>
  <c r="F49" i="47" s="1"/>
  <c r="G49" i="47" s="1"/>
  <c r="B141" i="47"/>
  <c r="B136" i="47"/>
  <c r="B28" i="4"/>
  <c r="B276" i="4"/>
  <c r="C49" i="30" s="1"/>
  <c r="B344" i="4"/>
  <c r="B474" i="4"/>
  <c r="B503" i="4"/>
  <c r="I82" i="57" s="1"/>
  <c r="B561" i="4"/>
  <c r="K48" i="47"/>
  <c r="E48" i="47" s="1"/>
  <c r="F48" i="47" s="1"/>
  <c r="G48" i="47" s="1"/>
  <c r="B174" i="47"/>
  <c r="E400" i="48" s="1"/>
  <c r="B137" i="47"/>
  <c r="B24" i="4"/>
  <c r="B48" i="4"/>
  <c r="M23" i="63" s="1"/>
  <c r="B51" i="4"/>
  <c r="M14" i="63" s="1"/>
  <c r="B231" i="4"/>
  <c r="B417" i="4"/>
  <c r="E64" i="50" s="1"/>
  <c r="D49" i="12"/>
  <c r="H38" i="48" s="1"/>
  <c r="C26" i="6"/>
  <c r="B42" i="11"/>
  <c r="D42" i="11" s="1"/>
  <c r="C27" i="6"/>
  <c r="B518" i="4"/>
  <c r="C16" i="46"/>
  <c r="B211" i="4"/>
  <c r="E44" i="50" s="1"/>
  <c r="B201" i="47"/>
  <c r="B188" i="47"/>
  <c r="B7" i="4"/>
  <c r="B555" i="4"/>
  <c r="E21" i="34" s="1"/>
  <c r="F21" i="34" s="1"/>
  <c r="C32" i="21"/>
  <c r="B55" i="20"/>
  <c r="D30" i="11"/>
  <c r="I13" i="65" l="1"/>
  <c r="I14" i="65"/>
  <c r="I34" i="65" s="1"/>
  <c r="K13" i="65"/>
  <c r="K14" i="65" s="1"/>
  <c r="I312" i="4"/>
  <c r="B74" i="48"/>
  <c r="M13" i="63"/>
  <c r="D6" i="36"/>
  <c r="M24" i="63"/>
  <c r="B14" i="48"/>
  <c r="M6" i="63"/>
  <c r="B17" i="48"/>
  <c r="M12" i="63"/>
  <c r="B16" i="48"/>
  <c r="M11" i="63"/>
  <c r="B15" i="48"/>
  <c r="M10" i="63"/>
  <c r="B47" i="4"/>
  <c r="B18" i="48"/>
  <c r="G6" i="11"/>
  <c r="C150" i="4"/>
  <c r="E192" i="12"/>
  <c r="G214" i="4"/>
  <c r="G67" i="57"/>
  <c r="H67" i="57" s="1"/>
  <c r="D199" i="12"/>
  <c r="D189" i="12" s="1"/>
  <c r="E190" i="12"/>
  <c r="C50" i="30"/>
  <c r="C51" i="30" s="1"/>
  <c r="E148" i="12"/>
  <c r="C122" i="12"/>
  <c r="I313" i="4"/>
  <c r="B171" i="48"/>
  <c r="B281" i="4"/>
  <c r="H84" i="57"/>
  <c r="I84" i="57" s="1"/>
  <c r="G80" i="57"/>
  <c r="H80" i="57" s="1"/>
  <c r="I193" i="12"/>
  <c r="D201" i="48"/>
  <c r="D48" i="12"/>
  <c r="E48" i="12" s="1"/>
  <c r="B48" i="12" s="1"/>
  <c r="I161" i="12"/>
  <c r="B514" i="4"/>
  <c r="E260" i="12"/>
  <c r="C143" i="12"/>
  <c r="C42" i="50"/>
  <c r="B369" i="4"/>
  <c r="B58" i="11" s="1"/>
  <c r="C65" i="46" s="1"/>
  <c r="B3" i="33"/>
  <c r="B5" i="33" s="1"/>
  <c r="B127" i="18"/>
  <c r="C9" i="33"/>
  <c r="S9" i="33" s="1"/>
  <c r="V9" i="33" s="1"/>
  <c r="B282" i="48"/>
  <c r="E306" i="48"/>
  <c r="C236" i="48"/>
  <c r="C238" i="48" s="1"/>
  <c r="C63" i="50"/>
  <c r="U10" i="33"/>
  <c r="U11" i="33" s="1"/>
  <c r="C4" i="33"/>
  <c r="C5" i="33" s="1"/>
  <c r="C292" i="48"/>
  <c r="C293" i="48" s="1"/>
  <c r="C282" i="48"/>
  <c r="J23" i="61"/>
  <c r="B291" i="48"/>
  <c r="B293" i="48" s="1"/>
  <c r="F23" i="61"/>
  <c r="E18" i="61"/>
  <c r="F26" i="61"/>
  <c r="E233" i="12"/>
  <c r="D29" i="60"/>
  <c r="F34" i="60"/>
  <c r="G12" i="57"/>
  <c r="H11" i="57"/>
  <c r="E5" i="16"/>
  <c r="E7" i="16" s="1"/>
  <c r="G45" i="50"/>
  <c r="B42" i="50"/>
  <c r="F44" i="50"/>
  <c r="B62" i="50"/>
  <c r="C64" i="50"/>
  <c r="F64" i="50" s="1"/>
  <c r="E63" i="50"/>
  <c r="G44" i="57"/>
  <c r="G40" i="57" s="1"/>
  <c r="H40" i="57" s="1"/>
  <c r="E65" i="50"/>
  <c r="F65" i="50" s="1"/>
  <c r="G34" i="28"/>
  <c r="E43" i="50"/>
  <c r="K22" i="47"/>
  <c r="E22" i="47" s="1"/>
  <c r="C17" i="46"/>
  <c r="G89" i="58"/>
  <c r="G82" i="58" s="1"/>
  <c r="G52" i="58" s="1"/>
  <c r="E25" i="34"/>
  <c r="G69" i="57"/>
  <c r="H69" i="57" s="1"/>
  <c r="H35" i="58"/>
  <c r="H72" i="57"/>
  <c r="G15" i="57"/>
  <c r="H22" i="57"/>
  <c r="B502" i="4"/>
  <c r="C394" i="48" s="1"/>
  <c r="B170" i="48"/>
  <c r="B199" i="48"/>
  <c r="B178" i="47"/>
  <c r="E403" i="48"/>
  <c r="B121" i="47"/>
  <c r="B122" i="47" s="1"/>
  <c r="B185" i="48"/>
  <c r="B188" i="48" s="1"/>
  <c r="B143" i="47"/>
  <c r="B149" i="47" s="1"/>
  <c r="B177" i="47"/>
  <c r="B155" i="47"/>
  <c r="B156" i="47" s="1"/>
  <c r="B157" i="47" s="1"/>
  <c r="B129" i="47"/>
  <c r="B130" i="47" s="1"/>
  <c r="B131" i="47" s="1"/>
  <c r="B194" i="47"/>
  <c r="B195" i="47" s="1"/>
  <c r="D195" i="47" s="1"/>
  <c r="B168" i="48"/>
  <c r="C4" i="30"/>
  <c r="B164" i="48"/>
  <c r="G72" i="11"/>
  <c r="C69" i="46"/>
  <c r="B396" i="48"/>
  <c r="B174" i="48"/>
  <c r="B107" i="4"/>
  <c r="B147" i="48"/>
  <c r="E10" i="34"/>
  <c r="F10" i="34" s="1"/>
  <c r="B349" i="48"/>
  <c r="B348" i="48"/>
  <c r="D37" i="11"/>
  <c r="B212" i="48"/>
  <c r="C59" i="46"/>
  <c r="B566" i="4"/>
  <c r="B554" i="4" s="1"/>
  <c r="B352" i="48"/>
  <c r="B353" i="48"/>
  <c r="C22" i="30"/>
  <c r="B172" i="48"/>
  <c r="B158" i="48"/>
  <c r="F11" i="34"/>
  <c r="B354" i="48"/>
  <c r="D10" i="11"/>
  <c r="C45" i="46"/>
  <c r="D6" i="11"/>
  <c r="C39" i="46"/>
  <c r="K47" i="47"/>
  <c r="B108" i="47"/>
  <c r="B109" i="47" s="1"/>
  <c r="D248" i="12"/>
  <c r="D111" i="12"/>
  <c r="E18" i="34"/>
  <c r="D112" i="12"/>
  <c r="E200" i="12"/>
  <c r="E22" i="34"/>
  <c r="F22" i="34" s="1"/>
  <c r="S10" i="33"/>
  <c r="D9" i="36"/>
  <c r="C8" i="6"/>
  <c r="B62" i="4"/>
  <c r="E97" i="48" s="1"/>
  <c r="E4" i="34"/>
  <c r="B588" i="4"/>
  <c r="S4" i="33"/>
  <c r="B203" i="4"/>
  <c r="B182" i="4"/>
  <c r="B26" i="11"/>
  <c r="B482" i="4"/>
  <c r="D11" i="29"/>
  <c r="D10" i="29" s="1"/>
  <c r="E10" i="29" s="1"/>
  <c r="C10" i="29"/>
  <c r="H11" i="29" s="1"/>
  <c r="H12" i="29" s="1"/>
  <c r="H13" i="29" s="1"/>
  <c r="B36" i="18"/>
  <c r="B12" i="49" s="1"/>
  <c r="E49" i="12"/>
  <c r="B49" i="12" s="1"/>
  <c r="B45" i="11"/>
  <c r="D45" i="11" s="1"/>
  <c r="B74" i="11"/>
  <c r="C21" i="6"/>
  <c r="B9" i="11"/>
  <c r="B357" i="4"/>
  <c r="B355" i="4" s="1"/>
  <c r="D470" i="3"/>
  <c r="B471" i="3" s="1"/>
  <c r="B1" i="3" s="1"/>
  <c r="E14" i="16"/>
  <c r="E31" i="16"/>
  <c r="E8" i="16"/>
  <c r="B29" i="11"/>
  <c r="D56" i="11"/>
  <c r="B492" i="4"/>
  <c r="C393" i="48" s="1"/>
  <c r="B194" i="4"/>
  <c r="C44" i="6"/>
  <c r="B463" i="4"/>
  <c r="B207" i="4"/>
  <c r="C6" i="46"/>
  <c r="B383" i="4"/>
  <c r="C443" i="48" s="1"/>
  <c r="B6" i="4"/>
  <c r="B5" i="4" s="1"/>
  <c r="B125" i="4"/>
  <c r="B124" i="4" s="1"/>
  <c r="B468" i="48" s="1"/>
  <c r="B204" i="47"/>
  <c r="B205" i="47" s="1"/>
  <c r="D205" i="47" s="1"/>
  <c r="B15" i="11"/>
  <c r="D19" i="14"/>
  <c r="B481" i="4" l="1"/>
  <c r="F25" i="48"/>
  <c r="F29" i="48" s="1"/>
  <c r="I71" i="65"/>
  <c r="K71" i="65" s="1"/>
  <c r="K34" i="65"/>
  <c r="G64" i="57"/>
  <c r="B19" i="48"/>
  <c r="D104" i="12"/>
  <c r="E104" i="12" s="1"/>
  <c r="B104" i="12" s="1"/>
  <c r="B84" i="18" s="1"/>
  <c r="B38" i="49" s="1"/>
  <c r="D153" i="12"/>
  <c r="C27" i="5"/>
  <c r="B201" i="3"/>
  <c r="B203" i="3" s="1"/>
  <c r="B204" i="3" s="1"/>
  <c r="H64" i="57"/>
  <c r="G29" i="11"/>
  <c r="H89" i="58"/>
  <c r="E16" i="61"/>
  <c r="G91" i="58"/>
  <c r="H91" i="58" s="1"/>
  <c r="C6" i="6"/>
  <c r="C47" i="46"/>
  <c r="B268" i="47" s="1"/>
  <c r="C17" i="6"/>
  <c r="B20" i="11" s="1"/>
  <c r="C50" i="46" s="1"/>
  <c r="B148" i="12"/>
  <c r="E122" i="12"/>
  <c r="E121" i="12" s="1"/>
  <c r="B121" i="12" s="1"/>
  <c r="B99" i="18" s="1"/>
  <c r="C121" i="12"/>
  <c r="D47" i="12"/>
  <c r="E47" i="12" s="1"/>
  <c r="B47" i="12" s="1"/>
  <c r="B35" i="18"/>
  <c r="B13" i="20" s="1"/>
  <c r="B294" i="48"/>
  <c r="G40" i="63"/>
  <c r="C294" i="48"/>
  <c r="C88" i="12"/>
  <c r="E88" i="12" s="1"/>
  <c r="B88" i="12" s="1"/>
  <c r="B75" i="18" s="1"/>
  <c r="T3" i="33"/>
  <c r="U3" i="33" s="1"/>
  <c r="E143" i="12"/>
  <c r="B143" i="12" s="1"/>
  <c r="B120" i="18" s="1"/>
  <c r="B283" i="48"/>
  <c r="C32" i="6"/>
  <c r="K21" i="47"/>
  <c r="V10" i="33"/>
  <c r="B456" i="4"/>
  <c r="B67" i="11" s="1"/>
  <c r="B70" i="11" s="1"/>
  <c r="C382" i="48" s="1"/>
  <c r="C385" i="48" s="1"/>
  <c r="C11" i="33"/>
  <c r="S11" i="33" s="1"/>
  <c r="V11" i="33" s="1"/>
  <c r="C310" i="48"/>
  <c r="F18" i="61"/>
  <c r="H26" i="61"/>
  <c r="E40" i="34"/>
  <c r="F40" i="34" s="1"/>
  <c r="D27" i="60"/>
  <c r="D4" i="60" s="1"/>
  <c r="D42" i="60" s="1"/>
  <c r="F29" i="60"/>
  <c r="F27" i="60" s="1"/>
  <c r="F4" i="60" s="1"/>
  <c r="F42" i="60" s="1"/>
  <c r="H42" i="60" s="1"/>
  <c r="D479" i="48"/>
  <c r="D480" i="48" s="1"/>
  <c r="G29" i="58"/>
  <c r="G10" i="57"/>
  <c r="H12" i="57"/>
  <c r="H10" i="57" s="1"/>
  <c r="I10" i="57" s="1"/>
  <c r="H44" i="57"/>
  <c r="E42" i="50"/>
  <c r="F42" i="50" s="1"/>
  <c r="F43" i="50"/>
  <c r="C62" i="50"/>
  <c r="E62" i="50"/>
  <c r="F63" i="50"/>
  <c r="B513" i="4"/>
  <c r="B181" i="4"/>
  <c r="F25" i="34"/>
  <c r="G462" i="48"/>
  <c r="G6" i="58"/>
  <c r="H6" i="58" s="1"/>
  <c r="J6" i="58" s="1"/>
  <c r="H15" i="57"/>
  <c r="B46" i="4"/>
  <c r="B4" i="4" s="1"/>
  <c r="D175" i="12"/>
  <c r="D170" i="12" s="1"/>
  <c r="D142" i="12"/>
  <c r="E153" i="12"/>
  <c r="B153" i="12" s="1"/>
  <c r="E248" i="12"/>
  <c r="D245" i="12"/>
  <c r="E245" i="12" s="1"/>
  <c r="B245" i="12" s="1"/>
  <c r="I245" i="12" s="1"/>
  <c r="I246" i="12" s="1"/>
  <c r="B181" i="47"/>
  <c r="H174" i="3"/>
  <c r="B470" i="48"/>
  <c r="E8" i="12"/>
  <c r="B8" i="12" s="1"/>
  <c r="B9" i="18" s="1"/>
  <c r="D9" i="18" s="1"/>
  <c r="I191" i="12"/>
  <c r="C445" i="48"/>
  <c r="B206" i="47"/>
  <c r="B196" i="47"/>
  <c r="B14" i="20"/>
  <c r="B418" i="48"/>
  <c r="F418" i="48" s="1"/>
  <c r="B462" i="48"/>
  <c r="C54" i="46"/>
  <c r="B239" i="48"/>
  <c r="D74" i="11"/>
  <c r="B342" i="48"/>
  <c r="C77" i="46"/>
  <c r="B422" i="48"/>
  <c r="C392" i="48"/>
  <c r="D9" i="11"/>
  <c r="B375" i="48"/>
  <c r="B376" i="48" s="1"/>
  <c r="B377" i="48" s="1"/>
  <c r="C42" i="46"/>
  <c r="B190" i="48"/>
  <c r="D147" i="48"/>
  <c r="D150" i="48" s="1"/>
  <c r="B150" i="48"/>
  <c r="C374" i="48"/>
  <c r="C10" i="30"/>
  <c r="B167" i="48"/>
  <c r="B175" i="48" s="1"/>
  <c r="C29" i="17"/>
  <c r="C8" i="17" s="1"/>
  <c r="E50" i="16"/>
  <c r="F22" i="47"/>
  <c r="E24" i="47"/>
  <c r="F24" i="47" s="1"/>
  <c r="E47" i="47"/>
  <c r="K51" i="47"/>
  <c r="E51" i="47" s="1"/>
  <c r="F51" i="47" s="1"/>
  <c r="D109" i="12"/>
  <c r="E109" i="12" s="1"/>
  <c r="B109" i="12" s="1"/>
  <c r="B89" i="18" s="1"/>
  <c r="F18" i="34"/>
  <c r="B75" i="11"/>
  <c r="B7" i="11"/>
  <c r="E199" i="12"/>
  <c r="I196" i="12" s="1"/>
  <c r="C10" i="46"/>
  <c r="C39" i="6"/>
  <c r="E18" i="16"/>
  <c r="B230" i="4"/>
  <c r="B229" i="4" s="1"/>
  <c r="E27" i="34"/>
  <c r="F4" i="34"/>
  <c r="S5" i="33"/>
  <c r="T4" i="33"/>
  <c r="C42" i="30"/>
  <c r="D15" i="11"/>
  <c r="D26" i="11"/>
  <c r="B67" i="19"/>
  <c r="B274" i="12"/>
  <c r="B277" i="12" s="1"/>
  <c r="B356" i="4"/>
  <c r="D68" i="11"/>
  <c r="B65" i="11"/>
  <c r="B24" i="11"/>
  <c r="B53" i="11"/>
  <c r="B354" i="4"/>
  <c r="B24" i="20"/>
  <c r="E12" i="16"/>
  <c r="E16" i="16" s="1"/>
  <c r="C21" i="21"/>
  <c r="C33" i="6"/>
  <c r="C11" i="46"/>
  <c r="E21" i="16"/>
  <c r="C14" i="46"/>
  <c r="E26" i="16"/>
  <c r="D29" i="11"/>
  <c r="D58" i="11"/>
  <c r="D20" i="14"/>
  <c r="F16" i="7" s="1"/>
  <c r="E102" i="46" s="1"/>
  <c r="F102" i="46" s="1"/>
  <c r="G25" i="48" l="1"/>
  <c r="H26" i="48"/>
  <c r="F37" i="48"/>
  <c r="G37" i="48" s="1"/>
  <c r="G29" i="48"/>
  <c r="G44" i="58"/>
  <c r="E52" i="16"/>
  <c r="F50" i="16"/>
  <c r="C28" i="5"/>
  <c r="C30" i="5" s="1"/>
  <c r="C34" i="5"/>
  <c r="G70" i="47"/>
  <c r="G51" i="47"/>
  <c r="B34" i="18"/>
  <c r="B9" i="19" s="1"/>
  <c r="H52" i="58"/>
  <c r="J32" i="31"/>
  <c r="J33" i="31" s="1"/>
  <c r="B125" i="18"/>
  <c r="B66" i="49"/>
  <c r="B106" i="4"/>
  <c r="G33" i="28"/>
  <c r="G3" i="28" s="1"/>
  <c r="D20" i="11"/>
  <c r="C80" i="12" s="1"/>
  <c r="E80" i="12" s="1"/>
  <c r="B80" i="12" s="1"/>
  <c r="B67" i="18" s="1"/>
  <c r="B29" i="49" s="1"/>
  <c r="B30" i="49" s="1"/>
  <c r="B48" i="19"/>
  <c r="C143" i="46" s="1"/>
  <c r="B11" i="49"/>
  <c r="B13" i="49" s="1"/>
  <c r="T5" i="33"/>
  <c r="C9" i="6"/>
  <c r="C5" i="6" s="1"/>
  <c r="F129" i="48"/>
  <c r="C31" i="6"/>
  <c r="G31" i="11"/>
  <c r="G38" i="48"/>
  <c r="B62" i="49"/>
  <c r="B148" i="47"/>
  <c r="C144" i="12"/>
  <c r="C142" i="12" s="1"/>
  <c r="E142" i="12" s="1"/>
  <c r="B142" i="12" s="1"/>
  <c r="I148" i="12" s="1"/>
  <c r="C68" i="12"/>
  <c r="E68" i="12" s="1"/>
  <c r="B68" i="12" s="1"/>
  <c r="B55" i="18" s="1"/>
  <c r="B21" i="49" s="1"/>
  <c r="C127" i="12"/>
  <c r="E127" i="12" s="1"/>
  <c r="B127" i="12" s="1"/>
  <c r="B104" i="18" s="1"/>
  <c r="B101" i="18" s="1"/>
  <c r="F41" i="34"/>
  <c r="B471" i="48"/>
  <c r="D151" i="48"/>
  <c r="C40" i="6"/>
  <c r="E41" i="34"/>
  <c r="D259" i="12"/>
  <c r="D77" i="12"/>
  <c r="D63" i="12" s="1"/>
  <c r="D232" i="12"/>
  <c r="F259" i="12"/>
  <c r="H44" i="58"/>
  <c r="H29" i="58"/>
  <c r="G28" i="58"/>
  <c r="G63" i="50"/>
  <c r="E8" i="17"/>
  <c r="G8" i="17" s="1"/>
  <c r="C12" i="17"/>
  <c r="B182" i="47"/>
  <c r="H82" i="58"/>
  <c r="F62" i="50"/>
  <c r="G79" i="58"/>
  <c r="B382" i="4"/>
  <c r="D3" i="36"/>
  <c r="G64" i="50"/>
  <c r="G6" i="57"/>
  <c r="H6" i="57" s="1"/>
  <c r="H4" i="57" s="1"/>
  <c r="G43" i="50"/>
  <c r="B479" i="48"/>
  <c r="B480" i="48" s="1"/>
  <c r="B130" i="18"/>
  <c r="B61" i="20" s="1"/>
  <c r="B63" i="49"/>
  <c r="B183" i="47"/>
  <c r="B197" i="47"/>
  <c r="B207" i="47"/>
  <c r="B7" i="19"/>
  <c r="C9" i="21" s="1"/>
  <c r="C239" i="48"/>
  <c r="B343" i="48"/>
  <c r="C468" i="48"/>
  <c r="C469" i="48"/>
  <c r="B15" i="20"/>
  <c r="C44" i="30"/>
  <c r="D44" i="30" s="1"/>
  <c r="C391" i="48"/>
  <c r="C395" i="48" s="1"/>
  <c r="B421" i="48"/>
  <c r="B382" i="48"/>
  <c r="C66" i="46"/>
  <c r="C64" i="46" s="1"/>
  <c r="D7" i="11"/>
  <c r="C40" i="46"/>
  <c r="B75" i="48"/>
  <c r="C73" i="46"/>
  <c r="B416" i="48"/>
  <c r="F416" i="48" s="1"/>
  <c r="B460" i="48"/>
  <c r="C373" i="48"/>
  <c r="D75" i="11"/>
  <c r="C72" i="46"/>
  <c r="E98" i="46"/>
  <c r="F98" i="46" s="1"/>
  <c r="C26" i="46"/>
  <c r="F26" i="46" s="1"/>
  <c r="E29" i="17"/>
  <c r="C31" i="17"/>
  <c r="C35" i="17" s="1"/>
  <c r="K53" i="47"/>
  <c r="K54" i="47" s="1"/>
  <c r="E53" i="47"/>
  <c r="E61" i="47" s="1"/>
  <c r="F47" i="47"/>
  <c r="E21" i="47"/>
  <c r="K23" i="47"/>
  <c r="B39" i="20"/>
  <c r="F27" i="34"/>
  <c r="G27" i="34" s="1"/>
  <c r="G67" i="11"/>
  <c r="D34" i="18"/>
  <c r="B28" i="11"/>
  <c r="U4" i="33"/>
  <c r="C20" i="6"/>
  <c r="D24" i="11"/>
  <c r="C50" i="21"/>
  <c r="E50" i="21" s="1"/>
  <c r="D67" i="19"/>
  <c r="D65" i="11"/>
  <c r="C134" i="12"/>
  <c r="B71" i="11"/>
  <c r="C75" i="46" s="1"/>
  <c r="B25" i="11"/>
  <c r="H25" i="11" s="1"/>
  <c r="J25" i="11" s="1"/>
  <c r="B55" i="11"/>
  <c r="G71" i="11" s="1"/>
  <c r="D67" i="11"/>
  <c r="B5" i="11"/>
  <c r="D53" i="11"/>
  <c r="E23" i="16"/>
  <c r="B60" i="20"/>
  <c r="C42" i="6"/>
  <c r="C45" i="6"/>
  <c r="B72" i="11"/>
  <c r="E66" i="50" s="1"/>
  <c r="F66" i="50" s="1"/>
  <c r="G66" i="50" s="1"/>
  <c r="C18" i="6"/>
  <c r="G16" i="7"/>
  <c r="G4" i="57" l="1"/>
  <c r="B14" i="49"/>
  <c r="F479" i="48"/>
  <c r="F480" i="48" s="1"/>
  <c r="B417" i="48"/>
  <c r="F53" i="47"/>
  <c r="F61" i="47" s="1"/>
  <c r="G47" i="47"/>
  <c r="F16" i="61"/>
  <c r="E6" i="61"/>
  <c r="E8" i="61"/>
  <c r="E4" i="61" s="1"/>
  <c r="F4" i="61" s="1"/>
  <c r="H4" i="61" s="1"/>
  <c r="H1" i="61" s="1"/>
  <c r="G36" i="28"/>
  <c r="C39" i="21"/>
  <c r="H37" i="48"/>
  <c r="H68" i="11"/>
  <c r="B8" i="11"/>
  <c r="G5" i="11" s="1"/>
  <c r="C51" i="46"/>
  <c r="F417" i="48"/>
  <c r="G44" i="50"/>
  <c r="E144" i="12"/>
  <c r="B144" i="12" s="1"/>
  <c r="B64" i="49" s="1"/>
  <c r="B68" i="49" s="1"/>
  <c r="B69" i="49" s="1"/>
  <c r="B385" i="48"/>
  <c r="B386" i="48" s="1"/>
  <c r="G32" i="11"/>
  <c r="G33" i="11" s="1"/>
  <c r="C124" i="12"/>
  <c r="E124" i="12" s="1"/>
  <c r="B124" i="12" s="1"/>
  <c r="B48" i="49" s="1"/>
  <c r="C79" i="12"/>
  <c r="E79" i="12" s="1"/>
  <c r="B79" i="12" s="1"/>
  <c r="B23" i="20"/>
  <c r="C136" i="12"/>
  <c r="C133" i="12" s="1"/>
  <c r="E133" i="12" s="1"/>
  <c r="B133" i="12" s="1"/>
  <c r="C89" i="12"/>
  <c r="E89" i="12" s="1"/>
  <c r="B89" i="12" s="1"/>
  <c r="B31" i="20"/>
  <c r="B32" i="20" s="1"/>
  <c r="C72" i="12"/>
  <c r="E72" i="12" s="1"/>
  <c r="B72" i="12" s="1"/>
  <c r="B59" i="18" s="1"/>
  <c r="B20" i="20" s="1"/>
  <c r="C68" i="49"/>
  <c r="C69" i="49" s="1"/>
  <c r="B66" i="18"/>
  <c r="B31" i="49" s="1"/>
  <c r="H3" i="28"/>
  <c r="G42" i="50"/>
  <c r="E77" i="12"/>
  <c r="B77" i="12" s="1"/>
  <c r="B64" i="18" s="1"/>
  <c r="B20" i="49" s="1"/>
  <c r="C57" i="49"/>
  <c r="C58" i="49" s="1"/>
  <c r="D269" i="12"/>
  <c r="E269" i="12" s="1"/>
  <c r="B269" i="12" s="1"/>
  <c r="H28" i="58"/>
  <c r="G27" i="58"/>
  <c r="G4" i="58" s="1"/>
  <c r="G92" i="58"/>
  <c r="H79" i="58"/>
  <c r="H92" i="58" s="1"/>
  <c r="G65" i="50"/>
  <c r="C113" i="46"/>
  <c r="C27" i="46"/>
  <c r="B226" i="48" s="1"/>
  <c r="B225" i="48" s="1"/>
  <c r="B219" i="47"/>
  <c r="B220" i="47" s="1"/>
  <c r="C470" i="48"/>
  <c r="E140" i="12"/>
  <c r="B140" i="12" s="1"/>
  <c r="C5" i="46"/>
  <c r="B415" i="48"/>
  <c r="E415" i="48" s="1"/>
  <c r="C375" i="48"/>
  <c r="C376" i="48" s="1"/>
  <c r="C377" i="48" s="1"/>
  <c r="B461" i="48"/>
  <c r="B463" i="48" s="1"/>
  <c r="B464" i="48" s="1"/>
  <c r="B444" i="48"/>
  <c r="C386" i="48"/>
  <c r="D72" i="11"/>
  <c r="B355" i="48"/>
  <c r="B356" i="48" s="1"/>
  <c r="C78" i="46"/>
  <c r="D28" i="11"/>
  <c r="C53" i="46"/>
  <c r="B481" i="48"/>
  <c r="G70" i="11"/>
  <c r="B443" i="48"/>
  <c r="G443" i="48" s="1"/>
  <c r="D5" i="11"/>
  <c r="C38" i="46"/>
  <c r="B20" i="48"/>
  <c r="C396" i="48"/>
  <c r="B176" i="48"/>
  <c r="G29" i="17"/>
  <c r="G31" i="17" s="1"/>
  <c r="E31" i="17"/>
  <c r="K61" i="47"/>
  <c r="K62" i="47" s="1"/>
  <c r="C11" i="21"/>
  <c r="C115" i="46"/>
  <c r="E20" i="47"/>
  <c r="F21" i="47"/>
  <c r="D71" i="11"/>
  <c r="G73" i="11"/>
  <c r="B15" i="19"/>
  <c r="B3" i="4"/>
  <c r="B33" i="11"/>
  <c r="B79" i="11"/>
  <c r="D25" i="11"/>
  <c r="B48" i="20"/>
  <c r="E259" i="12"/>
  <c r="B259" i="12" s="1"/>
  <c r="B58" i="19" s="1"/>
  <c r="E232" i="12"/>
  <c r="B232" i="12" s="1"/>
  <c r="B41" i="19" s="1"/>
  <c r="C134" i="46" s="1"/>
  <c r="K33" i="31"/>
  <c r="L33" i="31"/>
  <c r="D15" i="20"/>
  <c r="E134" i="12"/>
  <c r="B134" i="12" s="1"/>
  <c r="D70" i="11"/>
  <c r="B63" i="11"/>
  <c r="D63" i="11" s="1"/>
  <c r="D55" i="11"/>
  <c r="E57" i="16"/>
  <c r="C38" i="6"/>
  <c r="C47" i="6" s="1"/>
  <c r="C16" i="6"/>
  <c r="D41" i="11"/>
  <c r="G53" i="47" l="1"/>
  <c r="C41" i="46"/>
  <c r="C37" i="46" s="1"/>
  <c r="D8" i="11"/>
  <c r="I190" i="12" s="1"/>
  <c r="F6" i="61"/>
  <c r="F8" i="61"/>
  <c r="G480" i="48"/>
  <c r="B18" i="11"/>
  <c r="D18" i="11" s="1"/>
  <c r="B121" i="18"/>
  <c r="B62" i="20" s="1"/>
  <c r="B65" i="20" s="1"/>
  <c r="E136" i="12"/>
  <c r="B136" i="12" s="1"/>
  <c r="B113" i="18" s="1"/>
  <c r="B54" i="20" s="1"/>
  <c r="C64" i="12"/>
  <c r="E64" i="12" s="1"/>
  <c r="B64" i="12" s="1"/>
  <c r="B51" i="18" s="1"/>
  <c r="B19" i="49" s="1"/>
  <c r="B11" i="19"/>
  <c r="C117" i="46" s="1"/>
  <c r="C90" i="12"/>
  <c r="E90" i="12" s="1"/>
  <c r="B90" i="12" s="1"/>
  <c r="B77" i="18" s="1"/>
  <c r="B36" i="49" s="1"/>
  <c r="C91" i="12"/>
  <c r="E91" i="12" s="1"/>
  <c r="B91" i="12" s="1"/>
  <c r="B78" i="18" s="1"/>
  <c r="B38" i="20" s="1"/>
  <c r="D66" i="18"/>
  <c r="C116" i="12"/>
  <c r="E116" i="12" s="1"/>
  <c r="B116" i="12" s="1"/>
  <c r="B94" i="18" s="1"/>
  <c r="B90" i="18" s="1"/>
  <c r="B22" i="20"/>
  <c r="B420" i="48"/>
  <c r="C146" i="46"/>
  <c r="C149" i="46" s="1"/>
  <c r="C49" i="49"/>
  <c r="C50" i="49" s="1"/>
  <c r="H27" i="58"/>
  <c r="H4" i="58" s="1"/>
  <c r="J2" i="58" s="1"/>
  <c r="G444" i="48"/>
  <c r="B445" i="48"/>
  <c r="B18" i="49"/>
  <c r="B76" i="18"/>
  <c r="B35" i="49" s="1"/>
  <c r="D101" i="18"/>
  <c r="C7" i="46"/>
  <c r="C12" i="46" s="1"/>
  <c r="B111" i="18"/>
  <c r="B53" i="20" s="1"/>
  <c r="B54" i="49"/>
  <c r="B221" i="47"/>
  <c r="B357" i="48"/>
  <c r="K24" i="47"/>
  <c r="C71" i="46"/>
  <c r="G75" i="11"/>
  <c r="I4" i="57" s="1"/>
  <c r="C49" i="46"/>
  <c r="E49" i="46" s="1"/>
  <c r="D504" i="48"/>
  <c r="D505" i="48" s="1"/>
  <c r="E25" i="47"/>
  <c r="F25" i="47" s="1"/>
  <c r="F20" i="47"/>
  <c r="E23" i="47"/>
  <c r="F23" i="47" s="1"/>
  <c r="F40" i="47" s="1"/>
  <c r="D33" i="11"/>
  <c r="B81" i="11"/>
  <c r="D81" i="11" s="1"/>
  <c r="C30" i="21"/>
  <c r="B62" i="19"/>
  <c r="D62" i="19" s="1"/>
  <c r="C42" i="21"/>
  <c r="C45" i="21" s="1"/>
  <c r="D96" i="12"/>
  <c r="D79" i="11"/>
  <c r="C23" i="6"/>
  <c r="B55" i="49" l="1"/>
  <c r="B419" i="48"/>
  <c r="E419" i="48" s="1"/>
  <c r="F420" i="48"/>
  <c r="B35" i="11"/>
  <c r="D35" i="11" s="1"/>
  <c r="G18" i="11"/>
  <c r="B119" i="18"/>
  <c r="D119" i="18" s="1"/>
  <c r="C112" i="12"/>
  <c r="E112" i="12" s="1"/>
  <c r="B112" i="12" s="1"/>
  <c r="B56" i="20"/>
  <c r="C63" i="12"/>
  <c r="E63" i="12" s="1"/>
  <c r="B63" i="12" s="1"/>
  <c r="B50" i="18"/>
  <c r="B10" i="19" s="1"/>
  <c r="B21" i="20"/>
  <c r="B26" i="20" s="1"/>
  <c r="C13" i="21"/>
  <c r="D32" i="20"/>
  <c r="B24" i="49"/>
  <c r="B25" i="49" s="1"/>
  <c r="C87" i="12"/>
  <c r="B37" i="49"/>
  <c r="B57" i="49"/>
  <c r="B58" i="49" s="1"/>
  <c r="B36" i="20"/>
  <c r="B13" i="19"/>
  <c r="C119" i="46" s="1"/>
  <c r="B47" i="20"/>
  <c r="B49" i="20" s="1"/>
  <c r="D49" i="20" s="1"/>
  <c r="B110" i="18"/>
  <c r="G23" i="47"/>
  <c r="G40" i="47"/>
  <c r="B446" i="48"/>
  <c r="G445" i="48"/>
  <c r="C80" i="46"/>
  <c r="C56" i="46"/>
  <c r="E45" i="21"/>
  <c r="E96" i="12"/>
  <c r="D95" i="12"/>
  <c r="B423" i="48" l="1"/>
  <c r="D65" i="20"/>
  <c r="B17" i="19"/>
  <c r="C6" i="21" s="1"/>
  <c r="B47" i="49"/>
  <c r="B49" i="49" s="1"/>
  <c r="B50" i="49" s="1"/>
  <c r="D90" i="18"/>
  <c r="D50" i="18"/>
  <c r="D87" i="12"/>
  <c r="E87" i="12" s="1"/>
  <c r="B16" i="19"/>
  <c r="C16" i="21" s="1"/>
  <c r="D110" i="18"/>
  <c r="C15" i="21"/>
  <c r="D56" i="20"/>
  <c r="C12" i="21"/>
  <c r="C116" i="46"/>
  <c r="D26" i="20"/>
  <c r="E95" i="12"/>
  <c r="B95" i="12" s="1"/>
  <c r="C110" i="46" l="1"/>
  <c r="C120" i="46"/>
  <c r="B82" i="18"/>
  <c r="B87" i="12"/>
  <c r="B74" i="18" l="1"/>
  <c r="B12" i="19" s="1"/>
  <c r="B41" i="49"/>
  <c r="B42" i="49" s="1"/>
  <c r="B37" i="20"/>
  <c r="B42" i="20" s="1"/>
  <c r="D42" i="20" l="1"/>
  <c r="B43" i="49"/>
  <c r="D74" i="18"/>
  <c r="C14" i="21"/>
  <c r="C118" i="46"/>
  <c r="E51" i="17"/>
  <c r="G20" i="7"/>
  <c r="C53" i="17" l="1"/>
  <c r="G51" i="17"/>
  <c r="F400" i="48" l="1"/>
  <c r="C403" i="48"/>
  <c r="F403" i="48" s="1"/>
  <c r="H175" i="3"/>
  <c r="E25" i="16" l="1"/>
  <c r="E29" i="16" s="1"/>
  <c r="E33" i="16" s="1"/>
  <c r="B163" i="47"/>
  <c r="B166" i="47" s="1"/>
  <c r="C5" i="12" l="1"/>
  <c r="E5" i="12" s="1"/>
  <c r="B5" i="12" s="1"/>
  <c r="B4" i="18" s="1"/>
  <c r="B168" i="47"/>
  <c r="D181" i="47" s="1"/>
  <c r="G403" i="48"/>
  <c r="C13" i="46"/>
  <c r="E39" i="16"/>
  <c r="D33" i="17" s="1"/>
  <c r="E54" i="16"/>
  <c r="B169" i="47" l="1"/>
  <c r="C15" i="46"/>
  <c r="C18" i="46" s="1"/>
  <c r="C29" i="46" s="1"/>
  <c r="B170" i="47"/>
  <c r="F39" i="16"/>
  <c r="D9" i="17"/>
  <c r="D12" i="17" s="1"/>
  <c r="B353" i="4"/>
  <c r="B352" i="4" s="1"/>
  <c r="B351" i="4" s="1"/>
  <c r="E97" i="46"/>
  <c r="C29" i="6"/>
  <c r="C25" i="6" s="1"/>
  <c r="C48" i="6" s="1"/>
  <c r="F15" i="7"/>
  <c r="B4" i="19"/>
  <c r="E9" i="17" l="1"/>
  <c r="B225" i="47"/>
  <c r="B226" i="47" s="1"/>
  <c r="B232" i="47" s="1"/>
  <c r="C30" i="46"/>
  <c r="G15" i="7"/>
  <c r="G17" i="7" s="1"/>
  <c r="G21" i="7" s="1"/>
  <c r="F17" i="7"/>
  <c r="F21" i="7" s="1"/>
  <c r="B46" i="11"/>
  <c r="B228" i="48"/>
  <c r="B229" i="48" s="1"/>
  <c r="B339" i="4"/>
  <c r="B338" i="4" s="1"/>
  <c r="D3" i="4" s="1"/>
  <c r="C5" i="21"/>
  <c r="C109" i="46"/>
  <c r="C50" i="6"/>
  <c r="C49" i="6"/>
  <c r="F97" i="46"/>
  <c r="E99" i="46"/>
  <c r="D35" i="17"/>
  <c r="D53" i="17" s="1"/>
  <c r="E33" i="17"/>
  <c r="J19" i="5"/>
  <c r="B234" i="47" l="1"/>
  <c r="E12" i="17"/>
  <c r="G12" i="17" s="1"/>
  <c r="G9" i="17"/>
  <c r="B235" i="47"/>
  <c r="B230" i="48"/>
  <c r="B47" i="11"/>
  <c r="C62" i="46"/>
  <c r="D46" i="11"/>
  <c r="C167" i="12" s="1"/>
  <c r="F99" i="46"/>
  <c r="E103" i="46"/>
  <c r="F103" i="46" s="1"/>
  <c r="G33" i="17"/>
  <c r="G35" i="17" s="1"/>
  <c r="E35" i="17"/>
  <c r="E53" i="17" s="1"/>
  <c r="C182" i="12" l="1"/>
  <c r="G53" i="17"/>
  <c r="H53" i="17" s="1"/>
  <c r="C58" i="46"/>
  <c r="C81" i="46" s="1"/>
  <c r="C82" i="46" s="1"/>
  <c r="B51" i="11"/>
  <c r="E13" i="17" s="1"/>
  <c r="D47" i="11"/>
  <c r="G103" i="46" l="1"/>
  <c r="B83" i="11"/>
  <c r="D51" i="11"/>
  <c r="H21" i="7"/>
  <c r="D83" i="11" l="1"/>
  <c r="B84" i="11"/>
  <c r="B2" i="11" s="1"/>
  <c r="B85" i="11"/>
  <c r="C83" i="46"/>
  <c r="H38" i="47" l="1"/>
  <c r="E269" i="48"/>
  <c r="C242" i="48"/>
  <c r="C251" i="48" s="1"/>
  <c r="F251" i="48" s="1"/>
  <c r="D251" i="48" l="1"/>
  <c r="E251" i="48" s="1"/>
  <c r="I23" i="50"/>
  <c r="I21" i="50"/>
  <c r="I25" i="50"/>
  <c r="I24" i="50"/>
  <c r="I22" i="50"/>
  <c r="I20" i="50"/>
  <c r="E171" i="12"/>
  <c r="E207" i="12"/>
  <c r="E170" i="12" l="1"/>
  <c r="D167" i="12"/>
  <c r="D182" i="12" s="1"/>
  <c r="E189" i="12"/>
  <c r="I195" i="12" s="1"/>
  <c r="I201" i="12" s="1"/>
  <c r="I202" i="12" s="1"/>
  <c r="J202" i="12" s="1"/>
  <c r="D242" i="12"/>
  <c r="E242" i="12" s="1"/>
  <c r="B242" i="12" s="1"/>
  <c r="B189" i="12" l="1"/>
  <c r="B24" i="19" s="1"/>
  <c r="B45" i="19" s="1"/>
  <c r="E182" i="12"/>
  <c r="E167" i="12"/>
  <c r="B167" i="12" s="1"/>
  <c r="C126" i="46" l="1"/>
  <c r="C139" i="46" s="1"/>
  <c r="C22" i="21"/>
  <c r="C35" i="21" s="1"/>
  <c r="E35" i="21" s="1"/>
  <c r="E5" i="40"/>
  <c r="B182" i="12"/>
  <c r="B271" i="12" s="1"/>
  <c r="B278" i="12" s="1"/>
  <c r="F167" i="12"/>
  <c r="B144" i="18"/>
  <c r="B141" i="18" s="1"/>
  <c r="C1" i="12"/>
  <c r="D45" i="19"/>
  <c r="J174" i="12" l="1"/>
  <c r="J173" i="12"/>
  <c r="B20" i="19"/>
  <c r="D141" i="18"/>
  <c r="B146" i="18"/>
  <c r="B147" i="18" s="1"/>
  <c r="B1" i="12"/>
  <c r="F1" i="12" s="1"/>
  <c r="F182" i="12"/>
  <c r="I182" i="12" s="1"/>
  <c r="E1" i="12" l="1"/>
  <c r="C17" i="21"/>
  <c r="C18" i="21" s="1"/>
  <c r="B21" i="19"/>
  <c r="C121" i="46"/>
  <c r="C122" i="46" s="1"/>
  <c r="C151" i="46" l="1"/>
  <c r="C154" i="46" s="1"/>
  <c r="E122" i="46"/>
  <c r="D21" i="19"/>
  <c r="B64" i="19"/>
  <c r="E18" i="21"/>
  <c r="C47" i="21"/>
  <c r="E47" i="21" l="1"/>
  <c r="D64" i="19"/>
  <c r="B70" i="19"/>
  <c r="C155" i="46"/>
  <c r="B191" i="48"/>
</calcChain>
</file>

<file path=xl/comments1.xml><?xml version="1.0" encoding="utf-8"?>
<comments xmlns="http://schemas.openxmlformats.org/spreadsheetml/2006/main">
  <authors>
    <author>Raplis Agnieszka</author>
  </authors>
  <commentList>
    <comment ref="H469" authorId="0" shapeId="0">
      <text>
        <r>
          <rPr>
            <b/>
            <sz val="9"/>
            <color indexed="81"/>
            <rFont val="Tahoma"/>
            <family val="2"/>
            <charset val="238"/>
          </rPr>
          <t>Raplis Agnieszka:</t>
        </r>
        <r>
          <rPr>
            <sz val="9"/>
            <color indexed="81"/>
            <rFont val="Tahoma"/>
            <family val="2"/>
            <charset val="238"/>
          </rPr>
          <t xml:space="preserve">
to jest w PLN minus odpis aktualiz. 
</t>
        </r>
      </text>
    </comment>
    <comment ref="H471" authorId="0" shapeId="0">
      <text>
        <r>
          <rPr>
            <b/>
            <sz val="9"/>
            <color indexed="81"/>
            <rFont val="Tahoma"/>
            <family val="2"/>
            <charset val="238"/>
          </rPr>
          <t>Raplis Agnieszka:</t>
        </r>
        <r>
          <rPr>
            <sz val="9"/>
            <color indexed="81"/>
            <rFont val="Tahoma"/>
            <family val="2"/>
            <charset val="238"/>
          </rPr>
          <t xml:space="preserve">
to jest w PLN</t>
        </r>
      </text>
    </comment>
    <comment ref="F497" authorId="0" shapeId="0">
      <text>
        <r>
          <rPr>
            <b/>
            <sz val="10"/>
            <color indexed="81"/>
            <rFont val="Tahoma"/>
            <family val="2"/>
            <charset val="238"/>
          </rPr>
          <t>Raplis Agnieszka:</t>
        </r>
        <r>
          <rPr>
            <sz val="10"/>
            <color indexed="81"/>
            <rFont val="Tahoma"/>
            <family val="2"/>
            <charset val="238"/>
          </rPr>
          <t xml:space="preserve">
odpis dot. wystawionych w grudniu not odsetkowych (2233,37) oraz Nieodliczonego podatku VAT od spornych zobowiązań wobec STS (3 976 748,53)
pokazane jest to w należnościach nieprzeterminowanych ponieważ zgodnie z art. 86 ust. 13 ustawy o VAT, korekty można dokonać w ciągu 5 lat licząc od początku roku w którym powstało prawo do odliczenia (w przypadku STS prawo do korekty mamy do końca 2024r.)</t>
        </r>
      </text>
    </comment>
  </commentList>
</comments>
</file>

<file path=xl/comments2.xml><?xml version="1.0" encoding="utf-8"?>
<comments xmlns="http://schemas.openxmlformats.org/spreadsheetml/2006/main">
  <authors>
    <author>Raplis Agnieszka</author>
  </authors>
  <commentList>
    <comment ref="F7" authorId="0" shapeId="0">
      <text>
        <r>
          <rPr>
            <b/>
            <sz val="9"/>
            <color indexed="81"/>
            <rFont val="Tahoma"/>
            <family val="2"/>
            <charset val="238"/>
          </rPr>
          <t>Raplis Agnieszka:</t>
        </r>
        <r>
          <rPr>
            <sz val="9"/>
            <color indexed="81"/>
            <rFont val="Tahoma"/>
            <family val="2"/>
            <charset val="238"/>
          </rPr>
          <t xml:space="preserve">
10 w formuje oznacza kolimnę 10 w arkuszu1 czyli "j"</t>
        </r>
      </text>
    </comment>
  </commentList>
</comments>
</file>

<file path=xl/comments3.xml><?xml version="1.0" encoding="utf-8"?>
<comments xmlns="http://schemas.openxmlformats.org/spreadsheetml/2006/main">
  <authors>
    <author>Mackowicz Renata</author>
  </authors>
  <commentList>
    <comment ref="D50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05.10.2020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12.11.2020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12.11.2020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20.11.2020</t>
        </r>
      </text>
    </comment>
    <comment ref="D54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26.02.2021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26.02.2021
</t>
        </r>
      </text>
    </comment>
    <comment ref="D56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13.07.2021</t>
        </r>
      </text>
    </comment>
    <comment ref="D57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23.07.2021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18.10.2021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10.12.2021</t>
        </r>
      </text>
    </comment>
    <comment ref="D60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10.12.2021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22.03.2021</t>
        </r>
      </text>
    </comment>
    <comment ref="D62" authorId="0" shapeId="0">
      <text>
        <r>
          <rPr>
            <b/>
            <sz val="9"/>
            <color indexed="81"/>
            <rFont val="Tahoma"/>
            <family val="2"/>
            <charset val="238"/>
          </rPr>
          <t>Mackowicz Renata:</t>
        </r>
        <r>
          <rPr>
            <sz val="9"/>
            <color indexed="81"/>
            <rFont val="Tahoma"/>
            <family val="2"/>
            <charset val="238"/>
          </rPr>
          <t xml:space="preserve">
16.04.2021</t>
        </r>
      </text>
    </comment>
  </commentList>
</comments>
</file>

<file path=xl/sharedStrings.xml><?xml version="1.0" encoding="utf-8"?>
<sst xmlns="http://schemas.openxmlformats.org/spreadsheetml/2006/main" count="8644" uniqueCount="4069">
  <si>
    <t>konta</t>
  </si>
  <si>
    <t>100004000</t>
  </si>
  <si>
    <t>LE: WP_KST 0</t>
  </si>
  <si>
    <t>100100000</t>
  </si>
  <si>
    <t>WP_ KST 1</t>
  </si>
  <si>
    <t>100104000</t>
  </si>
  <si>
    <t>LE: WP_KST 1</t>
  </si>
  <si>
    <t>100200000</t>
  </si>
  <si>
    <t>WP_ KST 2</t>
  </si>
  <si>
    <t>100300000</t>
  </si>
  <si>
    <t>WP_ KST 3</t>
  </si>
  <si>
    <t>100400000</t>
  </si>
  <si>
    <t>WP_ KST 4</t>
  </si>
  <si>
    <t>100500000</t>
  </si>
  <si>
    <t>WP_ KST 5</t>
  </si>
  <si>
    <t>100600000</t>
  </si>
  <si>
    <t>WP_ KST 6</t>
  </si>
  <si>
    <t>100700000</t>
  </si>
  <si>
    <t>WP_ KST 7</t>
  </si>
  <si>
    <t>100800000</t>
  </si>
  <si>
    <t>WP_ KST 8</t>
  </si>
  <si>
    <t>110004000</t>
  </si>
  <si>
    <t>LE: Um_KST 0</t>
  </si>
  <si>
    <t>110100000</t>
  </si>
  <si>
    <t>Um_ KST 1</t>
  </si>
  <si>
    <t>110104000</t>
  </si>
  <si>
    <t>LE: Um_KST 1</t>
  </si>
  <si>
    <t>110200000</t>
  </si>
  <si>
    <t>Um_ KST 2</t>
  </si>
  <si>
    <t>110300000</t>
  </si>
  <si>
    <t>Um_ KST 3</t>
  </si>
  <si>
    <t>110400000</t>
  </si>
  <si>
    <t>Um_ KST 4</t>
  </si>
  <si>
    <t>110500000</t>
  </si>
  <si>
    <t>Um_ KST 5</t>
  </si>
  <si>
    <t>110600000</t>
  </si>
  <si>
    <t>Um_ KST 6</t>
  </si>
  <si>
    <t>110700000</t>
  </si>
  <si>
    <t>Um_ KST 7</t>
  </si>
  <si>
    <t>110800000</t>
  </si>
  <si>
    <t>Um_ KST 8</t>
  </si>
  <si>
    <t>120100000</t>
  </si>
  <si>
    <t>OA_wycena KST 1</t>
  </si>
  <si>
    <t>120200000</t>
  </si>
  <si>
    <t>OA_wycena KST 2</t>
  </si>
  <si>
    <t>120800000</t>
  </si>
  <si>
    <t>201400000</t>
  </si>
  <si>
    <t>WP_Lic.prog.kom</t>
  </si>
  <si>
    <t>201600000</t>
  </si>
  <si>
    <t>WP_PWUG nabyte</t>
  </si>
  <si>
    <t>211400000</t>
  </si>
  <si>
    <t>Um_Lic.na prog.</t>
  </si>
  <si>
    <t>211600000</t>
  </si>
  <si>
    <t>Um_PWUG nabyte</t>
  </si>
  <si>
    <t>403900050</t>
  </si>
  <si>
    <t>AFS CN Poz.dł.A</t>
  </si>
  <si>
    <t>800100000</t>
  </si>
  <si>
    <t>WP_RAT w budowi</t>
  </si>
  <si>
    <t>800200000</t>
  </si>
  <si>
    <t>810100000</t>
  </si>
  <si>
    <t>WP_Nakł.RATcz.z</t>
  </si>
  <si>
    <t>840100000</t>
  </si>
  <si>
    <t>Nak.inw.-got ŚT</t>
  </si>
  <si>
    <t>840200000</t>
  </si>
  <si>
    <t>Nak.inw. Zuż.m.</t>
  </si>
  <si>
    <t>840600000</t>
  </si>
  <si>
    <t>890000000</t>
  </si>
  <si>
    <t>Rozl.nak.inw</t>
  </si>
  <si>
    <t>1000100000</t>
  </si>
  <si>
    <t>Kasa główna w P</t>
  </si>
  <si>
    <t>1010100010</t>
  </si>
  <si>
    <t>Kasa w walucie</t>
  </si>
  <si>
    <t>1300070001</t>
  </si>
  <si>
    <t>PKOBP -podst PL</t>
  </si>
  <si>
    <t>1300070002</t>
  </si>
  <si>
    <t>1300080001</t>
  </si>
  <si>
    <t>PEKAO -podst PL</t>
  </si>
  <si>
    <t>1300080002</t>
  </si>
  <si>
    <t>1300100001</t>
  </si>
  <si>
    <t>BRE -podst PLN</t>
  </si>
  <si>
    <t>1300120001</t>
  </si>
  <si>
    <t>BZWBK -podst PL</t>
  </si>
  <si>
    <t>1302070001</t>
  </si>
  <si>
    <t>PKOBP -płace PL</t>
  </si>
  <si>
    <t>1306070001</t>
  </si>
  <si>
    <t>PKOBP - rachune</t>
  </si>
  <si>
    <t>1309070001</t>
  </si>
  <si>
    <t>PKOBP -inny pom</t>
  </si>
  <si>
    <t>1309120001</t>
  </si>
  <si>
    <t>BZWBK -inny pom</t>
  </si>
  <si>
    <t>1320001001</t>
  </si>
  <si>
    <t>Lokaty overnigh</t>
  </si>
  <si>
    <t>1320003000</t>
  </si>
  <si>
    <t>Lok.kr.3-12 m-c</t>
  </si>
  <si>
    <t>1390001001</t>
  </si>
  <si>
    <t>Lokaty ZFSS O/N</t>
  </si>
  <si>
    <t>1390070001</t>
  </si>
  <si>
    <t>PKOBP -bieżący</t>
  </si>
  <si>
    <t>1390070002</t>
  </si>
  <si>
    <t>1390100001</t>
  </si>
  <si>
    <t>BRE - r. bież.</t>
  </si>
  <si>
    <t>1390120001</t>
  </si>
  <si>
    <t>BZWBK -bieżący</t>
  </si>
  <si>
    <t>1390120002</t>
  </si>
  <si>
    <t>1500000000</t>
  </si>
  <si>
    <t>Kraj.śr.pien.w</t>
  </si>
  <si>
    <t>1500600000</t>
  </si>
  <si>
    <t>Śr.pien.w dr. V</t>
  </si>
  <si>
    <t>1510000000</t>
  </si>
  <si>
    <t>Zagr.sr.pien.w</t>
  </si>
  <si>
    <t>1700100000</t>
  </si>
  <si>
    <t>TR lokaty</t>
  </si>
  <si>
    <t>1710000000</t>
  </si>
  <si>
    <t>Tech.do wpłat</t>
  </si>
  <si>
    <t>1730000000</t>
  </si>
  <si>
    <t>1740000000</t>
  </si>
  <si>
    <t>Tech.do wypłat-</t>
  </si>
  <si>
    <t>2000000000</t>
  </si>
  <si>
    <t>Nal OKP DiU</t>
  </si>
  <si>
    <t>2002200000</t>
  </si>
  <si>
    <t>Nal OKP NI, RAT</t>
  </si>
  <si>
    <t>2008000000</t>
  </si>
  <si>
    <t>Nal OKP kaucje</t>
  </si>
  <si>
    <t>2008010000</t>
  </si>
  <si>
    <t>Nal OKP zabezp</t>
  </si>
  <si>
    <t>2008990000</t>
  </si>
  <si>
    <t>Nal OKP pozosta</t>
  </si>
  <si>
    <t>2020000000</t>
  </si>
  <si>
    <t>2050000000</t>
  </si>
  <si>
    <t>Nal OKNP DiU</t>
  </si>
  <si>
    <t>2050000006</t>
  </si>
  <si>
    <t>2050000008</t>
  </si>
  <si>
    <t>2050990000</t>
  </si>
  <si>
    <t>2051000000</t>
  </si>
  <si>
    <t>Zal przek DKNP</t>
  </si>
  <si>
    <t>2052200000</t>
  </si>
  <si>
    <t>Nal OKNP NI, RA</t>
  </si>
  <si>
    <t>2052200006</t>
  </si>
  <si>
    <t>2052200008</t>
  </si>
  <si>
    <t>2058000000</t>
  </si>
  <si>
    <t>Nal OKNP kaucje</t>
  </si>
  <si>
    <t>2058990000</t>
  </si>
  <si>
    <t>Nal poz fin OKN</t>
  </si>
  <si>
    <t>2059990000</t>
  </si>
  <si>
    <t>Nal poz nfin OK</t>
  </si>
  <si>
    <t>2059990006</t>
  </si>
  <si>
    <t>2059990008</t>
  </si>
  <si>
    <t>2060000000</t>
  </si>
  <si>
    <t>Nal OZNP DiU</t>
  </si>
  <si>
    <t>2068990000</t>
  </si>
  <si>
    <t>2070000000</t>
  </si>
  <si>
    <t>OANal OKNP DiU</t>
  </si>
  <si>
    <t>2078030000</t>
  </si>
  <si>
    <t>OANal OKNP kar</t>
  </si>
  <si>
    <t>2078990000</t>
  </si>
  <si>
    <t>OANal po finOKN</t>
  </si>
  <si>
    <t>2088990000</t>
  </si>
  <si>
    <t>2100000000</t>
  </si>
  <si>
    <t>Zob DKP DiU</t>
  </si>
  <si>
    <t>2102200000</t>
  </si>
  <si>
    <t>Zob DKP NI, RAT</t>
  </si>
  <si>
    <t>2108000000</t>
  </si>
  <si>
    <t>Zob DKP kaucje</t>
  </si>
  <si>
    <t>2108010000</t>
  </si>
  <si>
    <t>Zob DKP zabezp</t>
  </si>
  <si>
    <t>2108050000</t>
  </si>
  <si>
    <t>Zob DKP leas fi</t>
  </si>
  <si>
    <t>2108050007</t>
  </si>
  <si>
    <t>2108050008</t>
  </si>
  <si>
    <t>2108100000</t>
  </si>
  <si>
    <t>Zob f. DKP_Cash</t>
  </si>
  <si>
    <t>2108100006</t>
  </si>
  <si>
    <t>2108100008</t>
  </si>
  <si>
    <t>2108140000</t>
  </si>
  <si>
    <t>Zob.leas MSSF16</t>
  </si>
  <si>
    <t>2108160000</t>
  </si>
  <si>
    <t>Zob krótk wobec</t>
  </si>
  <si>
    <t>2108160007</t>
  </si>
  <si>
    <t>Z.dł.poz fin wo</t>
  </si>
  <si>
    <t>2108160008</t>
  </si>
  <si>
    <t>KT_Z.dł.poz fin</t>
  </si>
  <si>
    <t>2108161000</t>
  </si>
  <si>
    <t>Rozlicz.leasing</t>
  </si>
  <si>
    <t>2108990000</t>
  </si>
  <si>
    <t>Zob poz fin DKP</t>
  </si>
  <si>
    <t>2108990006</t>
  </si>
  <si>
    <t>2108990008</t>
  </si>
  <si>
    <t>2109990000</t>
  </si>
  <si>
    <t>Zob poz nfin DK</t>
  </si>
  <si>
    <t>2109990006</t>
  </si>
  <si>
    <t>2150000000</t>
  </si>
  <si>
    <t>Zob DKNP DiU</t>
  </si>
  <si>
    <t>2150000006</t>
  </si>
  <si>
    <t>KD Zob DKNP DiU</t>
  </si>
  <si>
    <t>2150000008</t>
  </si>
  <si>
    <t>2150090000</t>
  </si>
  <si>
    <t>Zob DKNP usł za</t>
  </si>
  <si>
    <t>2152200000</t>
  </si>
  <si>
    <t>Zob DKNP NI, RA</t>
  </si>
  <si>
    <t>2157980000</t>
  </si>
  <si>
    <t>Zob wob DKNP sz</t>
  </si>
  <si>
    <t>2158000000</t>
  </si>
  <si>
    <t>Zob DKNP kaucje</t>
  </si>
  <si>
    <t>2158010000</t>
  </si>
  <si>
    <t>Zob DKNP zabezp</t>
  </si>
  <si>
    <t>2158040000</t>
  </si>
  <si>
    <t>Zob DKNP leas f</t>
  </si>
  <si>
    <t>2158050000</t>
  </si>
  <si>
    <t>2158050007</t>
  </si>
  <si>
    <t>2158050008</t>
  </si>
  <si>
    <t>2158140000</t>
  </si>
  <si>
    <t>2158160000</t>
  </si>
  <si>
    <t>Zob DKNP leasin</t>
  </si>
  <si>
    <t>2158160007</t>
  </si>
  <si>
    <t>Z.dł.poz fin.wo</t>
  </si>
  <si>
    <t>2158160008</t>
  </si>
  <si>
    <t>KT_Zob dł.pozDK</t>
  </si>
  <si>
    <t>2158161000</t>
  </si>
  <si>
    <t>2158990000</t>
  </si>
  <si>
    <t>Zob poz fin DKN</t>
  </si>
  <si>
    <t>2158990006</t>
  </si>
  <si>
    <t>2158990008</t>
  </si>
  <si>
    <t>2159310000</t>
  </si>
  <si>
    <t>Zob potr.z wyna</t>
  </si>
  <si>
    <t>2159980000</t>
  </si>
  <si>
    <t>Zob DKNP wpł do</t>
  </si>
  <si>
    <t>2159990000</t>
  </si>
  <si>
    <t>2160000000</t>
  </si>
  <si>
    <t>Zob DZNP DiU</t>
  </si>
  <si>
    <t>2160000006</t>
  </si>
  <si>
    <t>2160000008</t>
  </si>
  <si>
    <t>2201030000</t>
  </si>
  <si>
    <t>Rozr US PIT</t>
  </si>
  <si>
    <t>2201040000</t>
  </si>
  <si>
    <t>Rozr US VAT</t>
  </si>
  <si>
    <t>2201040008</t>
  </si>
  <si>
    <t>2202010000</t>
  </si>
  <si>
    <t>Rozr ZUS</t>
  </si>
  <si>
    <t>2204010000</t>
  </si>
  <si>
    <t>Rozr.pod i opł.</t>
  </si>
  <si>
    <t>2204050000</t>
  </si>
  <si>
    <t>Rozr PWUG</t>
  </si>
  <si>
    <t>2204070000</t>
  </si>
  <si>
    <t>Rozr PFRON</t>
  </si>
  <si>
    <t>2211000000</t>
  </si>
  <si>
    <t>VAT należny</t>
  </si>
  <si>
    <t>2211020000</t>
  </si>
  <si>
    <t>VAT należny UE</t>
  </si>
  <si>
    <t>2211100000</t>
  </si>
  <si>
    <t>VAT naliczony</t>
  </si>
  <si>
    <t>2211110000</t>
  </si>
  <si>
    <t>VAT naliczony U</t>
  </si>
  <si>
    <t>2211990000</t>
  </si>
  <si>
    <t>VAT rozl na zob</t>
  </si>
  <si>
    <t>2391000000</t>
  </si>
  <si>
    <t>Rozr prac zalic</t>
  </si>
  <si>
    <t>2393000000</t>
  </si>
  <si>
    <t>Rozr prac f pł</t>
  </si>
  <si>
    <t>2393010000</t>
  </si>
  <si>
    <t>2393040000</t>
  </si>
  <si>
    <t>Rozr prac niep</t>
  </si>
  <si>
    <t>2393990000</t>
  </si>
  <si>
    <t>Rozlpotrodzeń</t>
  </si>
  <si>
    <t>2394000000</t>
  </si>
  <si>
    <t>Rozr ZFŚS DiU</t>
  </si>
  <si>
    <t>2394050000</t>
  </si>
  <si>
    <t>Rozr ZFŚS poż.</t>
  </si>
  <si>
    <t>2394970000</t>
  </si>
  <si>
    <t>Rozr ZFŚSpoz.Pr</t>
  </si>
  <si>
    <t>2394980000</t>
  </si>
  <si>
    <t>Rozr ZFŚS poz p</t>
  </si>
  <si>
    <t>2394990000</t>
  </si>
  <si>
    <t>Rozr ZFŚS poz e</t>
  </si>
  <si>
    <t>2397000000</t>
  </si>
  <si>
    <t>Szac zob premia</t>
  </si>
  <si>
    <t>2397010000</t>
  </si>
  <si>
    <t>Szac zob Barbór</t>
  </si>
  <si>
    <t>2397030000</t>
  </si>
  <si>
    <t>2397040000</t>
  </si>
  <si>
    <t>Szac zob niewyk</t>
  </si>
  <si>
    <t>2399000000</t>
  </si>
  <si>
    <t>Rozr podróże sł</t>
  </si>
  <si>
    <t>2399000006</t>
  </si>
  <si>
    <t>2399000008</t>
  </si>
  <si>
    <t>2399040000</t>
  </si>
  <si>
    <t>Rozr ekw za en</t>
  </si>
  <si>
    <t>2399990000</t>
  </si>
  <si>
    <t>Rozr pozost z p</t>
  </si>
  <si>
    <t>2399990006</t>
  </si>
  <si>
    <t>2399990008</t>
  </si>
  <si>
    <t>2450002000</t>
  </si>
  <si>
    <t>Nal win sąd OKN</t>
  </si>
  <si>
    <t>2450005000</t>
  </si>
  <si>
    <t>Nal upadł OKNP</t>
  </si>
  <si>
    <t>2470002000</t>
  </si>
  <si>
    <t>OA Nal win sąd</t>
  </si>
  <si>
    <t>2470995000</t>
  </si>
  <si>
    <t>OA upad OKNP Di</t>
  </si>
  <si>
    <t>2499900000</t>
  </si>
  <si>
    <t>Rozl inwent nad</t>
  </si>
  <si>
    <t>2499901000</t>
  </si>
  <si>
    <t>Rozl inwent nie</t>
  </si>
  <si>
    <t>2499999000</t>
  </si>
  <si>
    <t>Rozliczenia tec</t>
  </si>
  <si>
    <t>2700990000</t>
  </si>
  <si>
    <t>Zob.n.kr_przedp</t>
  </si>
  <si>
    <t>3000100000</t>
  </si>
  <si>
    <t>RZ-j.p_materiał</t>
  </si>
  <si>
    <t>3000100009</t>
  </si>
  <si>
    <t>3000300000</t>
  </si>
  <si>
    <t>RZ-j.p_usługi</t>
  </si>
  <si>
    <t>3000300009</t>
  </si>
  <si>
    <t>3000400000</t>
  </si>
  <si>
    <t>RZ-j.p_ST i WN</t>
  </si>
  <si>
    <t>3001600000</t>
  </si>
  <si>
    <t>RZ-j.p_obiektRE</t>
  </si>
  <si>
    <t>3001700000</t>
  </si>
  <si>
    <t>RZ-j.p_media</t>
  </si>
  <si>
    <t>3001800000</t>
  </si>
  <si>
    <t>RZ-j.p_inneRE</t>
  </si>
  <si>
    <t>3001900000</t>
  </si>
  <si>
    <t>RZ-jp_sprzedażR</t>
  </si>
  <si>
    <t>3002000000</t>
  </si>
  <si>
    <t>RZ-j.pow-leasin</t>
  </si>
  <si>
    <t>3009900000</t>
  </si>
  <si>
    <t>RZ-j.p_poza MM</t>
  </si>
  <si>
    <t>3050100000</t>
  </si>
  <si>
    <t>RZ-j.np_materia</t>
  </si>
  <si>
    <t>3050100009</t>
  </si>
  <si>
    <t>KT RZ-j.np_mate</t>
  </si>
  <si>
    <t>3050300000</t>
  </si>
  <si>
    <t>RZ-j.np_usługi</t>
  </si>
  <si>
    <t>3050300009</t>
  </si>
  <si>
    <t>KT RZ-j.np_usłu</t>
  </si>
  <si>
    <t>3050400000</t>
  </si>
  <si>
    <t>RZ-j.np_STiWN</t>
  </si>
  <si>
    <t>3051000000</t>
  </si>
  <si>
    <t>RZ-j.np_KM</t>
  </si>
  <si>
    <t>3051500000</t>
  </si>
  <si>
    <t>3051700000</t>
  </si>
  <si>
    <t>RZ-j.np_ media</t>
  </si>
  <si>
    <t>3051800000</t>
  </si>
  <si>
    <t>RZ-j.np_inneRE</t>
  </si>
  <si>
    <t>3051900000</t>
  </si>
  <si>
    <t>RZ-jnp_sprzedaż</t>
  </si>
  <si>
    <t>3059700000</t>
  </si>
  <si>
    <t>Rozl.VAT: WNT/I</t>
  </si>
  <si>
    <t>3059800000</t>
  </si>
  <si>
    <t>Samoopodatk. j.</t>
  </si>
  <si>
    <t>3059900000</t>
  </si>
  <si>
    <t>RZ-j.np_poza MM</t>
  </si>
  <si>
    <t>3100000000</t>
  </si>
  <si>
    <t>Materiały w mag</t>
  </si>
  <si>
    <t>3100400000</t>
  </si>
  <si>
    <t>Materiały nieza</t>
  </si>
  <si>
    <t>3109900000</t>
  </si>
  <si>
    <t>Materiały pozos</t>
  </si>
  <si>
    <t>3110000000</t>
  </si>
  <si>
    <t>OA Mater.w maga</t>
  </si>
  <si>
    <t>3400000000</t>
  </si>
  <si>
    <t>Róż.dostawy i z</t>
  </si>
  <si>
    <t>3409900000</t>
  </si>
  <si>
    <t>Róż.ewiden.inne</t>
  </si>
  <si>
    <t>3600300000</t>
  </si>
  <si>
    <t>3650100000</t>
  </si>
  <si>
    <t>D.dr.jnp-nal.fi</t>
  </si>
  <si>
    <t>3650300000</t>
  </si>
  <si>
    <t>3700100000</t>
  </si>
  <si>
    <t>3700300000</t>
  </si>
  <si>
    <t>3750100000</t>
  </si>
  <si>
    <t>3750300000</t>
  </si>
  <si>
    <t>DnZ j.npow._ us</t>
  </si>
  <si>
    <t>4011000009</t>
  </si>
  <si>
    <t>Amort ŚT</t>
  </si>
  <si>
    <t>4011004009</t>
  </si>
  <si>
    <t>LE: Amort ŚT</t>
  </si>
  <si>
    <t>4021200009</t>
  </si>
  <si>
    <t>Amort.WN NKUP</t>
  </si>
  <si>
    <t>4021210009</t>
  </si>
  <si>
    <t>Amort.WN-PWUG n</t>
  </si>
  <si>
    <t>4041000009</t>
  </si>
  <si>
    <t>OA wartość RAT</t>
  </si>
  <si>
    <t>4051100009</t>
  </si>
  <si>
    <t>W.NETTO LIKW MA</t>
  </si>
  <si>
    <t>4100100000</t>
  </si>
  <si>
    <t>Materiały budow</t>
  </si>
  <si>
    <t>4100200000</t>
  </si>
  <si>
    <t>Materiały metal</t>
  </si>
  <si>
    <t>4100300000</t>
  </si>
  <si>
    <t>Materiały elekt</t>
  </si>
  <si>
    <t>4100400000</t>
  </si>
  <si>
    <t>Cz.zam.do masz.</t>
  </si>
  <si>
    <t>4100400009</t>
  </si>
  <si>
    <t>4100500000</t>
  </si>
  <si>
    <t>Materiały chemi</t>
  </si>
  <si>
    <t>4100600000</t>
  </si>
  <si>
    <t>Materiały gumow</t>
  </si>
  <si>
    <t>4100800000</t>
  </si>
  <si>
    <t>Mat.i sprzęt BH</t>
  </si>
  <si>
    <t>4100900000</t>
  </si>
  <si>
    <t>Paliwa pozostał</t>
  </si>
  <si>
    <t>4100900009</t>
  </si>
  <si>
    <t>4101000000</t>
  </si>
  <si>
    <t>Gazy techniczne</t>
  </si>
  <si>
    <t>4101100000</t>
  </si>
  <si>
    <t>Poz.mat.rem-eks</t>
  </si>
  <si>
    <t>4101100005</t>
  </si>
  <si>
    <t>Zuż.mat.rem-eks</t>
  </si>
  <si>
    <t>4113200000</t>
  </si>
  <si>
    <t>Pozostałe sorbe</t>
  </si>
  <si>
    <t>4115000000</t>
  </si>
  <si>
    <t>Oleje i smary p</t>
  </si>
  <si>
    <t>4116110000</t>
  </si>
  <si>
    <t>Taśmy nowe</t>
  </si>
  <si>
    <t>4116200000</t>
  </si>
  <si>
    <t>Inne mater.prod</t>
  </si>
  <si>
    <t>4121000000</t>
  </si>
  <si>
    <t>Materiały biuro</t>
  </si>
  <si>
    <t>4122000000</t>
  </si>
  <si>
    <t>Mater.informacy</t>
  </si>
  <si>
    <t>4122000009</t>
  </si>
  <si>
    <t>4123000000</t>
  </si>
  <si>
    <t>Mater.informaty</t>
  </si>
  <si>
    <t>4124000000</t>
  </si>
  <si>
    <t>Artykuły spożyw</t>
  </si>
  <si>
    <t>4124000009</t>
  </si>
  <si>
    <t>4125000000</t>
  </si>
  <si>
    <t>Artykuły czysto</t>
  </si>
  <si>
    <t>4126000000</t>
  </si>
  <si>
    <t>Nisk.skł.maj-wy</t>
  </si>
  <si>
    <t>4128000000</t>
  </si>
  <si>
    <t>Zużycie mat. po</t>
  </si>
  <si>
    <t>4128000009</t>
  </si>
  <si>
    <t>Zużycie mat.poz</t>
  </si>
  <si>
    <t>4181000009</t>
  </si>
  <si>
    <t>OA materiały</t>
  </si>
  <si>
    <t>4201500000</t>
  </si>
  <si>
    <t>EEna potrz.admi</t>
  </si>
  <si>
    <t>4203200000</t>
  </si>
  <si>
    <t>Ciep.na cel.poz</t>
  </si>
  <si>
    <t>4204200000</t>
  </si>
  <si>
    <t>Woda na c.pozat</t>
  </si>
  <si>
    <t>4300100000</t>
  </si>
  <si>
    <t>Usługi remontow</t>
  </si>
  <si>
    <t>4300100005</t>
  </si>
  <si>
    <t>Usł remontow re</t>
  </si>
  <si>
    <t>4300200000</t>
  </si>
  <si>
    <t>Usługi eksploat</t>
  </si>
  <si>
    <t>4300210000</t>
  </si>
  <si>
    <t>Usł.pomiar.i le</t>
  </si>
  <si>
    <t>4300240000</t>
  </si>
  <si>
    <t>Poz.usł.eksploa</t>
  </si>
  <si>
    <t>4301110000</t>
  </si>
  <si>
    <t>Usł.sprzętu tec</t>
  </si>
  <si>
    <t>4301900000</t>
  </si>
  <si>
    <t>Poz.usługi tran</t>
  </si>
  <si>
    <t>4301900009</t>
  </si>
  <si>
    <t>4304010000</t>
  </si>
  <si>
    <t>Usł.telekom.tel</t>
  </si>
  <si>
    <t>4304050000</t>
  </si>
  <si>
    <t>Usł.telekom.poz</t>
  </si>
  <si>
    <t>4304060000</t>
  </si>
  <si>
    <t>Internet</t>
  </si>
  <si>
    <t>4304130000</t>
  </si>
  <si>
    <t>Usł.utrzym.opro</t>
  </si>
  <si>
    <t>4304140000</t>
  </si>
  <si>
    <t>Usł.świadcz.p.C</t>
  </si>
  <si>
    <t>4304140005</t>
  </si>
  <si>
    <t>Usł.świ.p.CUW I</t>
  </si>
  <si>
    <t>4304170000</t>
  </si>
  <si>
    <t>Niskocen.oprogr</t>
  </si>
  <si>
    <t>4305100000</t>
  </si>
  <si>
    <t>Usługi prawne</t>
  </si>
  <si>
    <t>4305300000</t>
  </si>
  <si>
    <t>Usługi konsulti</t>
  </si>
  <si>
    <t>4305400000</t>
  </si>
  <si>
    <t>Audyty</t>
  </si>
  <si>
    <t>4305410000</t>
  </si>
  <si>
    <t>Badania bilansu</t>
  </si>
  <si>
    <t>4305500000</t>
  </si>
  <si>
    <t>Ekspertyzy</t>
  </si>
  <si>
    <t>4306000000</t>
  </si>
  <si>
    <t>Dzierżawa/najem</t>
  </si>
  <si>
    <t>4306030000</t>
  </si>
  <si>
    <t>Usł.najm.,dzier</t>
  </si>
  <si>
    <t>4306040000</t>
  </si>
  <si>
    <t>Poz.usł.najm.i</t>
  </si>
  <si>
    <t>4306040009</t>
  </si>
  <si>
    <t>Poz.us.naj.i dz</t>
  </si>
  <si>
    <t>4306050000</t>
  </si>
  <si>
    <t>Dzierżawa urząd</t>
  </si>
  <si>
    <t>4306142000</t>
  </si>
  <si>
    <t>Leas_n.wart-zwM</t>
  </si>
  <si>
    <t>4306143000</t>
  </si>
  <si>
    <t>Leas_kr.ter-zwM</t>
  </si>
  <si>
    <t>4306143009</t>
  </si>
  <si>
    <t>4307300000</t>
  </si>
  <si>
    <t>Usł.zagospodar.</t>
  </si>
  <si>
    <t>4308200000</t>
  </si>
  <si>
    <t>Ochrona mienia</t>
  </si>
  <si>
    <t>4308300000</t>
  </si>
  <si>
    <t>Usł.utrzymania</t>
  </si>
  <si>
    <t>4308400000</t>
  </si>
  <si>
    <t>Usługi komunaln</t>
  </si>
  <si>
    <t>4308500000</t>
  </si>
  <si>
    <t>Usł.archiw.,nis</t>
  </si>
  <si>
    <t>4311400000</t>
  </si>
  <si>
    <t>Poz.usł.pocztow</t>
  </si>
  <si>
    <t>4311500000</t>
  </si>
  <si>
    <t>Usługi kuriersk</t>
  </si>
  <si>
    <t>4319010000</t>
  </si>
  <si>
    <t>Usługi informac</t>
  </si>
  <si>
    <t>4319040000</t>
  </si>
  <si>
    <t>Usł.bank.i inst</t>
  </si>
  <si>
    <t>4319100009</t>
  </si>
  <si>
    <t>Ogł.pr.nie zw.z</t>
  </si>
  <si>
    <t>4319120000</t>
  </si>
  <si>
    <t>Usł.sporz.dok.t</t>
  </si>
  <si>
    <t>4319800000</t>
  </si>
  <si>
    <t>Pozostałe usług</t>
  </si>
  <si>
    <t>4319800009</t>
  </si>
  <si>
    <t>Poz usł NKUP</t>
  </si>
  <si>
    <t>4319900005</t>
  </si>
  <si>
    <t>Usł.szacunki RE</t>
  </si>
  <si>
    <t>4411100000</t>
  </si>
  <si>
    <t>Płace zas.w.pod</t>
  </si>
  <si>
    <t>4411200000</t>
  </si>
  <si>
    <t>Płace zas.w.cho</t>
  </si>
  <si>
    <t>4411310000</t>
  </si>
  <si>
    <t>Płace dod.staż.</t>
  </si>
  <si>
    <t>4411320000</t>
  </si>
  <si>
    <t>Płace dod.war.u</t>
  </si>
  <si>
    <t>4411330000</t>
  </si>
  <si>
    <t>Średn.urlop.dod</t>
  </si>
  <si>
    <t>4411340000</t>
  </si>
  <si>
    <t>Płace inne st.e</t>
  </si>
  <si>
    <t>4412110000</t>
  </si>
  <si>
    <t>Premia roczna</t>
  </si>
  <si>
    <t>4412110005</t>
  </si>
  <si>
    <t>Premia roczna R</t>
  </si>
  <si>
    <t>4412120000</t>
  </si>
  <si>
    <t>Barbórka/Dzień</t>
  </si>
  <si>
    <t>4412120005</t>
  </si>
  <si>
    <t>Barb/Dz.En.-zm.</t>
  </si>
  <si>
    <t>4412210000</t>
  </si>
  <si>
    <t>Pr.mot.od wynik</t>
  </si>
  <si>
    <t>4412290000</t>
  </si>
  <si>
    <t>Poz.motyw.skl.w</t>
  </si>
  <si>
    <t>4413100000</t>
  </si>
  <si>
    <t>Dodatki zmianow</t>
  </si>
  <si>
    <t>4413200000</t>
  </si>
  <si>
    <t>Godziny nadlicz</t>
  </si>
  <si>
    <t>4413300000</t>
  </si>
  <si>
    <t>Nagrody jubileu</t>
  </si>
  <si>
    <t>4413400000</t>
  </si>
  <si>
    <t>Ekwiwalent za u</t>
  </si>
  <si>
    <t>4413500000</t>
  </si>
  <si>
    <t>Odpr.emeryt.i r</t>
  </si>
  <si>
    <t>4413900000</t>
  </si>
  <si>
    <t>Pozost.skł.wyna</t>
  </si>
  <si>
    <t>4414000000</t>
  </si>
  <si>
    <t>Wynagrodzenia R</t>
  </si>
  <si>
    <t>4415000000</t>
  </si>
  <si>
    <t>Um.zlec.i o dzi</t>
  </si>
  <si>
    <t>4416300005</t>
  </si>
  <si>
    <t>Nagr.jubileusz.</t>
  </si>
  <si>
    <t>4416500005</t>
  </si>
  <si>
    <t>Odpr.emer.-rent</t>
  </si>
  <si>
    <t>4417000005</t>
  </si>
  <si>
    <t>Rezerwa urlopow</t>
  </si>
  <si>
    <t>4418000005</t>
  </si>
  <si>
    <t>Wycena rezerw p</t>
  </si>
  <si>
    <t>4421030005</t>
  </si>
  <si>
    <t>Narzuty.rez.url</t>
  </si>
  <si>
    <t>4421040005</t>
  </si>
  <si>
    <t>Narzuty.rez.pr.</t>
  </si>
  <si>
    <t>4421050005</t>
  </si>
  <si>
    <t>Narzut.rez.pr.i</t>
  </si>
  <si>
    <t>4421110000</t>
  </si>
  <si>
    <t>Ub.emer.wypł.</t>
  </si>
  <si>
    <t>4421120000</t>
  </si>
  <si>
    <t>Ub.emer.FB</t>
  </si>
  <si>
    <t>4421210000</t>
  </si>
  <si>
    <t>Ubezp.rent.(wyp</t>
  </si>
  <si>
    <t>4421220000</t>
  </si>
  <si>
    <t>Ubezp.rent.FB</t>
  </si>
  <si>
    <t>4421310000</t>
  </si>
  <si>
    <t>Ub.wypadk.wypł.</t>
  </si>
  <si>
    <t>4421320000</t>
  </si>
  <si>
    <t>Ub.wypadk.FB</t>
  </si>
  <si>
    <t>4421510000</t>
  </si>
  <si>
    <t>Składki na FP</t>
  </si>
  <si>
    <t>4421520000</t>
  </si>
  <si>
    <t>Składki na FP -</t>
  </si>
  <si>
    <t>4421610000</t>
  </si>
  <si>
    <t>Skład.FGŚP</t>
  </si>
  <si>
    <t>4421620000</t>
  </si>
  <si>
    <t>Skład.FGŚP FB</t>
  </si>
  <si>
    <t>4422000000</t>
  </si>
  <si>
    <t>Odpis ZFŚS(wypł</t>
  </si>
  <si>
    <t>4423000000</t>
  </si>
  <si>
    <t>Emerytury pomos</t>
  </si>
  <si>
    <t>4424100000</t>
  </si>
  <si>
    <t>Szkolenia</t>
  </si>
  <si>
    <t>4424100009</t>
  </si>
  <si>
    <t>Szkolenia NKUP</t>
  </si>
  <si>
    <t>4426110000</t>
  </si>
  <si>
    <t>Opieka med.prac</t>
  </si>
  <si>
    <t>4426210000</t>
  </si>
  <si>
    <t>Taryfa en.wypł.</t>
  </si>
  <si>
    <t>4426300000</t>
  </si>
  <si>
    <t>Odprawy pośm.wy</t>
  </si>
  <si>
    <t>4426400000</t>
  </si>
  <si>
    <t>PPE (wypłacone)</t>
  </si>
  <si>
    <t>4426400005</t>
  </si>
  <si>
    <t>PPE (zm.rezerwy</t>
  </si>
  <si>
    <t>4427100000</t>
  </si>
  <si>
    <t>Świadczenia BHP</t>
  </si>
  <si>
    <t>4429000000</t>
  </si>
  <si>
    <t>Inne świadczeni</t>
  </si>
  <si>
    <t>4501000000</t>
  </si>
  <si>
    <t>Pod.od nierucho</t>
  </si>
  <si>
    <t>4501900000</t>
  </si>
  <si>
    <t>PN-pozostały</t>
  </si>
  <si>
    <t>4503000000</t>
  </si>
  <si>
    <t>Podatek od śr.t</t>
  </si>
  <si>
    <t>4505300000</t>
  </si>
  <si>
    <t>Vat nie pod.odl</t>
  </si>
  <si>
    <t>4505300009</t>
  </si>
  <si>
    <t>4508060000</t>
  </si>
  <si>
    <t>Emisja in.zanie</t>
  </si>
  <si>
    <t>4513000009</t>
  </si>
  <si>
    <t>Opłaty PFRON NK</t>
  </si>
  <si>
    <t>4518000000</t>
  </si>
  <si>
    <t>4590000000</t>
  </si>
  <si>
    <t>Poz.podatki i o</t>
  </si>
  <si>
    <t>4801100000</t>
  </si>
  <si>
    <t>Del.kraj.przeja</t>
  </si>
  <si>
    <t>4801100009</t>
  </si>
  <si>
    <t>Del.kraj.przej.</t>
  </si>
  <si>
    <t>4801200000</t>
  </si>
  <si>
    <t>Del.kraj.hotele</t>
  </si>
  <si>
    <t>4801200009</t>
  </si>
  <si>
    <t>Del.kraj.hotel</t>
  </si>
  <si>
    <t>4801300000</t>
  </si>
  <si>
    <t>Del.kraj.diety</t>
  </si>
  <si>
    <t>4801300009</t>
  </si>
  <si>
    <t>4801400000</t>
  </si>
  <si>
    <t>Del.kraj.poz.ko</t>
  </si>
  <si>
    <t>4801400009</t>
  </si>
  <si>
    <t>Del.kraj.poz.NK</t>
  </si>
  <si>
    <t>4803110000</t>
  </si>
  <si>
    <t>Ubezp.majątkowe</t>
  </si>
  <si>
    <t>4803130000</t>
  </si>
  <si>
    <t>Ubezp.śr.transp</t>
  </si>
  <si>
    <t>4803200000</t>
  </si>
  <si>
    <t>Ubezpieczenia O</t>
  </si>
  <si>
    <t>4803200009</t>
  </si>
  <si>
    <t>Ubezp OC NKUP</t>
  </si>
  <si>
    <t>4803300000</t>
  </si>
  <si>
    <t>Ubezp.pozostał.</t>
  </si>
  <si>
    <t>4804000000</t>
  </si>
  <si>
    <t>Koszty org.spot</t>
  </si>
  <si>
    <t>4804000009</t>
  </si>
  <si>
    <t>K.org.spotkań N</t>
  </si>
  <si>
    <t>4805000009</t>
  </si>
  <si>
    <t>Skł na org NKUP</t>
  </si>
  <si>
    <t>4806100009</t>
  </si>
  <si>
    <t>Koszty reprezen</t>
  </si>
  <si>
    <t>4806200000</t>
  </si>
  <si>
    <t>Koszty reklamy</t>
  </si>
  <si>
    <t>4811000000</t>
  </si>
  <si>
    <t>Wyn.umowy o zar</t>
  </si>
  <si>
    <t>4811000005</t>
  </si>
  <si>
    <t>Rez.umowy o zar</t>
  </si>
  <si>
    <t>4823000000</t>
  </si>
  <si>
    <t>Ryczałty samoch</t>
  </si>
  <si>
    <t>4890000005</t>
  </si>
  <si>
    <t>Poz.koszty rodz</t>
  </si>
  <si>
    <t>4900000000</t>
  </si>
  <si>
    <t>Rozliczenie kos</t>
  </si>
  <si>
    <t>4900100000</t>
  </si>
  <si>
    <t>Rozl.kosz.prod.</t>
  </si>
  <si>
    <t>4900200000</t>
  </si>
  <si>
    <t>4900500000</t>
  </si>
  <si>
    <t>6020300000</t>
  </si>
  <si>
    <t>PWT-Niezakoń.us</t>
  </si>
  <si>
    <t>6100000000</t>
  </si>
  <si>
    <t>AP_WFróż.pod.bi</t>
  </si>
  <si>
    <t>6100010000</t>
  </si>
  <si>
    <t>AP_WF.k.okr.nie</t>
  </si>
  <si>
    <t>6100020100</t>
  </si>
  <si>
    <t>AP_WFrez.odpr.e</t>
  </si>
  <si>
    <t>6100020600</t>
  </si>
  <si>
    <t>AP_WFrez.jubile</t>
  </si>
  <si>
    <t>6100050000</t>
  </si>
  <si>
    <t>AP_WFpremia pra</t>
  </si>
  <si>
    <t>6100060000</t>
  </si>
  <si>
    <t>AP_WFrez.na url</t>
  </si>
  <si>
    <t>6100080000</t>
  </si>
  <si>
    <t>6100090000</t>
  </si>
  <si>
    <t>AP_WFr.pod.bil.</t>
  </si>
  <si>
    <t>6100100000</t>
  </si>
  <si>
    <t>6100110000</t>
  </si>
  <si>
    <t>AP_WFwyn.swiad.</t>
  </si>
  <si>
    <t>6100170000</t>
  </si>
  <si>
    <t>AP_WF poz.rez.b</t>
  </si>
  <si>
    <t>6100190000</t>
  </si>
  <si>
    <t>6100230000</t>
  </si>
  <si>
    <t>6100300000</t>
  </si>
  <si>
    <t>Akt pod_leasing</t>
  </si>
  <si>
    <t>6101020000</t>
  </si>
  <si>
    <t>AP_ICD_Z/Sakt.s</t>
  </si>
  <si>
    <t>6101030000</t>
  </si>
  <si>
    <t>AP_ICD_Z/Sakt.i</t>
  </si>
  <si>
    <t>6410100000</t>
  </si>
  <si>
    <t>RMK krót.ubezp.</t>
  </si>
  <si>
    <t>6410200000</t>
  </si>
  <si>
    <t>RMK krót.Ubezp.</t>
  </si>
  <si>
    <t>6410300000</t>
  </si>
  <si>
    <t>RMK kr.ubez.kom</t>
  </si>
  <si>
    <t>6410400000</t>
  </si>
  <si>
    <t>6410500000</t>
  </si>
  <si>
    <t>RMKkrót.usł.inf</t>
  </si>
  <si>
    <t>6410700000</t>
  </si>
  <si>
    <t>RMK krót.usł.te</t>
  </si>
  <si>
    <t>6411200000</t>
  </si>
  <si>
    <t>RMKkrót.wydaw.p</t>
  </si>
  <si>
    <t>6411400000</t>
  </si>
  <si>
    <t>RMK krót.szkole</t>
  </si>
  <si>
    <t>6412100000</t>
  </si>
  <si>
    <t>RMKk.pod.środ.t</t>
  </si>
  <si>
    <t>6412500000</t>
  </si>
  <si>
    <t>RMK krót.rozli.</t>
  </si>
  <si>
    <t>6419900000</t>
  </si>
  <si>
    <t>RMK krót_Pozost</t>
  </si>
  <si>
    <t>6510990000</t>
  </si>
  <si>
    <t>Inne RM krót.po</t>
  </si>
  <si>
    <t>7135000000</t>
  </si>
  <si>
    <t>S.usł.najmu i d</t>
  </si>
  <si>
    <t>7139900000</t>
  </si>
  <si>
    <t>P.sprzed.poz.us</t>
  </si>
  <si>
    <t>7139900005</t>
  </si>
  <si>
    <t>7148500000</t>
  </si>
  <si>
    <t>P.sprz.mater.zb</t>
  </si>
  <si>
    <t>7148900000</t>
  </si>
  <si>
    <t>P.Sprz.pozos.ma</t>
  </si>
  <si>
    <t>7239090005</t>
  </si>
  <si>
    <t>KS usług - dosz</t>
  </si>
  <si>
    <t>7239900000</t>
  </si>
  <si>
    <t>KS pozostałych</t>
  </si>
  <si>
    <t>7246500000</t>
  </si>
  <si>
    <t>W.sprz.mat.zbęd</t>
  </si>
  <si>
    <t>7270000000</t>
  </si>
  <si>
    <t>Koszty ogól.zar</t>
  </si>
  <si>
    <t>7500000050</t>
  </si>
  <si>
    <t>PF Ods rach ban</t>
  </si>
  <si>
    <t>7500120000</t>
  </si>
  <si>
    <t>PF Ods nal DiU</t>
  </si>
  <si>
    <t>7500120009</t>
  </si>
  <si>
    <t>7500120050</t>
  </si>
  <si>
    <t>7500120059</t>
  </si>
  <si>
    <t>7500170000</t>
  </si>
  <si>
    <t>PF Ods na.C.Poo</t>
  </si>
  <si>
    <t>7500170009</t>
  </si>
  <si>
    <t>7500170109</t>
  </si>
  <si>
    <t>PF CP rozl korz</t>
  </si>
  <si>
    <t>7500199000</t>
  </si>
  <si>
    <t>PF Ods poz poż</t>
  </si>
  <si>
    <t>7500199050</t>
  </si>
  <si>
    <t>PF Ods budż zwr</t>
  </si>
  <si>
    <t>7550640000</t>
  </si>
  <si>
    <t>KF Ods zob leas</t>
  </si>
  <si>
    <t>7550640009</t>
  </si>
  <si>
    <t>7550640059</t>
  </si>
  <si>
    <t>7550656000</t>
  </si>
  <si>
    <t>KF Ods zo.C.Poo</t>
  </si>
  <si>
    <t>7550656009</t>
  </si>
  <si>
    <t>KF Ods z.C.Pool</t>
  </si>
  <si>
    <t>7550656100</t>
  </si>
  <si>
    <t>KF CP rozl kosz</t>
  </si>
  <si>
    <t>7550656109</t>
  </si>
  <si>
    <t>7550670000</t>
  </si>
  <si>
    <t>KF Ods zob hand</t>
  </si>
  <si>
    <t>7550670050</t>
  </si>
  <si>
    <t>7550670059</t>
  </si>
  <si>
    <t>7550699000</t>
  </si>
  <si>
    <t>KF Ods inn. zob</t>
  </si>
  <si>
    <t>7550699009</t>
  </si>
  <si>
    <t>7550699050</t>
  </si>
  <si>
    <t>7550699059</t>
  </si>
  <si>
    <t>7551090059</t>
  </si>
  <si>
    <t>KF Ods od zob b</t>
  </si>
  <si>
    <t>7580670050</t>
  </si>
  <si>
    <t>KF Uj RK zob. h</t>
  </si>
  <si>
    <t>7580670059</t>
  </si>
  <si>
    <t>7580699050</t>
  </si>
  <si>
    <t>KF Uj RK zob p.</t>
  </si>
  <si>
    <t>7590696000</t>
  </si>
  <si>
    <t>KF Prow otrz. g</t>
  </si>
  <si>
    <t>7591090159</t>
  </si>
  <si>
    <t>KF EZDrez ak_em</t>
  </si>
  <si>
    <t>7591090259</t>
  </si>
  <si>
    <t>KF EZDrez ak_ju</t>
  </si>
  <si>
    <t>7591099050</t>
  </si>
  <si>
    <t>KF PKF od poz n</t>
  </si>
  <si>
    <t>7600000000</t>
  </si>
  <si>
    <t>7630501009</t>
  </si>
  <si>
    <t>PPO_Roz.OI.nale</t>
  </si>
  <si>
    <t>7640804000</t>
  </si>
  <si>
    <t>PPO_Wynagr.płat</t>
  </si>
  <si>
    <t>7640899000</t>
  </si>
  <si>
    <t>PPO_ZUZ inne.po</t>
  </si>
  <si>
    <t>7640900000</t>
  </si>
  <si>
    <t>PPO_odszkod_maj</t>
  </si>
  <si>
    <t>7640919000</t>
  </si>
  <si>
    <t>PPO_Kary i grzy</t>
  </si>
  <si>
    <t>7640919009</t>
  </si>
  <si>
    <t>7641040000</t>
  </si>
  <si>
    <t>PPO_Zwr.kosz.są</t>
  </si>
  <si>
    <t>7641504009</t>
  </si>
  <si>
    <t>PPO_Leas wyks Z</t>
  </si>
  <si>
    <t>7649910000</t>
  </si>
  <si>
    <t>PPO_Zlikw/sprz.</t>
  </si>
  <si>
    <t>7649990000</t>
  </si>
  <si>
    <t>PPO_Zaokr/małe</t>
  </si>
  <si>
    <t>7649990009</t>
  </si>
  <si>
    <t>7649991000</t>
  </si>
  <si>
    <t>PPO_Refaktury</t>
  </si>
  <si>
    <t>7649999000</t>
  </si>
  <si>
    <t>PPO_Pozostałe P</t>
  </si>
  <si>
    <t>7649999009</t>
  </si>
  <si>
    <t>7650000009</t>
  </si>
  <si>
    <t>PKO_War.netto s</t>
  </si>
  <si>
    <t>7650010009</t>
  </si>
  <si>
    <t>PKO_War.net.zli</t>
  </si>
  <si>
    <t>7650024009</t>
  </si>
  <si>
    <t>Leas_wart netto</t>
  </si>
  <si>
    <t>7660501000</t>
  </si>
  <si>
    <t>PKO_Ut.OAind.na</t>
  </si>
  <si>
    <t>7660501009</t>
  </si>
  <si>
    <t>7660529009</t>
  </si>
  <si>
    <t>PKO_Ut. OA NPF</t>
  </si>
  <si>
    <t>7690910009</t>
  </si>
  <si>
    <t>PKO_Grzywny i k</t>
  </si>
  <si>
    <t>7691020000</t>
  </si>
  <si>
    <t>PKO_KZP(doch.N)</t>
  </si>
  <si>
    <t>7699990000</t>
  </si>
  <si>
    <t>PKO_Zaokrąg.mał</t>
  </si>
  <si>
    <t>7699990009</t>
  </si>
  <si>
    <t>7699999000</t>
  </si>
  <si>
    <t>PKO_Inne PKO</t>
  </si>
  <si>
    <t>7699999009</t>
  </si>
  <si>
    <t>8010000000</t>
  </si>
  <si>
    <t>Kapitał podstaw</t>
  </si>
  <si>
    <t>8029900000</t>
  </si>
  <si>
    <t>K.zap pozost</t>
  </si>
  <si>
    <t>8100000000</t>
  </si>
  <si>
    <t>Rozliczenie WF</t>
  </si>
  <si>
    <t>8100100000</t>
  </si>
  <si>
    <t>Z.zatrz_z WF l.</t>
  </si>
  <si>
    <t>8100400000</t>
  </si>
  <si>
    <t>Z.zatrz_kor bł</t>
  </si>
  <si>
    <t>8101000000</t>
  </si>
  <si>
    <t>Z.zatrz_ICD zm.</t>
  </si>
  <si>
    <t>8101100000</t>
  </si>
  <si>
    <t>Z.zatrz_ICD pod</t>
  </si>
  <si>
    <t>8101200000</t>
  </si>
  <si>
    <t>8200010000</t>
  </si>
  <si>
    <t>Rez pod_wart RA</t>
  </si>
  <si>
    <t>8200020000</t>
  </si>
  <si>
    <t>Rez pod_nal ods</t>
  </si>
  <si>
    <t>8200060000</t>
  </si>
  <si>
    <t>Rez pod_przych</t>
  </si>
  <si>
    <t>8200300000</t>
  </si>
  <si>
    <t>Rez pod_leasing</t>
  </si>
  <si>
    <t>8200990000</t>
  </si>
  <si>
    <t>Rez pod_pozost</t>
  </si>
  <si>
    <t>8211000000</t>
  </si>
  <si>
    <t>Rez. kr_św em-r</t>
  </si>
  <si>
    <t>8211050000</t>
  </si>
  <si>
    <t>Rez. kr_nagr ju</t>
  </si>
  <si>
    <t>8211080000</t>
  </si>
  <si>
    <t>Rez. kr_premia</t>
  </si>
  <si>
    <t>8214000000</t>
  </si>
  <si>
    <t>Rez.dł_św. em-r</t>
  </si>
  <si>
    <t>8214050000</t>
  </si>
  <si>
    <t>Rez.dł_nagr jub</t>
  </si>
  <si>
    <t>8221200000</t>
  </si>
  <si>
    <t>Rez. kr_str na</t>
  </si>
  <si>
    <t>8221990000</t>
  </si>
  <si>
    <t>8291990000</t>
  </si>
  <si>
    <t>Rez. kr_pozost</t>
  </si>
  <si>
    <t>8401140000</t>
  </si>
  <si>
    <t>PPO kr_Przedp u</t>
  </si>
  <si>
    <t>8401990000</t>
  </si>
  <si>
    <t>PPO kr_Poz rozl</t>
  </si>
  <si>
    <t>8500000000</t>
  </si>
  <si>
    <t>ZFŚS_wp_BO</t>
  </si>
  <si>
    <t>8500001000</t>
  </si>
  <si>
    <t>ZFŚS_wp_odp pod</t>
  </si>
  <si>
    <t>8500006000</t>
  </si>
  <si>
    <t>8500150000</t>
  </si>
  <si>
    <t>ZFSS_wppr_poż(+</t>
  </si>
  <si>
    <t>8501112000</t>
  </si>
  <si>
    <t>8501114000</t>
  </si>
  <si>
    <t>8501122000</t>
  </si>
  <si>
    <t>8501124000</t>
  </si>
  <si>
    <t>ZFŚŚ_wypr_wcz p</t>
  </si>
  <si>
    <t>8501162000</t>
  </si>
  <si>
    <t>ZFŚŚ_wypr_zapom</t>
  </si>
  <si>
    <t>8501222000</t>
  </si>
  <si>
    <t>8501262000</t>
  </si>
  <si>
    <t>8700000000</t>
  </si>
  <si>
    <t>8702010000</t>
  </si>
  <si>
    <t>8702020000</t>
  </si>
  <si>
    <t>8705000000</t>
  </si>
  <si>
    <t>9795260000</t>
  </si>
  <si>
    <t>Podatkowe zwięk</t>
  </si>
  <si>
    <t>9795270000</t>
  </si>
  <si>
    <t>Sprawozdanie z całkowitych dochodów</t>
  </si>
  <si>
    <t>RZW001100000 - Przychody ze sprzedaży towarów i produktów bez wyłączenia akcyzy</t>
  </si>
  <si>
    <t>RZW001200000 - Podatek akcyzowy</t>
  </si>
  <si>
    <t> </t>
  </si>
  <si>
    <t>RZW011000000 - Przychody ze sprzedaży towarów i produktów</t>
  </si>
  <si>
    <t>RZW012000000 - Przychody ze sprzedaży usług</t>
  </si>
  <si>
    <t>RZW013000000 - Przychody z wynajmu</t>
  </si>
  <si>
    <t>RZW014000000 - Przychody z tytułu rekompensat KDT</t>
  </si>
  <si>
    <t>RZW010000000 - Przychody ze sprzedaży</t>
  </si>
  <si>
    <t>RZW020000000 - Koszt własny sprzedaży</t>
  </si>
  <si>
    <t>RZW030000000 - Zysk /(strata) brutto ze sprzedaży</t>
  </si>
  <si>
    <t>RZW040000000 - Pozostałe przychody operacyjne</t>
  </si>
  <si>
    <t>RZW050000000 - Koszty sprzedaży</t>
  </si>
  <si>
    <t>RZW060000000 - Koszty ogólnego zarządu</t>
  </si>
  <si>
    <t>RZW070000000 - Pozostałe koszty operacyjne</t>
  </si>
  <si>
    <t>RZW080000000 - Zysk /(strata) z działalności operacyjnej</t>
  </si>
  <si>
    <t>RZW090000000 - Przychody finansowe</t>
  </si>
  <si>
    <t>RZW100000000 - Koszty finansowe</t>
  </si>
  <si>
    <t>RZW110000000 - Udział w zysku jednostki stowarzyszonej</t>
  </si>
  <si>
    <t>RZW120000000 - Zysk /(strata) brutto</t>
  </si>
  <si>
    <t>RZW130000000 - Podatek dochodowy</t>
  </si>
  <si>
    <t>RZW140000000 - Zysk /(strata) netto z działalności kontynuowanej</t>
  </si>
  <si>
    <t>Działalność zaniechana</t>
  </si>
  <si>
    <t>RZW150000000 - Zysk /(strata) za rok obrotowy z działalności zaniechanej</t>
  </si>
  <si>
    <t>RZW160000000 - Zysk /(strata) netto za okres sprawozdawczy</t>
  </si>
  <si>
    <t>INNE CAŁKOWITE DOCHODY</t>
  </si>
  <si>
    <t>RZW170000100 - Wycena instrumentów finansowych w korespondencji z innymi całkowitymi dochodami</t>
  </si>
  <si>
    <t>RZW170000200 - Wycena instrumentów zabezpieczających</t>
  </si>
  <si>
    <t>RZW170000300 - Zyski/ (straty) aktuarialne z wyłączeniem stopy dyskonta</t>
  </si>
  <si>
    <t>RZW170000400 - Zyski/ (straty) aktuarialne w wyniku zmiany stopy dyskonta</t>
  </si>
  <si>
    <t>RZW170000500 - Zysk/ (strata) z reklasyfikacji instrumentów finansowych</t>
  </si>
  <si>
    <t>RZW170000600 - Zmiana udziału inwestora w jednostce stowarzyszonej</t>
  </si>
  <si>
    <t>RZW170000700 - Wycena jednostki działającej za granicą</t>
  </si>
  <si>
    <t>RZW170000800 - Podatek odroczony od innych całkowitych dochodów</t>
  </si>
  <si>
    <t>RZW170000000 - Inne całkowite dochody netto</t>
  </si>
  <si>
    <t>RZW180000000 - ŁĄCZNE CAŁKOWITE DOCHODY ZA ROK OBROTOWY</t>
  </si>
  <si>
    <t>RZF000000003 - EBITDA</t>
  </si>
  <si>
    <t>Koszty wg rodzaju</t>
  </si>
  <si>
    <t>RNW021100000:Amortyzacja, likwidacja oraz odpisy aktualizujące</t>
  </si>
  <si>
    <t>RNW021200000:Zużycie materiałów i energii</t>
  </si>
  <si>
    <t>RNW021300000:Usługi obce</t>
  </si>
  <si>
    <t>RNW021400000:Podatki i opłaty</t>
  </si>
  <si>
    <t>RNW021500000:Koszty świadczeń pracowniczych</t>
  </si>
  <si>
    <t>RNW021700000:Pozostałe koszty rodzajowe</t>
  </si>
  <si>
    <t>RNW021000000:Koszty według rodzaju, razem</t>
  </si>
  <si>
    <t>RNW022000000:Zmiana stanu zapasów i produktów</t>
  </si>
  <si>
    <t>RNW022000100:w tym  amortyzacja oraz odpisy aktualizujące</t>
  </si>
  <si>
    <t>RNW023000000:Koszt wytworzenia świadczeń na własne potrzeby jednostki (wielkość ujemna)</t>
  </si>
  <si>
    <t>RNW023000100:w tym amortyzacja aktywowana oraz odpisy aktualizujące aktywowane</t>
  </si>
  <si>
    <t>RNW050000000:Koszty sprzedaży (wielkość ujemna)</t>
  </si>
  <si>
    <t>RNW060000000:Koszty ogólnego zarządu (wielkość ujemna)</t>
  </si>
  <si>
    <t>RNW024000000:Wartość sprzedanych towarów i materiałów</t>
  </si>
  <si>
    <t>RNW020000000:Koszt własny sprzedaży</t>
  </si>
  <si>
    <t>Przychody ogółem</t>
  </si>
  <si>
    <t>Koszty ogółem</t>
  </si>
  <si>
    <t xml:space="preserve">WF brutto </t>
  </si>
  <si>
    <t>WF netto</t>
  </si>
  <si>
    <t>EBIT</t>
  </si>
  <si>
    <t>EBITDA</t>
  </si>
  <si>
    <t>odsetki</t>
  </si>
  <si>
    <t>pozostałe</t>
  </si>
  <si>
    <t>strata ze zbycia inwestycji</t>
  </si>
  <si>
    <t>zysk ze zbycia niefinansowych aktywów trwałych</t>
  </si>
  <si>
    <t>bieżący podatek dochodowy</t>
  </si>
  <si>
    <t>podatek dochodowy z budynków</t>
  </si>
  <si>
    <t>podatek odroczony aktywo</t>
  </si>
  <si>
    <t>podatek odroczony rezerwa</t>
  </si>
  <si>
    <t>a) wynagrodzenia</t>
  </si>
  <si>
    <t>b) koszty ubezpieczeń społecznych</t>
  </si>
  <si>
    <t>c) koszty świadczeń emerytalnych</t>
  </si>
  <si>
    <t>d) nagrody jubileuszowe, deputaty</t>
  </si>
  <si>
    <t>e) inne świadczenia po okresie zatrudnienia</t>
  </si>
  <si>
    <t>f) zmiana wartości rez.i szacunków na świadcz.pracown.</t>
  </si>
  <si>
    <t>4424010000</t>
  </si>
  <si>
    <t>Taryfa en.wypłac.-emaryci i renciści</t>
  </si>
  <si>
    <t>h) poZostałe koszty świadczeń pracowniczych</t>
  </si>
  <si>
    <t>Konferencje</t>
  </si>
  <si>
    <t>4424200000</t>
  </si>
  <si>
    <t>Opieka med.prac nkup</t>
  </si>
  <si>
    <t>4426110009</t>
  </si>
  <si>
    <t>Inne świadczenia</t>
  </si>
  <si>
    <t>Inne świadczenia nkup</t>
  </si>
  <si>
    <t>4429000009</t>
  </si>
  <si>
    <t>Rozl.kosz.prod.w toku</t>
  </si>
  <si>
    <t>Rozl.kosz.prod.w toku (nie aktywowana)</t>
  </si>
  <si>
    <t>Koszty sprzedaży usług - doszacowanie</t>
  </si>
  <si>
    <t>Koszty sprzedaży pozostałych usług</t>
  </si>
  <si>
    <t xml:space="preserve">Koszty ogólnego zarządu </t>
  </si>
  <si>
    <t xml:space="preserve">Aktywa </t>
  </si>
  <si>
    <t>A. Aktywa trwałe</t>
  </si>
  <si>
    <t>I   Rzeczowe aktywa trwałe</t>
  </si>
  <si>
    <t>1. Środki trwałe</t>
  </si>
  <si>
    <t>b) budynki inżynierii lądowej i wodnej</t>
  </si>
  <si>
    <t>WP_ Budynki i lokale</t>
  </si>
  <si>
    <t>WP_ Obiekty inżynierii lądowej i wodnej</t>
  </si>
  <si>
    <t>Umorz_ budynków i lokali</t>
  </si>
  <si>
    <t>Umorz_ obiektów inżynierii lądowej i wodnej</t>
  </si>
  <si>
    <t>OA_wycena budynków i lokali</t>
  </si>
  <si>
    <t>OA_wycena obiektów inż. lądowej i wodnej</t>
  </si>
  <si>
    <t>c) urządzenia techniczne i maszyny</t>
  </si>
  <si>
    <t>WP_ Kotły i maszyny energetyczne</t>
  </si>
  <si>
    <t>WP_ Maszyny, urządzenia i aparaty ogólnego za</t>
  </si>
  <si>
    <t>WP_ Specjalistyczne maszyny, urządzenia i apa</t>
  </si>
  <si>
    <t>WP_ Urządzenia techniczne</t>
  </si>
  <si>
    <t>Umorz_ kotłów i maszyn energetycznych</t>
  </si>
  <si>
    <t>Umorz_ maszyn, urządzeń i aparatów ogólnego z</t>
  </si>
  <si>
    <t>Umorz_ specjalist.maszyn, urządzeń i aparatów</t>
  </si>
  <si>
    <t>Umorz_ urządzeń technicznych</t>
  </si>
  <si>
    <t>OA_wycena urządzeń technicznych</t>
  </si>
  <si>
    <t>d) środki transportu</t>
  </si>
  <si>
    <t>WP_ Środki transportu</t>
  </si>
  <si>
    <t>Umorz_ środków transportu</t>
  </si>
  <si>
    <t>e) inne rzeczowe aktywa trwałe</t>
  </si>
  <si>
    <t>WP_ Narzędzia, przyrządy, ruchomości i wyposa</t>
  </si>
  <si>
    <t>Umorz_ narzędzi,przyrządów,ruchomości,wyposaż</t>
  </si>
  <si>
    <t>OA_wycena narzędzi,przyrządów,ruchomości,wypo</t>
  </si>
  <si>
    <t>2. Rzeczowe aktywa trwałe w budowie</t>
  </si>
  <si>
    <t>WP_RAT w budowie</t>
  </si>
  <si>
    <t>WP_Materiały i części zamienne do RAT w budow</t>
  </si>
  <si>
    <t>Nakłady inwestycyjne-zakup gotowych ŚT i WN</t>
  </si>
  <si>
    <t>Nakłady inwestycyjne zużycie mat.magazynowych</t>
  </si>
  <si>
    <t>Nakłady inwestycyjne koszty usług</t>
  </si>
  <si>
    <t>Rozl.nakładów inwest. na RAT, WN i NI w budow</t>
  </si>
  <si>
    <t>Konto do rozliczeń nakładów FIAA (bilans)</t>
  </si>
  <si>
    <t>Konto do rozliczeń nakładów FIAA (bilans+poda</t>
  </si>
  <si>
    <t>Rozliczenie zakupu j.npow.ST i WN(w tym przył</t>
  </si>
  <si>
    <t>Rozliczenie zakupu-j.pow._ ST_WN(w tym przyłą</t>
  </si>
  <si>
    <t>II Prawa do użytkowania składników aktywów</t>
  </si>
  <si>
    <t>1. Prawa do użytkowania - środki trwałe</t>
  </si>
  <si>
    <t>a) prawa do użytkowania - Grunty</t>
  </si>
  <si>
    <t>Leasing: WP_Grunty</t>
  </si>
  <si>
    <t>Leasing: Umorz.gruntów</t>
  </si>
  <si>
    <t>b) prawa do użytkowania - budynki i lokale</t>
  </si>
  <si>
    <t>Leasing: WP_Budynki i lokale</t>
  </si>
  <si>
    <t>Leasing: Umorz.budynków i lokali</t>
  </si>
  <si>
    <t>III Nieruchomości inwestycyjne</t>
  </si>
  <si>
    <t>IV Wartości niematerialne</t>
  </si>
  <si>
    <t>3. Licencje i patenty</t>
  </si>
  <si>
    <t>WP_Licencje na programy komputerowe</t>
  </si>
  <si>
    <t>Umorz_Licencje na programy komputerowe</t>
  </si>
  <si>
    <t>4. Prawo wieczystego użytkowania gruntów</t>
  </si>
  <si>
    <t>Umorz_PWUG nabyte</t>
  </si>
  <si>
    <t>6. WN nie oddane do użytkowania</t>
  </si>
  <si>
    <t>WP_WN nieoddane do użytkowania</t>
  </si>
  <si>
    <t>V Pożyczyki i należności finansowe długoterminowe</t>
  </si>
  <si>
    <t>a). Należn.kaucje, wadia, zabezpieczenia umów - jedn.powiąz.</t>
  </si>
  <si>
    <t>Nal poz fin od OKP kaucje wadia</t>
  </si>
  <si>
    <t>Nal poz fin od OKP zabezpieczenia umów</t>
  </si>
  <si>
    <t>b). Należn.kaucje, wadia, zabezpieczenia umów - jedn.pozost.</t>
  </si>
  <si>
    <t>Nal poz fin od OKNP kaucje wadia</t>
  </si>
  <si>
    <t>VII Udziały i akcje oraz poz.instr.kapitał.</t>
  </si>
  <si>
    <t>4. Inne</t>
  </si>
  <si>
    <t>AFS cena nab_ Pozostałe długoterm.aktywa fina</t>
  </si>
  <si>
    <t>IX Aktywa z tytułu podatku odroczonego</t>
  </si>
  <si>
    <t>1. Aktywa z tytułu odroczonego podatku (aktywo - rezerwa)</t>
  </si>
  <si>
    <t>Aktywa PDOP_WF-róż.m.podat.i bilans.wartość.Ś</t>
  </si>
  <si>
    <t>Aktywa PDOP_WF-koszty okresu niezrealiz.podat</t>
  </si>
  <si>
    <t>AktywaPDOP_WF-rez.aktuar.świad.prac.odpr..eme</t>
  </si>
  <si>
    <t>AktywaPDOP_WF-rez.aktuar.świadcz.pracow.ZFŚS</t>
  </si>
  <si>
    <t>AktywaPDOP_WF-rez.aktuar.świadcz.pracow.jubil</t>
  </si>
  <si>
    <t>AktywaPDOP_WF-prem.pracow.kadra zarz(w tym Ba</t>
  </si>
  <si>
    <t>Aktywa na PDOP_WF - rezerwa na urlopy</t>
  </si>
  <si>
    <t>Akt.PDOP_WF-róż.międz.podat. bilans.wart.akt.</t>
  </si>
  <si>
    <t>Akt.PDOP_WFróż.międz.podat.bilan.wart.zobow.f</t>
  </si>
  <si>
    <t>Akt.PDOP_WFróż.międz.podat.bilans.wartoś.zapa</t>
  </si>
  <si>
    <t>AktywaPDOP_WF-wynagrodz.świadcz.pracowników</t>
  </si>
  <si>
    <t>Aktywa na PDOP_WF - pozostałe rezerwy bilanso</t>
  </si>
  <si>
    <t>Aktywa na PDOP_WF - doszacowanie kosztów</t>
  </si>
  <si>
    <t>Aktywa na PDOP_WF - pozostałe RMP</t>
  </si>
  <si>
    <t>Aktywa PDOP_WF - leasing</t>
  </si>
  <si>
    <t>Aktywa na PDOP_ICD_z/s aktuarialne zm.stopy d</t>
  </si>
  <si>
    <t>AP_ICD_z/s_aktuarial pozostałe</t>
  </si>
  <si>
    <t>Rezerwa na PDOP_WF_różnica wart RAT/WN</t>
  </si>
  <si>
    <t>Rezerwa na PDOP_WF_nal. odsetki od lokat/poż/</t>
  </si>
  <si>
    <t>Rezerwa na PDOP_WF_przych. okresu niezrealiz.</t>
  </si>
  <si>
    <t>Rezerwa na PDOP_WF - leasing</t>
  </si>
  <si>
    <t>Rezerwa na PDOP_WF_pozostałe</t>
  </si>
  <si>
    <t>B. Aktywa obrotowe</t>
  </si>
  <si>
    <t>I Zapasy</t>
  </si>
  <si>
    <t>1. Materiały</t>
  </si>
  <si>
    <t>Rozliczenie zakupu-j.pow._ materiały</t>
  </si>
  <si>
    <t>KT Rozliczenie zakupu-j.pow._ materiały</t>
  </si>
  <si>
    <t>Materiały w magazynie</t>
  </si>
  <si>
    <t>Materiały niezabudowane</t>
  </si>
  <si>
    <t>Materiały pozostałe</t>
  </si>
  <si>
    <t>OA Materiały w magazynie</t>
  </si>
  <si>
    <t>D.w dr.nal.fin.materiały</t>
  </si>
  <si>
    <t>D.dr.jnp-nal.fin.mater</t>
  </si>
  <si>
    <t>3. Półprodukty i produkcja w toku</t>
  </si>
  <si>
    <t>Produkcja w  toku - Niezakończone usługi</t>
  </si>
  <si>
    <t>VI Należności z tytułu dostaw i usług</t>
  </si>
  <si>
    <t>1. Należności z tytułu DiU brutto</t>
  </si>
  <si>
    <t>a) Należności z tytułu DiU brutto - j.pow.</t>
  </si>
  <si>
    <t>Nal od OKP DiU</t>
  </si>
  <si>
    <t>KD Zob wobec DKP DiU</t>
  </si>
  <si>
    <t>Rozliczenie zakupu-j.pow._ obiekty RE</t>
  </si>
  <si>
    <t>Rozliczenie zakupu-j.pow._ media</t>
  </si>
  <si>
    <t>Rozliczenie zakupu-j.pow._ inne zakupy obiekt</t>
  </si>
  <si>
    <t>Rozliczenie zakupu-j.pow._ sprzedaz na obiekt</t>
  </si>
  <si>
    <t>Samoopodatkowanie j.pow</t>
  </si>
  <si>
    <t>Rozliczenie zakupu-j.pow._ pozostałe poza MM</t>
  </si>
  <si>
    <t>D.wdr.jp- usługi</t>
  </si>
  <si>
    <t>b) należności z tytułu DiU j.pozostałe</t>
  </si>
  <si>
    <t>Nal od OKNP DiU</t>
  </si>
  <si>
    <t>Nal od OKNP DiU pozostałe</t>
  </si>
  <si>
    <t>Nal od OZNP DiU</t>
  </si>
  <si>
    <t>KD Zob wobec DKNP DiU</t>
  </si>
  <si>
    <t>KD Zob wobec DZNP DiU</t>
  </si>
  <si>
    <t>Rozliczenie zakupu j.npow._ KM</t>
  </si>
  <si>
    <t>Rozliczenie zakupu-j.npow._ media</t>
  </si>
  <si>
    <t>Rozliczenie zakupu-j.npow inne zakupy na obie</t>
  </si>
  <si>
    <t>Rozliczenie zakupu-j.npow._ sprzedaz na obiek</t>
  </si>
  <si>
    <t>Samoopodatkowanie j.npow</t>
  </si>
  <si>
    <t>D.w dr.jnp-zapas.usł.</t>
  </si>
  <si>
    <t xml:space="preserve">2. OA Należności z tytułu DiU </t>
  </si>
  <si>
    <t>a) OA Należności z tytułu DiU - j.pow.</t>
  </si>
  <si>
    <t>OA Nal od OKP DiU</t>
  </si>
  <si>
    <t>b) OA Należności z tytułu DiU - j.pozostałe</t>
  </si>
  <si>
    <t>OA Nal od OKNP DiU</t>
  </si>
  <si>
    <t>VII Pożyczki i pozostałe należności finansowe</t>
  </si>
  <si>
    <t>2. Pożyczki udzielone</t>
  </si>
  <si>
    <t>a) pożyczki udzielone - j. powiąz.</t>
  </si>
  <si>
    <t>KD Zob poz fin wobec DKP_Cash Pool</t>
  </si>
  <si>
    <t>4. Lokaty i depozyty</t>
  </si>
  <si>
    <t>Lokaty krótkoterminowe-3-12 m-cy PLN</t>
  </si>
  <si>
    <t>6. Nal.z tytułu sprzedaży RAT, WN, NI</t>
  </si>
  <si>
    <t>a) Nal.z tytułu sprzedaży RAT, WN, NI - j. powiąz.</t>
  </si>
  <si>
    <t>Nal od OKP NI, RAT i WN</t>
  </si>
  <si>
    <t>a) Nal.z tytułu sprzedaży RAT, WN, NI - j. pozost.</t>
  </si>
  <si>
    <t>Nal od OKNP NI, RAT i WN</t>
  </si>
  <si>
    <t>7. Należn.kaucje, wadia, zabezpieczenia umów</t>
  </si>
  <si>
    <t>Nal poz fin od OKNP zabezpieczenia umów</t>
  </si>
  <si>
    <t>10. Odszkodowania i kary</t>
  </si>
  <si>
    <t>b). Należn.odszkodowania i kary - jedn.pozost.</t>
  </si>
  <si>
    <t>Nal poz fin od OKNP kary umowne</t>
  </si>
  <si>
    <t>OA Nal poz fin od OKNP kary umowne</t>
  </si>
  <si>
    <t>11. Pozost.nal.finans.nie wymienione powyżej</t>
  </si>
  <si>
    <t>a) Pozost.nal.finans.nie wymienione powyżej - j.powiąz.</t>
  </si>
  <si>
    <t>Nal poz fin od OKP pozostałe</t>
  </si>
  <si>
    <t>KD Zob poz fin wobec DKP pozostałe</t>
  </si>
  <si>
    <t>b) Pozost.nal.finans.nie wymienione powyżej - j.pozost.</t>
  </si>
  <si>
    <t>Nal poz fin od OKNP pozostałe</t>
  </si>
  <si>
    <t>Nal poz fin od OZNP pozostałe</t>
  </si>
  <si>
    <t>OA Nal poz fin od OKNP pozostałe</t>
  </si>
  <si>
    <t>OA Nal poz fin od OZNP pozostałe</t>
  </si>
  <si>
    <t>KD Zob poz fin wobec DKNP pozostałe</t>
  </si>
  <si>
    <t>KD Rozr z prac podróże służbowe</t>
  </si>
  <si>
    <t>Rozr z prac podróże służbowe</t>
  </si>
  <si>
    <t>Rozr z prac ekwiwalent za energię emeryci</t>
  </si>
  <si>
    <t>KD Rozr z prac pozostałe</t>
  </si>
  <si>
    <t>Nal wind sąd OKNP ogólne</t>
  </si>
  <si>
    <t>Nal ukł ug likw upadł OKNP ogólne</t>
  </si>
  <si>
    <t>OA Nal wind sąd OKNP ogólne</t>
  </si>
  <si>
    <t>OA Nal spor ukł ug likw upadł OKNP DiU pozost</t>
  </si>
  <si>
    <t>VIII Pozostałe aktywa krótkoterminowe</t>
  </si>
  <si>
    <t>1. Koszty rozliczane w czasie</t>
  </si>
  <si>
    <t>b) ubezpieczenia majątkowe i deliktowe</t>
  </si>
  <si>
    <t>RMK czynne krótkoterm._Ubezpieczenia majątkow</t>
  </si>
  <si>
    <t>RMK czynne krótk._Ubezpiecz.odpowiedzial.cywi</t>
  </si>
  <si>
    <t>RMK czynne krótkoterm._Ubezpieczenia komunika</t>
  </si>
  <si>
    <t>RMK czynne krótkoterm._Ubezpieczenia pozostał</t>
  </si>
  <si>
    <t>c) usługi informatyczne</t>
  </si>
  <si>
    <t>RMK czynne krótkoterm._Usługi informatyczne</t>
  </si>
  <si>
    <t>d) prenumerata</t>
  </si>
  <si>
    <t>RMK czynne krótkoterm._Wydawnictwa, prenumera</t>
  </si>
  <si>
    <t>e) składki członkowskie, szkolenia</t>
  </si>
  <si>
    <t>RMK czynne krótkoterm._Szkolenia</t>
  </si>
  <si>
    <t>f) opłata z tytułu PWUG</t>
  </si>
  <si>
    <t>RMK czynne krót._Opłaty za wiecz.użytkow.grun</t>
  </si>
  <si>
    <t>g) rozrachunki z tyt.ZFSS (węzeł)</t>
  </si>
  <si>
    <t>PKOBP - rachunek bieżący ZFŚS</t>
  </si>
  <si>
    <t>BRE - rachunek bieżący ZFŚS</t>
  </si>
  <si>
    <t>BZWBK - rachunek bieżący ZFŚS</t>
  </si>
  <si>
    <t>Rozr ZFŚS pożyczki pracownicy</t>
  </si>
  <si>
    <t>Rozr ZFŚS pożyczki zbiorczo</t>
  </si>
  <si>
    <t>Rozr ZFŚS poz. Pracownicy zbiorcze</t>
  </si>
  <si>
    <t>Rozr ZFŚS pozostałe pracownicy</t>
  </si>
  <si>
    <t>Rozr ZFŚS pozostałe emeryci i byli prcownicy</t>
  </si>
  <si>
    <t>Rozliczenie zakupu-j.npow._ ZFŚS</t>
  </si>
  <si>
    <t>RMK czynne krótkoterm._Rozliczenia z tytułu Z</t>
  </si>
  <si>
    <t>ZFŚS-wpływy-Stan funduszu na poczatek roku</t>
  </si>
  <si>
    <t>ZFŚS-wpływy-odpis podstawowy</t>
  </si>
  <si>
    <t>ZFŚS-wpływy-odsetki od środków pieniężnych</t>
  </si>
  <si>
    <t>ZFŚS-wpływy prac-dofinans.wypoczynku dorosłyc</t>
  </si>
  <si>
    <t>ZFŚS-wpływy prac-pożyczki (w tym odsetki)</t>
  </si>
  <si>
    <t>ZFŚŚ-wydatki prac.-obozy</t>
  </si>
  <si>
    <t>ZFŚŚ-wydatki prac.-zielone szkoły</t>
  </si>
  <si>
    <t>ZFŚŚ-wydatki prac.-sanatorium</t>
  </si>
  <si>
    <t>ZFŚŚ-wydatki prac.-wczasy pod gruszą</t>
  </si>
  <si>
    <t>ZFŚŚ-wydatki prac.-inne imprezy okolicznościo</t>
  </si>
  <si>
    <t>ZFŚŚ-wydatki prac.-zapomogi fin.losowe</t>
  </si>
  <si>
    <t>ZFŚŚ-wydatki prac.-pomoc rzecz.i finans.- poz</t>
  </si>
  <si>
    <t>ZFŚŚ-wydatki emer.-sanatorium</t>
  </si>
  <si>
    <t>ZFŚŚ-wydatki emer.-zapomogi fin.losowe</t>
  </si>
  <si>
    <t>ZFŚŚ-wydatki b.prac.-zapomogi losowe</t>
  </si>
  <si>
    <t>1) pozostałe koszty rozliczane w czasie</t>
  </si>
  <si>
    <t>RMK czynne krótkoterm._Usługi telekomunikacyj</t>
  </si>
  <si>
    <t>RMK czynne krótkoterm._Podatek od środ.transp</t>
  </si>
  <si>
    <t>RMK czynne krótkoterm._Pozostałe</t>
  </si>
  <si>
    <t>2. Inne aktywa krótkoterminowe</t>
  </si>
  <si>
    <t>b) podatek VAT (deklaracja</t>
  </si>
  <si>
    <t>Rozr US VAT (Zob wg deklaracji)</t>
  </si>
  <si>
    <t>e) zaliczki na dostawy</t>
  </si>
  <si>
    <t>Zaliczki przekazane DKNP DiU</t>
  </si>
  <si>
    <t>j) pozostałe aktywa krótkoterminowe</t>
  </si>
  <si>
    <t>Nal poz nfin od OKNP inne</t>
  </si>
  <si>
    <t>KD Zob poz nfin wobec DKP inne zobowiązania</t>
  </si>
  <si>
    <t>Zob poz nfin potrąc z wynagrodzeń (konto KG)</t>
  </si>
  <si>
    <t>Zob poz nfin wobec DKNP wpłaty do wyjaśnienia</t>
  </si>
  <si>
    <t>Rozr z pracownikami zaliczki</t>
  </si>
  <si>
    <t>Rozliczenie inwentaryzacji niedobory</t>
  </si>
  <si>
    <t>Rozliczenia techniczne-przeksięgowania</t>
  </si>
  <si>
    <t>Różnice w dostawach i zamówieniach</t>
  </si>
  <si>
    <t>Różnice ewidencyjne inne</t>
  </si>
  <si>
    <t>Inne RM krótkot._Pozostałe</t>
  </si>
  <si>
    <t>IX Środki pieniężne i ich ekwiwalenty</t>
  </si>
  <si>
    <t>1. Środki pieniężne w kasie i w banku</t>
  </si>
  <si>
    <t>Kasa główna w PLN</t>
  </si>
  <si>
    <t>Kasa w walucie EUR</t>
  </si>
  <si>
    <t>PKOBP - podstawowy PLN</t>
  </si>
  <si>
    <t>PEKAO - podstawowy PLN</t>
  </si>
  <si>
    <t>BRE - podstawowy PLN</t>
  </si>
  <si>
    <t>BZWBK - podstawowy PLN</t>
  </si>
  <si>
    <t>PKOBP - płace PLN</t>
  </si>
  <si>
    <t>PKOBP - rachunek VAT</t>
  </si>
  <si>
    <t>BZWBK - rachunek VAT</t>
  </si>
  <si>
    <t>PKOBP - inny pomocniczy PLN</t>
  </si>
  <si>
    <t>BZWBK - inny pomocniczy PLN</t>
  </si>
  <si>
    <t>Krajowe środki pieniężne w drodze</t>
  </si>
  <si>
    <t>Środki pieniężne w drodze VAT</t>
  </si>
  <si>
    <t>Zagraniczne środki pieniężne w drodze</t>
  </si>
  <si>
    <t>TR papiery wartościowe obce</t>
  </si>
  <si>
    <t>Konto techniczne do księgowań wpłat</t>
  </si>
  <si>
    <t>Konto techniczne do księgowań wpłat w kasie</t>
  </si>
  <si>
    <t>Konto techniczne do księgowań wypłat w kasie</t>
  </si>
  <si>
    <t>2. Lokaty typu overnight</t>
  </si>
  <si>
    <t>Lokaty overnight PLN</t>
  </si>
  <si>
    <t>Pasywa</t>
  </si>
  <si>
    <t>D. Kapitał własny</t>
  </si>
  <si>
    <t>I Kapitał podstawowy</t>
  </si>
  <si>
    <t>Kapitał podstawowy</t>
  </si>
  <si>
    <t>VI Kapitał zapasowy</t>
  </si>
  <si>
    <t>Kapitał zapasowy pozostały</t>
  </si>
  <si>
    <t>IX Zyski zatrzymane / Niepokryte straty</t>
  </si>
  <si>
    <t>Rozliczenie wyniku finansowego</t>
  </si>
  <si>
    <t>Zyski zatrzymane z wyników lat ubiegłych</t>
  </si>
  <si>
    <t>Zyski zatrzymane z korekt błędów podstawowych</t>
  </si>
  <si>
    <t>Zyski zatrz -ICD-zmiana założeń rez akt</t>
  </si>
  <si>
    <t>Zyski zatrz -ICD-zm zał. i dysk rez akt. Pod.</t>
  </si>
  <si>
    <t>Zyski zatrz -ICD-zmiana dysk.rez.akt.</t>
  </si>
  <si>
    <t>X Zysk netto</t>
  </si>
  <si>
    <t>Zysk zatrzymany</t>
  </si>
  <si>
    <t>E. Zobowiazania i rezerwy długoterminowe</t>
  </si>
  <si>
    <t>I Oprocentowane kredyty i pożyczki i leasing</t>
  </si>
  <si>
    <t>4. Zobowiązania z tytułu leasingu</t>
  </si>
  <si>
    <t>a) zobowiazania z tytułu leasingu finans.j.powiązane</t>
  </si>
  <si>
    <t>KD Zob poz fin wobec DKP leasing finansowy(ka</t>
  </si>
  <si>
    <t>Zob dług poz fin wobec DKP leasing _RE</t>
  </si>
  <si>
    <t>KT_Zob dług poz fin wobec DKP leasing _RE</t>
  </si>
  <si>
    <t>a) zobowiazania z tytułu leasingu finans.j.pozostałe</t>
  </si>
  <si>
    <t>KD Zob poz fin wobec DKNP leasing finansowy(k</t>
  </si>
  <si>
    <t>Zob dług poz fin wobec DKNP leasing_RE</t>
  </si>
  <si>
    <t>KT_Zob dług poz fin wobec DKNP leasing _RE</t>
  </si>
  <si>
    <t>IV Rezerwy</t>
  </si>
  <si>
    <t>1. Na świadczenia emerytalne i podobne</t>
  </si>
  <si>
    <t>Rezerwa dł._ świadczenia emerytalne i rentowe</t>
  </si>
  <si>
    <t>3. Na nagrody jubileuszowe</t>
  </si>
  <si>
    <t>Rezerwa dł._ nagrody jubileuszowe</t>
  </si>
  <si>
    <t>F. Zobowiązania i rezerwy krótkoterminowe</t>
  </si>
  <si>
    <t>VI Zobowiązania z tytułu dostaw i usług</t>
  </si>
  <si>
    <t>1. Zobowiązania z tytułu dostaw i usług - j.powiazane</t>
  </si>
  <si>
    <t>Zob wobec DKP DiU</t>
  </si>
  <si>
    <t>Rozliczenie zakupu-j.pow._ usługi</t>
  </si>
  <si>
    <t>KT Rozliczenie zakupu-j.pow._ usługi</t>
  </si>
  <si>
    <t>D.niefak.nal.fin.mat.</t>
  </si>
  <si>
    <t>DnZ.jpow-usługi</t>
  </si>
  <si>
    <t>2. Zobowiązania z tytułu dostaw i usług - j.pozostałe</t>
  </si>
  <si>
    <t>Zob wobec DKNP DiU</t>
  </si>
  <si>
    <t>Zob wobec DKNP DiU usłzarzadzania</t>
  </si>
  <si>
    <t>Zob wobec DKNP szacunki RE</t>
  </si>
  <si>
    <t>Zob wobec DZNP DiU</t>
  </si>
  <si>
    <t>Rozliczenie zakupu j.npow._ materiały</t>
  </si>
  <si>
    <t>KT Rozliczenie zakupu j.npow._ materiały</t>
  </si>
  <si>
    <t>Rozliczenie zakupu j.npow._ usługi</t>
  </si>
  <si>
    <t>KT Rozliczenie zakupu j.npow._ usługi</t>
  </si>
  <si>
    <t>D.nief.jnp-z.fin.mater</t>
  </si>
  <si>
    <t>DnZ j.npow._ usługi</t>
  </si>
  <si>
    <t>VIII Bieżąca cz.oproc.kred.i poż.i leasingu</t>
  </si>
  <si>
    <t>3. Zobowiazanie z tytułu kredytów i pożyczek</t>
  </si>
  <si>
    <t>a) Zobowiazanie z tytułu kredytów i pożyczek - j.powiązane</t>
  </si>
  <si>
    <t>Zob poz fin wobec DKP_Cash Pool</t>
  </si>
  <si>
    <t>a) Zobowiązania z tytułu leasingu - j.powiązane</t>
  </si>
  <si>
    <t>Zob poz fin wobec DKP leasing finansowy(kapit</t>
  </si>
  <si>
    <t>KT Zob poz fin wobec DKP leasing finansowy(ka</t>
  </si>
  <si>
    <t>Zob leasing MSSF16_ DKP (faktury)</t>
  </si>
  <si>
    <t>Zob krótk wobec DKP leasing _RE</t>
  </si>
  <si>
    <t>Rozliczenie leasingu - powiązani</t>
  </si>
  <si>
    <t>Rozliczenie zakupu-j.pow._ leasing fin.</t>
  </si>
  <si>
    <t>b) Zobowiązania z tytułu leasingu - j.pozostałe</t>
  </si>
  <si>
    <t>Zob poz fin wobec DKNP leasing finansowy(fakt</t>
  </si>
  <si>
    <t>Zob poz fin wobec DKNP leasing finansowy(kapi</t>
  </si>
  <si>
    <t>KT Zob poz fin wobec DKNP leasing finansowy(k</t>
  </si>
  <si>
    <t>Zob.leasing MSSF16_DKNP (faktury)</t>
  </si>
  <si>
    <t>Zob krótk wobec DKNP leasing _RE</t>
  </si>
  <si>
    <t>Rozliczenie leasingu - pozostali</t>
  </si>
  <si>
    <t>IX Pozostałe zobowiązania finansowe</t>
  </si>
  <si>
    <t>1. Zobowiazania z tytułu zakupu RAT, WN, NI</t>
  </si>
  <si>
    <t>a) Zobowiazania z tytułu zakupu RAT, WN, NI - j. powiązane</t>
  </si>
  <si>
    <t>Zob wobec DKP NI, RAT i WN</t>
  </si>
  <si>
    <t>b) Zobowiazania z tytułu zakupu RAT, WN, NI - j. pozostałe</t>
  </si>
  <si>
    <t>Zob wobec DKNP NI, RAT i WN</t>
  </si>
  <si>
    <t>3. Kaucje, wadia, zabezp.umów</t>
  </si>
  <si>
    <t>a) Kaucje, wadia, zabezp.umów - j.powiązane</t>
  </si>
  <si>
    <t>Zob poz fin wobec DKP zabezpieczenia umów</t>
  </si>
  <si>
    <t>b) Kaucje, wadia, zabezp.umów - j.pozostałe</t>
  </si>
  <si>
    <t>6. Pozostałe zobowiązania finansowe</t>
  </si>
  <si>
    <t>a) Pozost.zobow.finans.nie wymienione powyżej - j.powiązane</t>
  </si>
  <si>
    <t>Zob poz fin wobec DKP pozostałe</t>
  </si>
  <si>
    <t>b) Pozost.zobow.finans.nie wymienione powyżej - j.pozostałe</t>
  </si>
  <si>
    <t>Zob poz fin wobec DKNP pozostałe</t>
  </si>
  <si>
    <t>X Pozostałe zobowiązania niefinansowe</t>
  </si>
  <si>
    <t>1. Zobowiąz.publicznopr,wynagrodzenia, inne</t>
  </si>
  <si>
    <t>b) podatek VAT (deklaracja)</t>
  </si>
  <si>
    <t>c) podatek VAT (nadwyżka należny nad naliczony - węzeł)</t>
  </si>
  <si>
    <t>VAT naliczony UE</t>
  </si>
  <si>
    <t>VAT rozliczenie na zobowiązanie</t>
  </si>
  <si>
    <t>Rozliczenie VAT: WNT/IMP/OO</t>
  </si>
  <si>
    <t>e) zoboowiazania z tytułu ubezp.społecznych</t>
  </si>
  <si>
    <t>Rozr ZUS (ogólnie)</t>
  </si>
  <si>
    <t>f) zoboowiazania z tytułu PIT</t>
  </si>
  <si>
    <t>h) podatek od nieruchomości</t>
  </si>
  <si>
    <t>Rozr. z tyt.podatków i opłat lokalnych</t>
  </si>
  <si>
    <t>i) zobowiazania z tyt.wynagrodzeń</t>
  </si>
  <si>
    <t>Rozr z pracown wyn fundusz płac osobowy</t>
  </si>
  <si>
    <t>Rozr z pracown wyn fundusz płac bezosobowy</t>
  </si>
  <si>
    <t>Rozr z pracown wyn niepodjete płace</t>
  </si>
  <si>
    <t>Rozliczenie wynagrodzeń</t>
  </si>
  <si>
    <t>j) zob.-szac z tyt.świadczeń pracown.-nagrody, premie</t>
  </si>
  <si>
    <t>Rozr z pracown szacunki premia roczna</t>
  </si>
  <si>
    <t>Rozr szacunki_nagrody i dodatk.wypłaty dla Za</t>
  </si>
  <si>
    <t>k) zob.-inne szac.z tyt.świadczeń pracowniczych</t>
  </si>
  <si>
    <t>Rozr z pracown szacunki barbórka/dzień energe</t>
  </si>
  <si>
    <t>Rozr z pracown szacunki niewykorz.urlopy</t>
  </si>
  <si>
    <t>l) PFRON</t>
  </si>
  <si>
    <t>n) pozostałe</t>
  </si>
  <si>
    <t>2. Pozostałe zobowiązania niefinansowe</t>
  </si>
  <si>
    <t>b) zaliczki otrzymane na dostawy</t>
  </si>
  <si>
    <t>Zob.nief.kr_otrzym.przedpłaty pozostałe_OKP</t>
  </si>
  <si>
    <t>e) pozostałe zobowiązania wobec pracowników</t>
  </si>
  <si>
    <t>Rozr z prac pozostałe</t>
  </si>
  <si>
    <t>i) pozostałe zobowiązania niefinansowe</t>
  </si>
  <si>
    <t>Zob poz nfin wobec DKP inne zobowiązania</t>
  </si>
  <si>
    <t>Zob poz nfin wobec DKNP inne zobowiązania</t>
  </si>
  <si>
    <t>Rozliczenie inwentaryzacji nadwyżki</t>
  </si>
  <si>
    <t>XII Rozliczenia międzyokresowe przychodów i dot.rząd.</t>
  </si>
  <si>
    <t>8. Otrzymane przedpłaty</t>
  </si>
  <si>
    <t>PPO kr._Otrz przedpłaty z tytułu usług pozost</t>
  </si>
  <si>
    <t>Pozost.rozliczenia międzyokresowe przychodów</t>
  </si>
  <si>
    <t>PPO kr._Poz. rozlicz. przych. przyszłych okre</t>
  </si>
  <si>
    <t>XIII Rezerwy krótkoterminowe</t>
  </si>
  <si>
    <t>Rezerwa kr._świadczenia emerytalne i rentowe</t>
  </si>
  <si>
    <t>Rezerwa kr._ nagrody jubileuszowe</t>
  </si>
  <si>
    <t>5. Rezerwa na premię roczną</t>
  </si>
  <si>
    <t>Rezerwa kr._ premia roczna</t>
  </si>
  <si>
    <t>18. Inne</t>
  </si>
  <si>
    <t>Rezerwa kr._ na straty na kontraktach</t>
  </si>
  <si>
    <t>Rezerwa kr._ pozost koszty działaln operac</t>
  </si>
  <si>
    <t>Rezerwa kr._ pozostałe tytuły</t>
  </si>
  <si>
    <t>120600000</t>
  </si>
  <si>
    <t>890000001</t>
  </si>
  <si>
    <t>890000011</t>
  </si>
  <si>
    <t>6100020400</t>
  </si>
  <si>
    <t>1. Nieruchomości inwestycyjne</t>
  </si>
  <si>
    <t>3600100000</t>
  </si>
  <si>
    <t>2100000006</t>
  </si>
  <si>
    <t>3009800000</t>
  </si>
  <si>
    <t>S.W-n</t>
  </si>
  <si>
    <t>2058010000</t>
  </si>
  <si>
    <t>6411600000</t>
  </si>
  <si>
    <t>2394030000</t>
  </si>
  <si>
    <t>8500120000</t>
  </si>
  <si>
    <t>8501145000</t>
  </si>
  <si>
    <t>8501169000</t>
  </si>
  <si>
    <t>8501362000</t>
  </si>
  <si>
    <t>1306120001</t>
  </si>
  <si>
    <t>1700300000</t>
  </si>
  <si>
    <t>V Zobowiązania długoter.DKP - kaucje - obeznie zestawienie</t>
  </si>
  <si>
    <t>V Zobowiązania długoterminowe</t>
  </si>
  <si>
    <t>2100000008</t>
  </si>
  <si>
    <t>Tu jest Elkom (2000114)wyrzucony do pozostałych</t>
  </si>
  <si>
    <t>Tu jest Mostostal Siedlce (2000592)wyrzucony do pozostałych</t>
  </si>
  <si>
    <t>Bertans - odmowa zapłaty</t>
  </si>
  <si>
    <t>Zobowiązania wobec STS</t>
  </si>
  <si>
    <t>Elkom z 2100000000</t>
  </si>
  <si>
    <t>Mostostal Siedlce z 2100000000</t>
  </si>
  <si>
    <t>Nota</t>
  </si>
  <si>
    <t>Rok zakończony 31 grudnia 2020</t>
  </si>
  <si>
    <t>Rok zakończony 31 grudnia 2019</t>
  </si>
  <si>
    <t>RACHUNEK ZYSKÓW I STRAT</t>
  </si>
  <si>
    <t>PRZYCHODY ZE SPRZEDAŻY</t>
  </si>
  <si>
    <t>4.1</t>
  </si>
  <si>
    <t>Koszt własny sprzedaży</t>
  </si>
  <si>
    <t>4.2</t>
  </si>
  <si>
    <t>ZYSK BRUTTO ZE SPRZEDAŻY</t>
  </si>
  <si>
    <t>Koszty sprzedaży i dystrybucji</t>
  </si>
  <si>
    <t>Koszty ogólnego zarządu</t>
  </si>
  <si>
    <t xml:space="preserve">Pozostałe przychody operacyjne </t>
  </si>
  <si>
    <t>4.4</t>
  </si>
  <si>
    <t>Pozostałe koszty operacyjne</t>
  </si>
  <si>
    <t>ZYSK Z DZIAŁALNOŚCI OPERACYJNEJ</t>
  </si>
  <si>
    <t>Przychody finansowe</t>
  </si>
  <si>
    <t>4.3</t>
  </si>
  <si>
    <t>Koszty finansowe</t>
  </si>
  <si>
    <t>ZYSK BRUTTO</t>
  </si>
  <si>
    <t>Bieżący podatek dochodowy</t>
  </si>
  <si>
    <t>5.1</t>
  </si>
  <si>
    <t>Odroczony podatek dochodowy</t>
  </si>
  <si>
    <t>ZYSK NETTO ZA OKRES SPRAWOZDAWCZY</t>
  </si>
  <si>
    <r>
      <t>INNE CAŁKOWITE DOCHODY</t>
    </r>
    <r>
      <rPr>
        <sz val="8"/>
        <color rgb="FF092D74"/>
        <rFont val="Calibri"/>
        <family val="2"/>
        <charset val="238"/>
        <scheme val="minor"/>
      </rPr>
      <t xml:space="preserve"> </t>
    </r>
  </si>
  <si>
    <t>Pozycje, które mogą w przyszłości zostać rozliczone z wynikiem:</t>
  </si>
  <si>
    <t>Wyceny instrumentów zabezpieczających</t>
  </si>
  <si>
    <t xml:space="preserve">Podatek odroczony </t>
  </si>
  <si>
    <t>Pozycje, które nie będą mogły w przyszłości zostać rozliczone z wynikiem:</t>
  </si>
  <si>
    <t>Zyski i straty aktuarialne z wyceny rezerw na świadczenia pracownicze</t>
  </si>
  <si>
    <t>Podatek odroczony</t>
  </si>
  <si>
    <t>INNE DOCHODY ZA OKRES SPRAWOZDAWCZY, NETTO</t>
  </si>
  <si>
    <t>RAZEM CAŁKOWITE DOCHODY</t>
  </si>
  <si>
    <t>wycena rezerw aktuarialnych</t>
  </si>
  <si>
    <t>podatek odroczony (zyski/straty aktuaroalne)</t>
  </si>
  <si>
    <t>Stan na dzień</t>
  </si>
  <si>
    <t>31 grudnia 2020</t>
  </si>
  <si>
    <t>AKTYWA TRWAŁE</t>
  </si>
  <si>
    <t>Rzeczowe aktywa trwałe</t>
  </si>
  <si>
    <t>Nieruchomości inwestycyjne</t>
  </si>
  <si>
    <t>Wartości niematerialne</t>
  </si>
  <si>
    <t>Prawo do użytkowania składników aktywów</t>
  </si>
  <si>
    <t xml:space="preserve">Należności finansowe </t>
  </si>
  <si>
    <t>22.1.1</t>
  </si>
  <si>
    <t>Instrumenty pochodne i inne aktywa wyceniane w wartości godziwej przez wynik finansowy</t>
  </si>
  <si>
    <t>Udziały i akcje w jednostkach zależnych</t>
  </si>
  <si>
    <t>Udziały i akcje oraz inne instrumenty kapitałowe</t>
  </si>
  <si>
    <t>Aktywa z tytułu podatku odroczonego</t>
  </si>
  <si>
    <t>5.3</t>
  </si>
  <si>
    <t>AKTYWA OBROTOWE</t>
  </si>
  <si>
    <t>Zapasy</t>
  </si>
  <si>
    <t xml:space="preserve">Należności z tytułu dostaw i usług i pozostałe należności </t>
  </si>
  <si>
    <t>Instrumenty pochodne</t>
  </si>
  <si>
    <t>Pozostałe aktywa krótkoterminowe</t>
  </si>
  <si>
    <t>Środki pieniężne i ich ekwiwalenty</t>
  </si>
  <si>
    <t>SUMA AKTYWÓW</t>
  </si>
  <si>
    <r>
      <t>KAPITAŁ WŁASNY</t>
    </r>
    <r>
      <rPr>
        <sz val="8"/>
        <color rgb="FF231F20"/>
        <rFont val="Calibri"/>
        <family val="2"/>
        <charset val="238"/>
        <scheme val="minor"/>
      </rPr>
      <t xml:space="preserve"> </t>
    </r>
  </si>
  <si>
    <t>17.1</t>
  </si>
  <si>
    <t>Kapitał zapasowy</t>
  </si>
  <si>
    <t>17.2</t>
  </si>
  <si>
    <t>Kapitał z  wyceny instrumentów finansowych</t>
  </si>
  <si>
    <t>Zyski zatrzymane</t>
  </si>
  <si>
    <t>17.5</t>
  </si>
  <si>
    <t>ZOBOWIĄZANIA DŁUGOTERMINOWE</t>
  </si>
  <si>
    <t>Rezerwy długoterminowe</t>
  </si>
  <si>
    <t>Kredyty, pożyczki, obligacje, leasing</t>
  </si>
  <si>
    <t>22.1.2</t>
  </si>
  <si>
    <t>Rezerwa z tytułu odroczonego podatku dochodowego</t>
  </si>
  <si>
    <t xml:space="preserve">Pozostałe zobowiązania </t>
  </si>
  <si>
    <t>22.1.3</t>
  </si>
  <si>
    <t>ZOBOWIĄZANIA KRÓTKOTERMINOWE</t>
  </si>
  <si>
    <t>Rezerwy krótkoterminowe</t>
  </si>
  <si>
    <t>Kredyty, pożyczki, obligacje, cash pooling, leasing</t>
  </si>
  <si>
    <t xml:space="preserve">Zobowiązania z tytułu dostaw i usług i pozostałe zobowiązania </t>
  </si>
  <si>
    <t>Zobowiązania z tytułu podatku dochodowego</t>
  </si>
  <si>
    <t>Rozliczenia międzyokresowe przychodów i dotacje rządowe</t>
  </si>
  <si>
    <t>Pozostałe zobowiązania niefinansowe</t>
  </si>
  <si>
    <t xml:space="preserve">RAZEM ZOBOWIĄZANIA </t>
  </si>
  <si>
    <t>SUMA KAPITAŁÓW I ZOBOWIĄZAŃ</t>
  </si>
  <si>
    <t>SPRAWOZDANIE Z SYTUACJI FINANSOWEJ</t>
  </si>
  <si>
    <t>Zmiana stanu</t>
  </si>
  <si>
    <t>Kapitał</t>
  </si>
  <si>
    <t>podstawowy</t>
  </si>
  <si>
    <t>zapasowy</t>
  </si>
  <si>
    <t xml:space="preserve">Kapitał z wyceny instrumentów finansowych  </t>
  </si>
  <si>
    <t>Zyski</t>
  </si>
  <si>
    <t>zatrzymane</t>
  </si>
  <si>
    <t>Razem</t>
  </si>
  <si>
    <t>kapitał własny</t>
  </si>
  <si>
    <t>Zysk netto za okres sprawozdawczy</t>
  </si>
  <si>
    <t>Inne całkowite dochody</t>
  </si>
  <si>
    <t>CAŁKOWITE DOCHODY ZA OKRES</t>
  </si>
  <si>
    <t>Podział zysków lat ubiegłych</t>
  </si>
  <si>
    <t>Dywidenda</t>
  </si>
  <si>
    <t>Pozostałe zmiany</t>
  </si>
  <si>
    <t xml:space="preserve"> </t>
  </si>
  <si>
    <t>k-to</t>
  </si>
  <si>
    <t>SPRAWOZDANIE ZE ZMIAN W KAPITAŁACH WŁASNYCH</t>
  </si>
  <si>
    <t>SPRAWOZDANIE Z CAŁKOWITYCH DOCHODÓW</t>
  </si>
  <si>
    <t>Korekty o pozycje:</t>
  </si>
  <si>
    <t>Sprawozdanie z sytuacji finansowej</t>
  </si>
  <si>
    <t>ATW101000000:Rzeczowe aktywa trwałe</t>
  </si>
  <si>
    <t>ATW102000000:Nieruchomości inwestycyjne</t>
  </si>
  <si>
    <t>ATW103000000:Wartości niematerialne</t>
  </si>
  <si>
    <t>ATW105000000:Pożyczki i należności</t>
  </si>
  <si>
    <t>ATW107000000:Udziały i akcje w jednostkach stowarzyszonych i wspólnych przedsięwzięciach wykazywane metodą praw własności</t>
  </si>
  <si>
    <t>ATW108000000:Pozostałe aktywa długoterminowe</t>
  </si>
  <si>
    <t>ATW110000000:Aktywa z tytułu podatku odroczonego</t>
  </si>
  <si>
    <t>ATW111000000:Aktywa trwałe związane z działalnością zaniechaną</t>
  </si>
  <si>
    <t>ATW112000000:Wartość firmy powstała na konsolidacji</t>
  </si>
  <si>
    <t>ATW100000000:Aktywa trwałe</t>
  </si>
  <si>
    <t>AOW101000000:Zapasy</t>
  </si>
  <si>
    <t>AOW103000000:Należności z tytułu podatku dochodowego</t>
  </si>
  <si>
    <t>AOW106000000:Należności z tytułu dostaw i usług</t>
  </si>
  <si>
    <t>AOW109000000:Pozostałe aktywa krótkoterminowe</t>
  </si>
  <si>
    <t>AOW110000000:Środki pieniężne i ich ekwiwalenty</t>
  </si>
  <si>
    <t>AOW111000000:Aktywa trwałe zaklasyfikowane jako przeznaczone do sprzedaży</t>
  </si>
  <si>
    <t>AOW112000000:Aktywa obrotowe związane z działalnością zaniechaną</t>
  </si>
  <si>
    <t>AOW113000000:Należności wewnątrzkoncernowe</t>
  </si>
  <si>
    <t>AOW100000000:Aktywa obrotowe</t>
  </si>
  <si>
    <t>AKW100000000:SUMA AKTYWÓW</t>
  </si>
  <si>
    <t>KDW101000000:Kapitał podstawowy</t>
  </si>
  <si>
    <t>KDW101000100:Fundusz wydzielony</t>
  </si>
  <si>
    <t>KDW102000000:Kapitał z aktualizacji wyceny aktywów finansowych oraz z tytułu rachunkowości zabezpieczeń</t>
  </si>
  <si>
    <t>KDW103000000:Akcje własne</t>
  </si>
  <si>
    <t>KDW104000000:Różnice kursowe z przeliczenia jednostki zagranicznej</t>
  </si>
  <si>
    <t>KDW105000000:Kapitał zapasowy</t>
  </si>
  <si>
    <t>KDW106000000:Pozostałe kapitały rezerwowe</t>
  </si>
  <si>
    <t>KDW110000000:Zyski zatrzymane z tyt. finansowania nierynkowego</t>
  </si>
  <si>
    <t>KDW107000000:Zyski zatrzymane/ Niepokryte straty (z lat ubiegłych)</t>
  </si>
  <si>
    <t>KDW108000000:Zysk (strata) netto</t>
  </si>
  <si>
    <t>KDW100000000:Kapitał własny przypadający akcjonariuszom jednostki dominującej</t>
  </si>
  <si>
    <t>KMW100000000:Kapitał własny przypisany udziałom niekontrolującym</t>
  </si>
  <si>
    <t>KPW100000000:Kapitał własny ogółem</t>
  </si>
  <si>
    <t>ZDW103000000:Rezerwy</t>
  </si>
  <si>
    <t>ZDW104000000:Rezerwa z tytułu odroczonego podatku dochodowego</t>
  </si>
  <si>
    <t>ZDW105000000:Rozliczenia międzyokresowe przychodów i dotacje rządowe</t>
  </si>
  <si>
    <t>ZDW106000000:Zobowiązania długoterminowe związane z działalnością zaniechaną</t>
  </si>
  <si>
    <t>ZDW100000000:Zobowiązania długoterminowe</t>
  </si>
  <si>
    <t>ZKW101000000:Zobowiązania z tytułu dostaw i usług</t>
  </si>
  <si>
    <t>ZKW104000000:Pozostałe zobowiązania finansowe</t>
  </si>
  <si>
    <t>ZKW105000000:Pozostałe zobowiązania niefinansowe</t>
  </si>
  <si>
    <t>ZKW106000000:Zobowiązania z tytułu podatku dochodowego</t>
  </si>
  <si>
    <t>ZKW107000000:Rozliczenia międzyokresowe przychodów i dotacje</t>
  </si>
  <si>
    <t>ZKW108000000:Rezerwy</t>
  </si>
  <si>
    <t>ZKW109000000:Zobowiązania bezpośrednio związane z aktywami trwałymi zaklasyfikowanymi jako przeznaczone do sprzedaży</t>
  </si>
  <si>
    <t>ZKW110000000:Zobowiązania krótkoterminowe związane z działalnością zaniechaną</t>
  </si>
  <si>
    <t>ZKW120000000:Zobowiązania wewnątrzkoncernowe</t>
  </si>
  <si>
    <t>ZKW100000000:Zobowiązania krótkoterminowe</t>
  </si>
  <si>
    <t>ZOW100000000:Zobowiązania razem</t>
  </si>
  <si>
    <t>KZW100000000:Razem kapitały i zobowiązania</t>
  </si>
  <si>
    <t>zmiana stanu</t>
  </si>
  <si>
    <t>Nal OKP NI, RA</t>
  </si>
  <si>
    <t>Cash flow</t>
  </si>
  <si>
    <t>CFW010000000:Zysk/(strata) brutto</t>
  </si>
  <si>
    <t>CFW020000000:Zysk/(strata) brutto działalność zaniechana</t>
  </si>
  <si>
    <t>CFW030100000:Udział w wyniku jednostek stowarzyszonych i wspólnych przedsięwzięć wycenianych metodą praw własności</t>
  </si>
  <si>
    <t>CFW030200000:Amortyzacja, likwidacja oraz odpisy aktualizujące RAT/WN</t>
  </si>
  <si>
    <t>CFW030300000:Odsetki i dywidendy, netto</t>
  </si>
  <si>
    <t>CFW030400000:(Zysk)/strata na działalności inwestycyjnej</t>
  </si>
  <si>
    <t>CFW030500000:(Zwiększenie)/ zmniejszenie stanu należności</t>
  </si>
  <si>
    <t>CFW030600000:(Zwiększenie)/ zmniejszenie stanu zapasów</t>
  </si>
  <si>
    <t>CFW030700000:Zwiększenie/ (zmniejszenie) stanu zobowiązań z wyjątkiem kredytów i pożyczek</t>
  </si>
  <si>
    <t>CFW030800000:Zmiana stanu pozostałych aktywów (długo i krótkoterminowych)</t>
  </si>
  <si>
    <t>CFW030900000:Zmiana stanu uprawnień do CO2</t>
  </si>
  <si>
    <t>CFW031000000:Zmiana stanu rozliczeń międzyokresowych i dotacji</t>
  </si>
  <si>
    <t>CFW031100000:Zmiana stanu rezerw</t>
  </si>
  <si>
    <t>CFW031200000:Podatek dochodowy zapłacony</t>
  </si>
  <si>
    <t>CFW031300000:Różnice kursowe</t>
  </si>
  <si>
    <t>CFW031400000:Zmiana stanu rozrachunków wewnątrzkoncernowych</t>
  </si>
  <si>
    <t>CFW039900000:Pozostałe przepływy środków pieniężnych z działalności operacyjnej</t>
  </si>
  <si>
    <t>CFW030000000:Środki pieniężne netto z działalności operacyjnej</t>
  </si>
  <si>
    <t>CFW040100000:Sprzedaż rzeczowych aktywów trwałych i wartości niematerialnych</t>
  </si>
  <si>
    <t>CFW040200000:Nabycie rzeczowych aktywów trwałych i wartości niematerialnych</t>
  </si>
  <si>
    <t>CFW040300000:Sprzedaż nieruchomości inwestycyjnych</t>
  </si>
  <si>
    <t>CFW040400000:Nabycie nieruchomości inwestycyjnych</t>
  </si>
  <si>
    <t>CFW040500000:Sprzedaż pozostałych aktywów finansowych</t>
  </si>
  <si>
    <t>CFW040600000:Nabycie pozostałych aktywów finansowych</t>
  </si>
  <si>
    <t>CFW040700000:Nabycie jednostki konsolidowanej metodą pełną, po potrąceniu przejętych środków pieniężnych</t>
  </si>
  <si>
    <t>CFW040800000:Założenie lokat (powyżej 3 m-cy)</t>
  </si>
  <si>
    <t>CFW040900000:Rozwiązanie lokat (powyżej 3 m-cy)</t>
  </si>
  <si>
    <t>CFW041000000:Dywidendy otrzymane</t>
  </si>
  <si>
    <t>CFW041100000:Odsetki otrzymane od obligacji grupowych</t>
  </si>
  <si>
    <t>CFW041800000:Odsetki otrzymane od cash poolingu</t>
  </si>
  <si>
    <t>CFW041200000:Pozostałe odsetki otrzymane</t>
  </si>
  <si>
    <t>CFW041300000:Spłata udzielonych pożyczek</t>
  </si>
  <si>
    <t>CFW041400000:Udzielenie pożyczek</t>
  </si>
  <si>
    <t>CFW041900000:Środki przekazane w ramach cash poolingu</t>
  </si>
  <si>
    <t>CFW041500000:Zakup obligacji emitowanych przez spółki GK PGE - wartość emisyjna</t>
  </si>
  <si>
    <t>CFW041600000:Wykup obligacji emitowanych przez spółki GK PGE - wartość emisyjna</t>
  </si>
  <si>
    <t xml:space="preserve">CFW042000000:Wydatki na likwidację /sprzedaż RAT i WN </t>
  </si>
  <si>
    <t>CFW049900000:Pozostałe przepływy środków pieniężnych z działalności inwestycyjnej</t>
  </si>
  <si>
    <t>CFW040000000:Środki pieniężne netto z działalności inwestycyjnej</t>
  </si>
  <si>
    <t>CFW050100000:Wpływy z tytułu emisji akcji</t>
  </si>
  <si>
    <t>CFW050200000:Spłata zobowiązań z tytułu leasingu finansowego, bez odsetek</t>
  </si>
  <si>
    <t>CFW050300000:Wpływy z tytułu zaciągnięcia pożyczek/kredytów</t>
  </si>
  <si>
    <t>CFW051100000:Środki otrzymane w ramach cash poolingu</t>
  </si>
  <si>
    <t>CFW050400000:Spłata pożyczek/kredytów</t>
  </si>
  <si>
    <t>CFW050500000:Dywidendy wypłacone spółkom GK PGE</t>
  </si>
  <si>
    <t>CFW050600000:Dywidendy wypłacone innym akcjonariuszom</t>
  </si>
  <si>
    <t>CFW050700000:Odsetki zapłacone od obligacji grupowych</t>
  </si>
  <si>
    <t>CFW051200000:Odsetki zapłacone od cash poolingu</t>
  </si>
  <si>
    <t>CFW050900000:Emisja obligacji do spółek GK PGE - wartość emisyjna</t>
  </si>
  <si>
    <t>CFW051000000:Wykup obligacji emitowanych od spółek GK PGE - wartość emisyjna</t>
  </si>
  <si>
    <t>CFW051300000:Otrzymane dotacje do aktywów trwałych</t>
  </si>
  <si>
    <t>CFW059900000:Pozostałe przepływy środków pieniężnych z działalności finansowej</t>
  </si>
  <si>
    <t>CFW050000000:Środki pieniężne netto z działalności finansowej</t>
  </si>
  <si>
    <t>CFW060000000:Zwiększenie/(Zmniejszenie) netto stanu środków pieniężnych i ich ekwiwalentów</t>
  </si>
  <si>
    <t>CFW070000000:Różnice kursowe netto</t>
  </si>
  <si>
    <t>CFW080000000:Środki pieniężne na początek okresu, w tym</t>
  </si>
  <si>
    <t>CFW090000000:Środki pieniężne na koniec okresu, w tym</t>
  </si>
  <si>
    <t>CFW090100000:O ograniczonej możliwości dysponowania</t>
  </si>
  <si>
    <t>CFW090200000:Przypisane działalności zaniechanej</t>
  </si>
  <si>
    <t>CFWN10000000: Zysk/(strata) brutto</t>
  </si>
  <si>
    <t>CFWN20000000:Zysk/(strata) brutto działalność zaniechana</t>
  </si>
  <si>
    <t>CFWN30100000:Udział w wyniku jednostek stowarzyszonych oraz wspólnych przedsięwzięć wycenianych metodą praw własności</t>
  </si>
  <si>
    <t>CFWN30200000:Amortyzacja, likwidacja oraz odpisy aktualizujące RAT/WN</t>
  </si>
  <si>
    <t>CFWN30300000:Odsetki i dywidendy netto:</t>
  </si>
  <si>
    <t>CFWN30300100:odsetki naliczone od wyemitowanych obligacji</t>
  </si>
  <si>
    <t>CFWN30300200:odsetki zapłacone od wyemitowanych obligacji</t>
  </si>
  <si>
    <t>CFWN30300300:odsetki i prowizje od kredytów naliczone</t>
  </si>
  <si>
    <t>CFWN30300400:odsetki i prowizje od kredytów zapłacone</t>
  </si>
  <si>
    <t>CFWN30300500:odsetki naliczone od dłużnych papierów wartościowych</t>
  </si>
  <si>
    <t>CFWN30300600:odsetki zapłacone od dłużnych papierów wartościowych</t>
  </si>
  <si>
    <t>CFWN30300700:odsetki naliczone od pożyczek otrzymanych</t>
  </si>
  <si>
    <t>CFWN30300800:odsetki zapłacone od pożyczek otrzymanych</t>
  </si>
  <si>
    <t>CFWN30300900:odsetki kosztowe naliczone od cash pool</t>
  </si>
  <si>
    <t>CFWN30300900:odsetki kosztowe zapłacone od cash pool</t>
  </si>
  <si>
    <t>CFWN30301200:odsetki zapłacone od leasingu finansowego</t>
  </si>
  <si>
    <t>CFWN30301300:odsetki naliczone od udzielonych pożyczek</t>
  </si>
  <si>
    <t>CFWN30301400:odsetki zapłacone od udzielonych pożyczek</t>
  </si>
  <si>
    <t>CFWN30301500:odsetki naliczone od zakupionych obligacji</t>
  </si>
  <si>
    <t>CFWN30301600:odsetki zapłacone od zakupionych obligacji</t>
  </si>
  <si>
    <t>CFWN30301700:odsetki przychodowe naliczone od cash pool</t>
  </si>
  <si>
    <t>CFWN30301700:odsetki przychodowe zapłacone od cash pool</t>
  </si>
  <si>
    <t>CFWN30302200:odsetki aktywowane</t>
  </si>
  <si>
    <t>CFWN30301900:dywidendy należne i otrzymane</t>
  </si>
  <si>
    <t>CFWN30302000:podatek potrącony od dywidend</t>
  </si>
  <si>
    <t>CFWN30302100:prowizje od gwarancji i poręczeń związanych z zaciągnięciem kredytów, pożyczek i obligacji ujete w rzis</t>
  </si>
  <si>
    <t>CFWN30399000:pozostałe korekty</t>
  </si>
  <si>
    <t>CFWN30400000:Zysk/strata z działalności inwestycyjnej</t>
  </si>
  <si>
    <t>CFWN30400100:zysk (strata) na sprzedaży rzeczowych aktywów trwałych</t>
  </si>
  <si>
    <t>CFWN30400200:wartość netto zlikwidowanych środków trwałych - działalność nieprodukcyjna</t>
  </si>
  <si>
    <t>CFWN30400300:wartość netto środków trwałych przekazanych nieodpłatnie</t>
  </si>
  <si>
    <t>CFWN30400400:koszty związane ze sprzedażą środków trwałych i wnip</t>
  </si>
  <si>
    <t>CFWN30400500:zysk/strata z odpisania zaniechanych inwestycji - działalność nieprodukcyjna</t>
  </si>
  <si>
    <t>CFWN30400600:inwestycje reklasyfikowane w koszty</t>
  </si>
  <si>
    <t>CFWN30400700:korekta wartości rzeczowych aktywów trwałych</t>
  </si>
  <si>
    <t>CFWN30400800:wynik na zbyciu finansowego majątku trwałego</t>
  </si>
  <si>
    <t>CFWN30400900:zysk (strata) na zbyciu pozostałych aktywów finansowych</t>
  </si>
  <si>
    <t>CFWN30401000:wycena memoriałowa papierów wartościowych</t>
  </si>
  <si>
    <t>CFWN30401100:wynikowa zmiana odpisów na udziały i inne aktywa finansowe</t>
  </si>
  <si>
    <t>CFWN30401200:wycena memoriałowa instrumentów pochodnych</t>
  </si>
  <si>
    <t>CFWN30401300:odzysk ze zlikwidowanych środków trwałych</t>
  </si>
  <si>
    <t>CFWN30401400:koszty związane z likwidacją środków trwałych</t>
  </si>
  <si>
    <t>CFWN30499000:pozostałe korekty</t>
  </si>
  <si>
    <t>CFWN30500000:Zmiana stanu należności</t>
  </si>
  <si>
    <t>CFWN30500100:bilansowa zmiana stanu Pozycji pożyczki i pozostałe należności finansowe (krótkoterminowe)</t>
  </si>
  <si>
    <t>CFWN30500200:korekta o zmianę stanu krótkoterminowych pożyczek udzielonych (z minusem)</t>
  </si>
  <si>
    <t>CFWN30500300:korekta o zmianę stanu zakupionych obligacji krótkoterminowych</t>
  </si>
  <si>
    <t>CFWN30500400:wartość przejęta/przekazana pozycji Pożyczki i pozostałe należności finansowe (krótkoterminowe)</t>
  </si>
  <si>
    <t>CFWN30500500:bilansowa zmiana stanu pożyczek i należności długoterminowych</t>
  </si>
  <si>
    <t>CFWN30500600:korekta o zmianę stanu długoterminowych pożyczek udzielonych (z minusem)</t>
  </si>
  <si>
    <t>CFWN30500700:korekta o zmianę stanu zakupionych obligacji długoterminowych</t>
  </si>
  <si>
    <t>CFWN30500800:wartość przejęta/przekazana pozycji Pożyczki i pozostałe należności finansowe (długoterminowe)</t>
  </si>
  <si>
    <t>CFWN30500900:bilansowa zmiana należności z tyt dostaw i usług</t>
  </si>
  <si>
    <t>CFWN30501000:wartość przejęta/przekazana należności z tyt. dostaw i usług</t>
  </si>
  <si>
    <t>CFWN30501100:korekta o zmianę stanu należności z tytułu zbycia rzeczowych aktywów trwałych (z minusem)</t>
  </si>
  <si>
    <t>CFWN30501200:korekta o zmianę stanu należności z tytułu zbycia inwestycji finansowych (z minusem)</t>
  </si>
  <si>
    <t>CFWN30599000:pozostałe korekty</t>
  </si>
  <si>
    <t>CFWN30501400:korekta o zmianę stanu należności z tyt. cash pool</t>
  </si>
  <si>
    <t>CFWN30600000:Zmiana stanu zapasów wynika z następujących pozycji</t>
  </si>
  <si>
    <t>CFWN30600100:bilansowa zmiana stanu zapasów</t>
  </si>
  <si>
    <t>CFWN30600200:zapasy przejęte/przekazane w ramach połączenia</t>
  </si>
  <si>
    <t>CFWN30600300:korekta o reklasyfikację zapasów do przeznaczonych do sprzedaży (jako część zorganizowanej części przedsiebiorstwa)</t>
  </si>
  <si>
    <t>CFWN30600500:korekta o grunty przeksięgowane w towary i inne przeksięgowania z RAT na zapasy</t>
  </si>
  <si>
    <t>CFWN30600600:odzysk ze zlikwidowanych środków trwałych</t>
  </si>
  <si>
    <t>CFWN30699000:pozostałe korekty</t>
  </si>
  <si>
    <t>CFWN30700100:Zmiana stanu zobowiązań, bez pożyczek i kredytów, wynika z następujących pozycji</t>
  </si>
  <si>
    <t>CFWN30700200:bilansowa zmiana stanu pozostałych zobowiązań długoterminowych</t>
  </si>
  <si>
    <t>CFWN30700300:bilansowa zmiana stanu zobowiązań z tyt dostaw i usług</t>
  </si>
  <si>
    <t>CFWN30700400:bilansowa zmiana stanu pozostałych zobowiązań finansowych</t>
  </si>
  <si>
    <t>CFWN30700500:bilansowa zmiana stanu pozostałych zobowiązań niefinansowych</t>
  </si>
  <si>
    <t>CFWN30700600:bilansowa zmiana zobowiązań finansowych wycenianych w wartości godziwej przez wynik finansowy</t>
  </si>
  <si>
    <t>CFWN30700700:zobowiązania przejęte/przekazane w ramach połaczenia</t>
  </si>
  <si>
    <t>CFWN30700800:korekta o zmianę stanu zobowiązań z tytułu leasingu finansowego</t>
  </si>
  <si>
    <t>CFWN30700900:korekta o zmianę stanu zobowiązań z tytułu instrumentów pochodnych</t>
  </si>
  <si>
    <t>CFWN30701000:korekta o zmianę stanu zobowiązań inwestycyjnych</t>
  </si>
  <si>
    <t>CFWN30701100:korekta o zmianę stanu zobowiązań z tytułu dywidendy</t>
  </si>
  <si>
    <t>CFWN30701200:reklasyfikacja do zobowiązań  bezpośrednio związanych z aktywami trwałymi zaklasyfikowanymi jako przeznaczone do sprz</t>
  </si>
  <si>
    <t>CFWN30701300:zmiana stanu zobowiązań z tyt prowizji od gwarancji i poręczeń związanych z zaciągnięciem kredytów, pożyczek, obligacji</t>
  </si>
  <si>
    <t>CFWN30701400:korekta o zmianę stanu zobowiązań z tyt. podatku dochodowego PGK</t>
  </si>
  <si>
    <t>CFWN30800000:Zmiana stanu pozostałych aktywów (długo i krótkoterminowych)</t>
  </si>
  <si>
    <t>CFWN30800100:bilansowa zmiana stanu pozostałych aktywów długoterminowych</t>
  </si>
  <si>
    <t>CFWN30800200:korekta o zmianę stanu zaliczek na środki trwałe w budowie</t>
  </si>
  <si>
    <t>CFWN30800300:pozostałe aktywa długoterminowe przekazane/przyjęte w ramach połączenia</t>
  </si>
  <si>
    <t>CFWN30800400:bilansowa zmiana pozostałych aktywów krótkoterminowych</t>
  </si>
  <si>
    <t>CFWN30800500:pozostałe aktywa krótkoterminowe przekazane/przyjęte w ramach połączenia</t>
  </si>
  <si>
    <t>CFWN30800600:korekta o zmianę stanu pozostałych aktywów krótkoterminowych z tytułu należności z tytułu dywidend</t>
  </si>
  <si>
    <t>CFWN30800700:korekta o zmiane stanu pozostałych aktywów krótko i długoterminowych dot. działalności finansowej/inwestycyjnej</t>
  </si>
  <si>
    <t>CFWN30899000:pozostałe korekty</t>
  </si>
  <si>
    <t>CFWN30900000:Zmiana stanu uprawnień do CO2</t>
  </si>
  <si>
    <t>CFWN31000000:Zmiana stanu rozliczeń międzyokresowych przychodów i dotacji</t>
  </si>
  <si>
    <t>CFWN31000100:bilansowa zmiana stanu rozliczeń międzyokresowych przychodów długoterminowych</t>
  </si>
  <si>
    <t>CFWN31000200:rozliczenia międzyokresowe przychodów i dotacje rządowe długoterminowe przekazane/przyjęte w ramach połączenia</t>
  </si>
  <si>
    <t>CFWN31000300:bilansowa zmiana rozliczeń międzyokresowych przychodów krótkoterminowych</t>
  </si>
  <si>
    <t>CFWN31000400:rozliczenia międzyokresowe przychodów i dotacje rządowe krótkoterminowe przekazane/przyjęte w ramach połączenia</t>
  </si>
  <si>
    <t>CFWN31000500:korekta o kolizje rozliczone w przychody</t>
  </si>
  <si>
    <t>CFWN31000600:korekta o otrzymane nieodpłatnie RAT i WN</t>
  </si>
  <si>
    <t>CFWN31099000:pozostałe korekty</t>
  </si>
  <si>
    <t>CFWN31100000:Zmiana stanu rezerw</t>
  </si>
  <si>
    <t>CFWN31100100:bilansowa zmiana stanu rezerw długoterminowych</t>
  </si>
  <si>
    <t>CFWN31100200:rezerwy długoterminowe przejęte/przekazane w ramach połączenia</t>
  </si>
  <si>
    <t>CFWN31100300:bilansowa zmiana stanu rezerw krótkoterminowych</t>
  </si>
  <si>
    <t>CFWN31100400:rezerwy krótkoterminowe przejęte/przekazane w ramach połączenia</t>
  </si>
  <si>
    <t>CFWN31100500:zmiana stanu  innych rezerw w korespondencji z zyskami zatrzymanymi</t>
  </si>
  <si>
    <t>CFWN31100600:korekta o zmianę stanu rezerw na świadczenia pracownicze w korespondencji z zyskami zatrzymanymi</t>
  </si>
  <si>
    <t>CFWN31100700:korekta o zmianę stanu rezerw rekultywacyjnych w korespondencji z RAT</t>
  </si>
  <si>
    <t>CFWN31199000:pozostałe korekty</t>
  </si>
  <si>
    <t>CFWN31200000:Podatek dochodowy zapłacony</t>
  </si>
  <si>
    <t>CFWN31200100:podatek dochodowy w rzis</t>
  </si>
  <si>
    <t>CFWN31201100:podatek odroczony ujęty w innych całkowitych dochodach</t>
  </si>
  <si>
    <t>CFWN31200200:bilansowa zmiana stanu aktywów na odroczony podatek dochodowy</t>
  </si>
  <si>
    <t>CFWN31200300:aktywa na odroczony podatek dochodowy przekazane/przejęte w ramach połączenia</t>
  </si>
  <si>
    <t>CFWN31200400:bilansowa zmiana rezerwy na odroczony podatek dochodowy</t>
  </si>
  <si>
    <t>CFWN31200500:rezerwa na odroczony podatek dochodowy przekazany/przejęty w ramach połączenia</t>
  </si>
  <si>
    <t>CFWN31200600:bilansowa zmiana należności z tytułu podatku dochodowego</t>
  </si>
  <si>
    <t>CFWN31200700:należności z tytułu podatku dochodowego przejęte w ramach połączenia</t>
  </si>
  <si>
    <t>CFWN31200800:bilansowa zmiana zobowiązań z tytułu podatku dochodowego</t>
  </si>
  <si>
    <t>CFWN31200900:zobowiązania z tytułu podatku dochodowego przejęte w ramach połączenia</t>
  </si>
  <si>
    <t>CFWN31201000:podatek potrącony od dywidend</t>
  </si>
  <si>
    <t>CFWN31201200:korekta o podatek odroczony ujęty w kapitałach własnych od wyceny pożyczek wewnątrzgrupowych wg SCN</t>
  </si>
  <si>
    <t xml:space="preserve">CFWN31201300:korekta o podatek odroczony ujęty w kapitałach własnych od wyceny obligacji wewnątrzgrupowych wg SCN </t>
  </si>
  <si>
    <t>CFWN31201400:korekta o podatek odroczony ujęty w kapitałach własnych z tytułu zmiany polityki rachunkowości oraz korygowania błędów</t>
  </si>
  <si>
    <t>CFWN31201500:korekta o zmianę stanu rozrachunków z tytułu podatku dochodowego w ramach PGK</t>
  </si>
  <si>
    <t>CFWN31299000:pozostałe korekty</t>
  </si>
  <si>
    <t>CFWN31300000:Róźnice kursowe</t>
  </si>
  <si>
    <t>CFWN31400000:Zmiana stanu rozrachunków wewnątrzkoncernowych</t>
  </si>
  <si>
    <t>CFWN31400100:Zmiana stanu należności wewnątrzkoncernowych</t>
  </si>
  <si>
    <t>CFWN31400200:Zmiana stanu zobowiązań wewnątrzkoncernowych</t>
  </si>
  <si>
    <t>CFWN31499000:Pozostałe korekty dotyczące rozrachunków wewnątrzkoncernowych</t>
  </si>
  <si>
    <t>CFWN39900000:Pozostałe</t>
  </si>
  <si>
    <t>CFWN39900100:wycena transakcji SWAP w wartości godziwej</t>
  </si>
  <si>
    <t>CFWN39900200:korekta o aktywowaną amortyzację (RAT, WN)</t>
  </si>
  <si>
    <t>CFWN39999000:pozostałe korekty</t>
  </si>
  <si>
    <t>CFWN30000000:Środki pieniężne netto z działalności operacyjnej</t>
  </si>
  <si>
    <t>Rezerwy na świadczenia po okresie zatrudnienia</t>
  </si>
  <si>
    <t>Rezerwa na świadczenia emerytalne, rentowe i podobne</t>
  </si>
  <si>
    <t>Deputat węglowy</t>
  </si>
  <si>
    <t>Taryfa energetyczna-pracownicy</t>
  </si>
  <si>
    <t>Taryfa energetyczna-pozostali uprawnieni</t>
  </si>
  <si>
    <t>Zakładowy Fundusz Świadczeń Socjalnych</t>
  </si>
  <si>
    <t>Opieka medyczna</t>
  </si>
  <si>
    <t>Inne rezerwy na świadczenia po okresie zatrudnienia</t>
  </si>
  <si>
    <t>Nagrody jubileuszowe</t>
  </si>
  <si>
    <t>Ogółem</t>
  </si>
  <si>
    <t xml:space="preserve">Na dzień 1 stycznia </t>
  </si>
  <si>
    <t>Nabycie jednostki zależnej</t>
  </si>
  <si>
    <t>Koszty bieżącego zatrudnienia</t>
  </si>
  <si>
    <t xml:space="preserve">Zyski i straty aktuarialne </t>
  </si>
  <si>
    <t>Wypłacone świadczenia</t>
  </si>
  <si>
    <t xml:space="preserve">Koszty przeszłego zatrudnienia </t>
  </si>
  <si>
    <t>Korekta stopy dyskontowej</t>
  </si>
  <si>
    <t>Koszty odsetek</t>
  </si>
  <si>
    <t>Stan na dzień 31 grudnia 2020 roku</t>
  </si>
  <si>
    <t>Zyski i straty aktuarialne dotyczące świadczeń po okresie zatrudnienia</t>
  </si>
  <si>
    <t>Zyski i straty aktuarialne dotyczące innych długoterminowych świadczeń</t>
  </si>
  <si>
    <t>podatek odroczony od zysków/strat aktuar.</t>
  </si>
  <si>
    <t>sprawdzić z cit - podatek odroczony</t>
  </si>
  <si>
    <t>sprawdzenie</t>
  </si>
  <si>
    <t>odsetki zapłacone CP</t>
  </si>
  <si>
    <t>Zapłacone koszty CP</t>
  </si>
  <si>
    <t>zapłacone odsetki - leasing wg MSSF 16</t>
  </si>
  <si>
    <t>zapłacone raty odsetkowe</t>
  </si>
  <si>
    <t>Rozliczone korzyści CP</t>
  </si>
  <si>
    <t>BO W-n</t>
  </si>
  <si>
    <t>BO Ma</t>
  </si>
  <si>
    <t>MSSF 16</t>
  </si>
  <si>
    <t>Spłata raty kapitałowej - samochody - z cit  (koszty statystyczne - rata kapitałowa leas.)</t>
  </si>
  <si>
    <t>zmiana stanu zobow.z tyt.zakupu ŚT,WN</t>
  </si>
  <si>
    <t>4806100000</t>
  </si>
  <si>
    <t>7500170100</t>
  </si>
  <si>
    <t>8501127000</t>
  </si>
  <si>
    <t>przepływy</t>
  </si>
  <si>
    <t>z bilansu</t>
  </si>
  <si>
    <t>korekty</t>
  </si>
  <si>
    <t>po korektach</t>
  </si>
  <si>
    <t>odsetki naliczone CP</t>
  </si>
  <si>
    <t>koszty naliczone CP</t>
  </si>
  <si>
    <t>zyski naliczone CP</t>
  </si>
  <si>
    <t>600100000</t>
  </si>
  <si>
    <t>WP_NI- KST 1</t>
  </si>
  <si>
    <t>610100000</t>
  </si>
  <si>
    <t>Um_NI- KST 1</t>
  </si>
  <si>
    <t>9010000074</t>
  </si>
  <si>
    <t>W.br.RAT(74-b.o</t>
  </si>
  <si>
    <t>9010000076</t>
  </si>
  <si>
    <t>W.br.RAT(76-b.o</t>
  </si>
  <si>
    <t>9010000111</t>
  </si>
  <si>
    <t>WB_RAT11-Podat</t>
  </si>
  <si>
    <t>9010004074</t>
  </si>
  <si>
    <t>LE: W.br.RAT(74</t>
  </si>
  <si>
    <t>9010010003</t>
  </si>
  <si>
    <t>WP_ Bud/lok 03-</t>
  </si>
  <si>
    <t>9010020003</t>
  </si>
  <si>
    <t>WP_ O.inż.l.i w</t>
  </si>
  <si>
    <t>9010030003</t>
  </si>
  <si>
    <t>WP_Kot/masz_e03</t>
  </si>
  <si>
    <t>9010040003</t>
  </si>
  <si>
    <t>WP_Masz/urz 03-</t>
  </si>
  <si>
    <t>9010050003</t>
  </si>
  <si>
    <t>WP_Sp.masz 03-P</t>
  </si>
  <si>
    <t>9010060003</t>
  </si>
  <si>
    <t>WP_ Urz.tech03-</t>
  </si>
  <si>
    <t>9010070003</t>
  </si>
  <si>
    <t>WP_ Śr.trans03-</t>
  </si>
  <si>
    <t>9010080003</t>
  </si>
  <si>
    <t>WP_Narz/prz 03-</t>
  </si>
  <si>
    <t>9011000111</t>
  </si>
  <si>
    <t>Umorz.RAT11-Pod</t>
  </si>
  <si>
    <t>9011010003</t>
  </si>
  <si>
    <t>UM_ Bud. i lok(</t>
  </si>
  <si>
    <t>9011020003</t>
  </si>
  <si>
    <t>UM_ O.inż.l.i w</t>
  </si>
  <si>
    <t>9011030003</t>
  </si>
  <si>
    <t>UM_ K.i masz.e.</t>
  </si>
  <si>
    <t>9011040003</t>
  </si>
  <si>
    <t>UM_ Masz,urz.og</t>
  </si>
  <si>
    <t>9011050003</t>
  </si>
  <si>
    <t>UM_ Sp.masz,urz</t>
  </si>
  <si>
    <t>9011060003</t>
  </si>
  <si>
    <t>UM_ Urz.tech.(0</t>
  </si>
  <si>
    <t>9011070003</t>
  </si>
  <si>
    <t>UM_ Śr. i trans</t>
  </si>
  <si>
    <t>9011080003</t>
  </si>
  <si>
    <t>UM_ Narz.prz,ru</t>
  </si>
  <si>
    <t>9011090174</t>
  </si>
  <si>
    <t>Umorz.RAT(74-b.</t>
  </si>
  <si>
    <t>9011090176</t>
  </si>
  <si>
    <t>Umorz.RAT(76-b.</t>
  </si>
  <si>
    <t>9011094174</t>
  </si>
  <si>
    <t>LE: Um.RAT(74-b</t>
  </si>
  <si>
    <t>9011230111</t>
  </si>
  <si>
    <t>9011230211</t>
  </si>
  <si>
    <t>Umorz.WN(11-Pod</t>
  </si>
  <si>
    <t>9012090005</t>
  </si>
  <si>
    <t>OA_RAT(05-odpMS</t>
  </si>
  <si>
    <t>9012090007</t>
  </si>
  <si>
    <t>OA_RAT(07-odpPS</t>
  </si>
  <si>
    <t>9012090176</t>
  </si>
  <si>
    <t>OA_RAT(76-PSR b</t>
  </si>
  <si>
    <t>9020000211</t>
  </si>
  <si>
    <t>WB_WN b/PWUG11-</t>
  </si>
  <si>
    <t>9020000311</t>
  </si>
  <si>
    <t>WB_WN_PWUGnab11</t>
  </si>
  <si>
    <t>9020140003</t>
  </si>
  <si>
    <t>WP_Lic.komp03-P</t>
  </si>
  <si>
    <t>9020160003</t>
  </si>
  <si>
    <t>WP_PWUG nab03-P</t>
  </si>
  <si>
    <t>9021000211</t>
  </si>
  <si>
    <t>Um.WN b/PWUG_Po</t>
  </si>
  <si>
    <t>9021140003</t>
  </si>
  <si>
    <t>UM_Lic.prog.kom</t>
  </si>
  <si>
    <t>9021160003</t>
  </si>
  <si>
    <t>UM_PWUG nabyte(</t>
  </si>
  <si>
    <t>9060000011</t>
  </si>
  <si>
    <t>WP_NI (11)</t>
  </si>
  <si>
    <t>9060010003</t>
  </si>
  <si>
    <t>WP_Nier.inw.Bud</t>
  </si>
  <si>
    <t>9061010003</t>
  </si>
  <si>
    <t>Um_Nier.inwBud0</t>
  </si>
  <si>
    <t>9080100003</t>
  </si>
  <si>
    <t>WP_RAT w bud03P</t>
  </si>
  <si>
    <t>9080100011</t>
  </si>
  <si>
    <t>WP_RATwB (11)</t>
  </si>
  <si>
    <t>9080200003</t>
  </si>
  <si>
    <t>WP_WN n/odd dou</t>
  </si>
  <si>
    <t>9080200011</t>
  </si>
  <si>
    <t>WP_WNnieoddane</t>
  </si>
  <si>
    <t>9092000000</t>
  </si>
  <si>
    <t>KT ewid.wyposaż</t>
  </si>
  <si>
    <t>9210000120</t>
  </si>
  <si>
    <t>Zob.war.udziel.</t>
  </si>
  <si>
    <t>9249990103</t>
  </si>
  <si>
    <t>Rozlicz.inw.nie</t>
  </si>
  <si>
    <t>9290000000</t>
  </si>
  <si>
    <t>KT do pozabil.z</t>
  </si>
  <si>
    <t>9400230111</t>
  </si>
  <si>
    <t>Amortyz. podat.</t>
  </si>
  <si>
    <t>9401100003</t>
  </si>
  <si>
    <t>Amort RAT 03PSR</t>
  </si>
  <si>
    <t>9401190005</t>
  </si>
  <si>
    <t>Am.RAT,WN,NI-05</t>
  </si>
  <si>
    <t>9401190007</t>
  </si>
  <si>
    <t>Amo RAT(07-odpP</t>
  </si>
  <si>
    <t>9401190174</t>
  </si>
  <si>
    <t>AmoRAT(74-MSSFb</t>
  </si>
  <si>
    <t>9401190176</t>
  </si>
  <si>
    <t>AmoRAT(76-PSR b</t>
  </si>
  <si>
    <t>9401194174</t>
  </si>
  <si>
    <t>LE: Am.RAT(74-b</t>
  </si>
  <si>
    <t>9402120003</t>
  </si>
  <si>
    <t>Amort WN 03PSR</t>
  </si>
  <si>
    <t>9402121003</t>
  </si>
  <si>
    <t>Amort PWUGnab03</t>
  </si>
  <si>
    <t>9402190174</t>
  </si>
  <si>
    <t>AmoWN(74-MSSFb.</t>
  </si>
  <si>
    <t>9402190176</t>
  </si>
  <si>
    <t>AmoWN(76-PSR b.</t>
  </si>
  <si>
    <t>9790000000</t>
  </si>
  <si>
    <t>KT.zamk.gr.7</t>
  </si>
  <si>
    <t>9810000000</t>
  </si>
  <si>
    <t>Zys.zat.z lat u</t>
  </si>
  <si>
    <t>9810000001</t>
  </si>
  <si>
    <t>Rozl. wyniku_OD</t>
  </si>
  <si>
    <t>9900000000</t>
  </si>
  <si>
    <t>Poz.p/bilan-mig</t>
  </si>
  <si>
    <t>9920000000</t>
  </si>
  <si>
    <t>Poz.p/bilans-mi</t>
  </si>
  <si>
    <t>9930000000</t>
  </si>
  <si>
    <t>9940000000</t>
  </si>
  <si>
    <t>Rozliczenie zakupu j.pow.ST i WN(w tym przył</t>
  </si>
  <si>
    <t>zmiana stanu netto z tyt. Zakupu ŚT, WN</t>
  </si>
  <si>
    <t>zmiana stanu RZ z tyt. Zakupu ŚT, WN</t>
  </si>
  <si>
    <t>RZW001100000 - Przychody ze sprzedaży towarów i produktów bez wyłączenia podatków i opłat stron trzecich</t>
  </si>
  <si>
    <t>RZW001200000 - Podatki i opłaty pobrane w imieniu stron trzecich</t>
  </si>
  <si>
    <t>RZW013000000 - Przychody z leasingu i wynajmu</t>
  </si>
  <si>
    <t>RZW014000000 - Przychody z tytułu rekompensat KDT/Ustawa prądowa</t>
  </si>
  <si>
    <t>F999:Bilans zamknięcia</t>
  </si>
  <si>
    <t>F000:Bilans otwarcia</t>
  </si>
  <si>
    <t>ATW106000000:Udziały i akcje oraz pozostałe instrumenty kapitałowe</t>
  </si>
  <si>
    <t>ATW113000000:Instrumenty pochodne i inne aktywa wyceniane w wartości godziwej przez wynik finansowy</t>
  </si>
  <si>
    <t>ATW109000000:Uprawnienia do emisji CO2 na własne potrzeby - dł</t>
  </si>
  <si>
    <t>AOW102000000:Uprawnienia do emisji CO2 na własne potrzeby - kr</t>
  </si>
  <si>
    <t>AOW104000000:Instrumenty pochodne i inne aktywa wyceniane w wartości godziwej przez wynik finansowy</t>
  </si>
  <si>
    <t>AOW108000000:Udziały i akcje oraz pozostałe instrumenty kapitałowe</t>
  </si>
  <si>
    <t>ZDW102000000:Pozostałe zobowiązania finansowe</t>
  </si>
  <si>
    <t xml:space="preserve">ZDW107000000:Instrumenty pochodne </t>
  </si>
  <si>
    <t>ZDW108000000:Pozostałe zobowiązania niefinansowe</t>
  </si>
  <si>
    <t>ZKW102000000:Instrumenty pochodne</t>
  </si>
  <si>
    <t>KDW101000000 Kapitał podstawowy</t>
  </si>
  <si>
    <t>KDW107000000 Zyski zatrzymane/ Niepokryte straty (z lat ubiegłych)</t>
  </si>
  <si>
    <t>KDW108000000 Zysk (strata) netto</t>
  </si>
  <si>
    <t>KDW100000000 Kapitał własny przypadający akcjonariuszom jednostki dominującej</t>
  </si>
  <si>
    <t>KMW100000000 Kapitał własny przypisany udziałom niekontrolującym</t>
  </si>
  <si>
    <t>KPW100000000 Kapitał własny ogółem</t>
  </si>
  <si>
    <t>E110:Wycena instrumentów finansowych w korespondencji z innymi całkowitymi dochodami</t>
  </si>
  <si>
    <t>E120:Wycena instrumentów zabezpieczających</t>
  </si>
  <si>
    <t>E130:Zyski/ straty aktuarialne z wyłączeniem stopy dyskonta</t>
  </si>
  <si>
    <t>E140:Zyski/ straty aktuarialne w wyniku zmiany stopy dyskonta</t>
  </si>
  <si>
    <t>E150:Zysk/ strata z reklasyfikacji instrumentów finansowych</t>
  </si>
  <si>
    <t>E160:Zmiana udziału inwestora w jednostce stowarzyszonej</t>
  </si>
  <si>
    <t>F080:Różnice kursowe z przeliczenia jednostki działającej za granicą</t>
  </si>
  <si>
    <t>E180:Podatek odroczony od innych całkowitych dochodów</t>
  </si>
  <si>
    <t>E200:Razem przychody i koszty za rok rozpoznane w kapitale</t>
  </si>
  <si>
    <t>E300:Zysk/strata za rok obrotowy</t>
  </si>
  <si>
    <t>E400:Całkowite dochody za rok obrotowy</t>
  </si>
  <si>
    <t>E910:Przeniesienie zysku netto na zyski zatrzymane</t>
  </si>
  <si>
    <t>E500:Podział zysków lat ubiegłych</t>
  </si>
  <si>
    <t>E510:Dywidenda dla właścicieli</t>
  </si>
  <si>
    <t>E580:Podział wyniku finansowego za rok poprzedni na ZFŚŚ - tylko Gr B</t>
  </si>
  <si>
    <t>E590:Przeniesienie kapitału z aktualizacji wyceny na kapitał zapasowy - tylko Gr B</t>
  </si>
  <si>
    <t>E520:Emisja akcji/Wydanie udziałów - gotówka</t>
  </si>
  <si>
    <t>E525:Emisja akcji/Wydanie udziałów - aport</t>
  </si>
  <si>
    <t>E600:Zmiana wyceny aktywów finansowych - tylko Gr B</t>
  </si>
  <si>
    <t>E530:Koszt emisji akcji</t>
  </si>
  <si>
    <t>E540:Korekta bilansu otwarcia</t>
  </si>
  <si>
    <t>E550:Zmiana zasad rachunkowości</t>
  </si>
  <si>
    <t>F070:Połączenie jednostek</t>
  </si>
  <si>
    <t>F098:Wyjście jednostki z GK</t>
  </si>
  <si>
    <t>F001:Nabycie nowej spółki zależnej</t>
  </si>
  <si>
    <t>E900:Pozostałe zmiany kapitałów</t>
  </si>
  <si>
    <t>CFWN30301000:odsetki kosztowe zapłacone od cash pool</t>
  </si>
  <si>
    <t>CFWN30301100:odsetki naliczone od leasingu</t>
  </si>
  <si>
    <t xml:space="preserve">CFWN30301200:odsetki zapłacone od leasingu </t>
  </si>
  <si>
    <t>CFWN30301800:odsetki przychodowe zapłacone od cash pool</t>
  </si>
  <si>
    <t>CFWN30501300:korekta o zmianę stanu lokat i depozytów (powyżej 3 m-cy)</t>
  </si>
  <si>
    <t>CFWN30501400:korekat o zmianę stanu należności z tytułu cash pool</t>
  </si>
  <si>
    <t>CFWN30600400:korekta o pobrane materiały z mag.eksploat.na inwestycje i inne przeks. z zapasów na RAT</t>
  </si>
  <si>
    <t>CFWN30701500:bilansowa zmiana stanu pozostałych zobowiązań niefinansowych długoterminowych</t>
  </si>
  <si>
    <t>CFWN30701400:korekat o zmianę stanu zobowiązań z tytułu podatku dochodowego PGK</t>
  </si>
  <si>
    <t>CFWN30800800:korekat o zmianę stanu należności z tytułu podatku dochodowego PGK</t>
  </si>
  <si>
    <t>CFWN31000700:korekta o otrzymane dotacje do aktywów trwałych</t>
  </si>
  <si>
    <t>CFWN31100500:zmiana stanu innych rezerw w korespondencji z zyskami zatrzymanymi</t>
  </si>
  <si>
    <t>CF Działalność operacyjna</t>
  </si>
  <si>
    <t>3. Zobowiązania z tytułu kredytów i pożyczek</t>
  </si>
  <si>
    <t xml:space="preserve">CFWN30799000:pozostałe korekty </t>
  </si>
  <si>
    <t>Sprawozdanie z przepływów pieniężnych</t>
  </si>
  <si>
    <t>CFW041700000:Wpływ rat z leasingu finansowego, bez odsetek</t>
  </si>
  <si>
    <t>CFW042200000:Wpływ odsetek z leasingu finansowego</t>
  </si>
  <si>
    <t>CFW050200000:Spłata zobowiązań z tytułu leasingu, bez odsetek</t>
  </si>
  <si>
    <t>CFW052200000:Spłata odsetek z leasingu</t>
  </si>
  <si>
    <t>CFW050800000:Pozostałe odsetki i prowizje zapłacone</t>
  </si>
  <si>
    <t>Poniżej przedstawiono analizę najbardziej istotnych pozycji sprawozdania z przepływów pieniężnych.</t>
  </si>
  <si>
    <t>Odsetki i dywidendy</t>
  </si>
  <si>
    <t>Rok zakończony</t>
  </si>
  <si>
    <t>Dywidendy należne</t>
  </si>
  <si>
    <t>Odsetki</t>
  </si>
  <si>
    <t>RAZEM ODSETKI I DYWIDENDY</t>
  </si>
  <si>
    <t>(Zysk)/ strata na działalności inwestycyjnej</t>
  </si>
  <si>
    <t>Zysk/ (strata) na sprzedaży rzeczowych aktywów trwałych</t>
  </si>
  <si>
    <t>Wartość netto zlikwidowanych rzeczowych aktywów trwałych</t>
  </si>
  <si>
    <t>RAZEM (ZYSK)/ STRATA NA DZIAŁALNOŚCI INWESTYCYJNEJ</t>
  </si>
  <si>
    <t>Zmiana stanu należności</t>
  </si>
  <si>
    <t xml:space="preserve">Zmiana stanu należności z tytułu dostaw i usług </t>
  </si>
  <si>
    <t>Zmiana stanu pożyczek i pozostałych należności finansowych krótkoterminowych</t>
  </si>
  <si>
    <t>Korekta o zmianę stanu pożyczek udzielonych  (w tym cash pooling)</t>
  </si>
  <si>
    <t>Zmiana stanu pożyczek i należności długoterminowych</t>
  </si>
  <si>
    <t>Korekta o zmianę stanu należności z tytułu zbycia rzeczowych aktywów trwałych</t>
  </si>
  <si>
    <t>Pozostałe</t>
  </si>
  <si>
    <t>RAZEM ZMIANA STANU POŻYCZEK I NALEŻNOŚCI</t>
  </si>
  <si>
    <t>Zmiana stanu zapasów</t>
  </si>
  <si>
    <t xml:space="preserve">Rok zakończony  </t>
  </si>
  <si>
    <t>RAZEM ZMIANA STANU ZAPASÓW</t>
  </si>
  <si>
    <t>Zmiana stanu zobowiązań z wyjątkiem kredytów i pożyczek</t>
  </si>
  <si>
    <t>Zmiana stanu zobowiązań z tytułu dostaw i usług</t>
  </si>
  <si>
    <t>Zmiana stanu pozostałych zobowiązań finansowych</t>
  </si>
  <si>
    <t>Zmiana stanu pozostałych zobowiązań niefinansowych</t>
  </si>
  <si>
    <t>Korekta o zmianę stanu zobowiązań inwestycyjnych</t>
  </si>
  <si>
    <t>Korekta o naliczone zobowiązanie z tytułu MSSF 16</t>
  </si>
  <si>
    <t>RAZEM ZMIANA STANU ZOBOWIĄZAŃ Z WYJĄTKIEM KREDYTÓW I POŻYCZEK</t>
  </si>
  <si>
    <t>Zmiana stanu pozostałych aktywów niefinansowych</t>
  </si>
  <si>
    <t>Zmiana stanu pozostałych aktywów krótkoterminowych</t>
  </si>
  <si>
    <t>Zmiana rozliczeń międzyokresowych przychodów krótkoterminowych</t>
  </si>
  <si>
    <t>RAZEM ZMIANA STANU POZOSTAŁYCH AKTYWÓW NIEFINANSOWYCH</t>
  </si>
  <si>
    <t>Zmiana stanu rezerw</t>
  </si>
  <si>
    <t>Zmiana stanu rezerw długoterminowych</t>
  </si>
  <si>
    <t>Zmiana stanu rezerw krótkoterminowych</t>
  </si>
  <si>
    <t>Korekta o zmianę stanu rezerw z tytułu zysków i strat aktuarialnych</t>
  </si>
  <si>
    <t>RAZEM ZMIANA STANU REZERW</t>
  </si>
  <si>
    <t>Podatek dochodowy zapłacony</t>
  </si>
  <si>
    <t>Podatek dochodowy ujęty w rachunku zysku i strat</t>
  </si>
  <si>
    <t>Podatek odroczony od innych całkowitych dochodów</t>
  </si>
  <si>
    <t>Zmiana stanu aktywów na odroczony podatek dochodowy</t>
  </si>
  <si>
    <t>Zmiana stanu zobowiązań z tytułu podatku dochodowego</t>
  </si>
  <si>
    <t>Pozostałe  (ujęte w kapitałach własnych)</t>
  </si>
  <si>
    <t>RAZEM  PODATEK DOCHODOWY ZAPŁACONY</t>
  </si>
  <si>
    <t>jak dojdą nowe umowy z MSSF 16 w ciągu roku to tutaj wpisać ich warość początkową (z umowy MSSF 16 zakładka dodanej umowy / lub kilku, kolumna G (wartość bieżąca netto))</t>
  </si>
  <si>
    <t>Okres zakończony</t>
  </si>
  <si>
    <t>SPRAWOZDANIE Z PRZEPŁYWÓW PIENIĘŻNYCH</t>
  </si>
  <si>
    <t>PRZEPŁYWY ŚRODKÓW PIENIĘŻNYCH Z DZIAŁALNOŚCI OPERACYJNEJ</t>
  </si>
  <si>
    <r>
      <t>Zysk brutto</t>
    </r>
    <r>
      <rPr>
        <b/>
        <sz val="8"/>
        <color rgb="FF231F20"/>
        <rFont val="Calibri"/>
        <family val="2"/>
        <charset val="238"/>
        <scheme val="minor"/>
      </rPr>
      <t xml:space="preserve"> </t>
    </r>
  </si>
  <si>
    <t>Amortyzacja i odpisy aktualizujące</t>
  </si>
  <si>
    <t>Odsetki i dywidendy, netto</t>
  </si>
  <si>
    <t>Zysk/ strata na działalności inwestycyjnej</t>
  </si>
  <si>
    <t>Zmiana stanu zobowiązań z wyjątkiem kredytów i pożyczek</t>
  </si>
  <si>
    <t xml:space="preserve">ŚRODKI PIENIĘŻNE NETTO Z DZIAŁALNOŚCI OPERACYJNEJ </t>
  </si>
  <si>
    <t>PRZEPŁYWY ŚRODKÓW PIENIĘŻNYCH Z DZIAŁALNOŚCI INWESTYCYJNEJ</t>
  </si>
  <si>
    <t>Sprzedaż rzeczowych aktywów trwałych i wartości niematerialnych</t>
  </si>
  <si>
    <t>Nabycie rzeczowych aktywów trwałych i wartości niematerialnych</t>
  </si>
  <si>
    <t>(Nabycie)/wykup obligacji emitowanych przez spółki Grupy PGE</t>
  </si>
  <si>
    <t>Sprzedaż pozostałych aktywów finansowych</t>
  </si>
  <si>
    <t>Wydatki na nabycie spółek zależnych</t>
  </si>
  <si>
    <t>Nabycie pozostałych aktywów finansowych</t>
  </si>
  <si>
    <t>Dywidendy otrzymane</t>
  </si>
  <si>
    <t>Założenie lokat o okresie zapadalności powyżej 3 m-cy</t>
  </si>
  <si>
    <t>Rozwiązanie lokat powyżej 3 m-cy</t>
  </si>
  <si>
    <t>Udzielenie/(spłaty) pożyczek w ramach usługi cash poolingu</t>
  </si>
  <si>
    <t>Udzielenie pożyczek</t>
  </si>
  <si>
    <t>Odsetki otrzymane</t>
  </si>
  <si>
    <t>Spłata udzielonych pożyczek</t>
  </si>
  <si>
    <t>ŚRODKI PIENIĘŻNE NETTO Z DZIAŁALNOŚCI INWESTYCYJNEJ</t>
  </si>
  <si>
    <t>PRZEPŁYWY ŚRODKÓW PIENIĘŻNYCH Z DZIAŁALNOŚCI FINANSOWEJ</t>
  </si>
  <si>
    <t>Wpływy z tytułu zaciągnięcia pożyczek, kredytów i emisji obligacji</t>
  </si>
  <si>
    <t>Spłata pożyczek, kredytów, obligacji i leasingu finansowego</t>
  </si>
  <si>
    <t>Dywidendy wypłacone akcjonariuszom</t>
  </si>
  <si>
    <t>Spłata kredytów i pożyczek</t>
  </si>
  <si>
    <t>Spłata zobowiązań z tytułu cash poolingu</t>
  </si>
  <si>
    <t>Odsetki zapłacone</t>
  </si>
  <si>
    <t>ŚRODKI PIENIĘŻNE NETTO Z DZIAŁALNOŚCI FINANSOWEJ</t>
  </si>
  <si>
    <t xml:space="preserve">ZMIANA NETTO STANU ŚRODKÓW PIENIĘŻNYCH I ICH EKWIWALENTÓW </t>
  </si>
  <si>
    <t>Różnice kursowe netto</t>
  </si>
  <si>
    <t>ŚRODKI PIENIĘŻNE NA POCZĄTEK OKRESU</t>
  </si>
  <si>
    <t>ŚRODKI PIENIĘŻNE NA KONIEC OKRESU</t>
  </si>
  <si>
    <t xml:space="preserve">Zmiana stanu pozostałych aktywów niefinansowych </t>
  </si>
  <si>
    <t>minus odmowy zapłaty Betrans</t>
  </si>
  <si>
    <t>analiza - przerzucić na odpowiednie konta (np. ZFSS)</t>
  </si>
  <si>
    <t>Obroty Ma - WP_RAT w budowie</t>
  </si>
  <si>
    <t>BO - WP_RAT w budowie</t>
  </si>
  <si>
    <t>BZ - WP_RAT w budowie</t>
  </si>
  <si>
    <t>Obroty Ma - WP_WN w budowie</t>
  </si>
  <si>
    <t>BO - WP_WN w budowie</t>
  </si>
  <si>
    <t>BZ - WP_WN w budowie</t>
  </si>
  <si>
    <t>Obr W-n - Rozl.nak.inw</t>
  </si>
  <si>
    <t>Saldo - Rozl.nak.inw</t>
  </si>
  <si>
    <t>BO W-n - Zob f. DKP_Cash</t>
  </si>
  <si>
    <t>BO Ma - Zob f. DKP_Cash</t>
  </si>
  <si>
    <t>BZ W-n - Zob f. DKP_Cash</t>
  </si>
  <si>
    <t>BZ Ma - Zob f. DKP_Cash</t>
  </si>
  <si>
    <t>Zob poz fin wobec DKNP - wadia</t>
  </si>
  <si>
    <t>Zob poz fin wobec DKNP kaucje</t>
  </si>
  <si>
    <t xml:space="preserve">Zob poz fin wobec DKP kaucje </t>
  </si>
  <si>
    <t>c) Rozrachunki z tyt.ZFŚS (węzeł)</t>
  </si>
  <si>
    <t>zapłacone odsetki - leasing wg MSSF 16 - wieczyste</t>
  </si>
  <si>
    <t>naliczone odsetki - leasing wg MSSF 16 - wieczyste</t>
  </si>
  <si>
    <t>zmiana stanu zobowiązań z tyt. Leasingu z bilansu</t>
  </si>
  <si>
    <t>zapłacone raty MSSF 16</t>
  </si>
  <si>
    <t>leasing samochodu - nowa umowa - środki trwałe</t>
  </si>
  <si>
    <t>Sprzedaż rzeczowych aktywów trwałych i wartości niematerialnych z RZiS</t>
  </si>
  <si>
    <t>zmiana stanu należności z tytułu zbycia rzeczowych aktywów trwałych (z minusem)</t>
  </si>
  <si>
    <t>Konta</t>
  </si>
  <si>
    <t xml:space="preserve">odsetki kosztowe naliczone </t>
  </si>
  <si>
    <t xml:space="preserve">odsetki przychodowe naliczone </t>
  </si>
  <si>
    <t>zmiana stanu Zob DKP leas fi</t>
  </si>
  <si>
    <t>nowa umowa leasingu (k-ł) z zestawienia leasing do CIT</t>
  </si>
  <si>
    <t>na koniec pozostałe korekty po rozliczeniu wszystkiego</t>
  </si>
  <si>
    <t>wpisać w XII z wyceny aktuarialnej albo minus, albo = (sprawdzić) poz. D19 i ująć w korektach pozostałych pozycji</t>
  </si>
  <si>
    <t>Komentarz</t>
  </si>
  <si>
    <t>długoterminowe</t>
  </si>
  <si>
    <t>krótkoterminowe</t>
  </si>
  <si>
    <t>IAW002000000:Pożyczki i należności, w tym:</t>
  </si>
  <si>
    <t>konto sumujące</t>
  </si>
  <si>
    <t>IAW002010000:Należności z tytułu dostaw i usług, w tym:</t>
  </si>
  <si>
    <t>IAW002010100:doszacowanie w GK PGE</t>
  </si>
  <si>
    <t>IAW002010200:doszacowanie poza GK PGE</t>
  </si>
  <si>
    <t>Razem IAW002020100:Należności z tytułu leasingu finansowego</t>
  </si>
  <si>
    <t>Razem IAW002021400:Należności z tytułu leasingu MSSF16</t>
  </si>
  <si>
    <t>Razem IAW002020300:Pożyczki udzielone</t>
  </si>
  <si>
    <t>Razem IAW002021200:Należności z tyt. cash poolingu</t>
  </si>
  <si>
    <t>Razem IAW002020400:Obligacje spółek</t>
  </si>
  <si>
    <t>Razem IAW002020500:Należności od pracowników</t>
  </si>
  <si>
    <t>Razem IAW002020600:Należności z tytułu sprzedaży RAT i WN</t>
  </si>
  <si>
    <t>Razem IAW002020700:Lokaty i depozyty</t>
  </si>
  <si>
    <t>Razem IAW002030000:Inne należności finansowe - wartość netto</t>
  </si>
  <si>
    <t>Razem IAW002020900:Kaucje i wadia</t>
  </si>
  <si>
    <t>Razem IAW002021000:Należności z tytułu nielegalnego poboru energii</t>
  </si>
  <si>
    <t>Razem IAW002022000:Odszkodowania i kary</t>
  </si>
  <si>
    <t>Razem IAW002023000:Zabezpieczenie rynek bilansujący</t>
  </si>
  <si>
    <t>Razem IAW002021100:Pożyczki udzielone w ramach ZFŚS - tylko Gr. B</t>
  </si>
  <si>
    <t>Razem IAW002020800:Rekompensaty KDT/Ustawa Prądowa</t>
  </si>
  <si>
    <t>POZOSTAŁE NALEŻNOŚCI FINANSOWE - POZOSTAŁE - LISTING</t>
  </si>
  <si>
    <t>Listing nr 1</t>
  </si>
  <si>
    <t>Razem IAW002029999:Pozostałe należności finansowe - Listing</t>
  </si>
  <si>
    <t>DO CHECKU - WIEKOWANIE</t>
  </si>
  <si>
    <t>IAWW02020100:Należności z tytułu leasingu finansowego - w.netto - Z01:Podmioty z grupy PGE - F999:Bilans zamknięcia</t>
  </si>
  <si>
    <t>IAWW02020100:Należności z tytułu leasingu finansowego - w.netto - X01:Pozostałe podmioty - F999:Bilans zamknięcia</t>
  </si>
  <si>
    <t>IAWW02020200:Papiery dłużne, w tym obligacje - w.netto - X01:Pozostałe podmioty - F999:Bilans zamknięcia</t>
  </si>
  <si>
    <t>IAWW02020300:Pożyczki udzielone - w.netto - Z01:Podmioty z grupy PGE - F999:Bilans zamknięcia</t>
  </si>
  <si>
    <t>IAWW02020300:Pożyczki udzielone - w.netto - X01:Pozostałe podmioty - F999:Bilans zamknięcia</t>
  </si>
  <si>
    <t>IAWW02020600:Należności z tytułu sprzedaży RAT i WN - w.netto - Z01:Podmioty z grupy PGE - F999:Bilans zamknięcia</t>
  </si>
  <si>
    <t>IAWW02020600:Należności z tytułu sprzedaży RAT i WN - w.netto - X01:Pozostałe podmioty - F999:Bilans zamknięcia</t>
  </si>
  <si>
    <t>IAWW02030000:Inne należności finansowe - w.netto - Z01:Podmioty z grupy PGE - F999:Bilans zamknięcia</t>
  </si>
  <si>
    <t>IAWW02030000:Inne należności finansowe - w.netto - X01:Pozostałe podmioty - F999:Bilans zamknięcia</t>
  </si>
  <si>
    <t>IAW002110000:Należności z tytułu dostaw i usług - wartość brutto</t>
  </si>
  <si>
    <t>SF-A-060 - Należności z tytułu dostaw i usług</t>
  </si>
  <si>
    <t>B17:MegaSerwis sp. z o.o.</t>
  </si>
  <si>
    <t>B58:BETRANS sp. z o.o.</t>
  </si>
  <si>
    <t>G03:Oddział Kopalnia Węgla Brunatnego Turów</t>
  </si>
  <si>
    <t>G05:Oddział Elektrownia Turów</t>
  </si>
  <si>
    <t>G07:Oddział Elektrownia Opole</t>
  </si>
  <si>
    <t>KNTR0022:Centrozłom Wrocław S.A.</t>
  </si>
  <si>
    <t>TOTAL Jednostki zależne od SP</t>
  </si>
  <si>
    <t>TOTAL Jednostki A i B GK PGE</t>
  </si>
  <si>
    <t>X01:Pozostałe podmioty</t>
  </si>
  <si>
    <t>IAW004000000:Instrumenty pochodne i inne aktywa wyceniane w wartości godziwej przez wynik finansowy:</t>
  </si>
  <si>
    <t>IAW004010000:Instrumenty pochodne</t>
  </si>
  <si>
    <t>IAW004020000:Wydzielone wbudowane instrumenty pochodne</t>
  </si>
  <si>
    <t>IAW004030000:Papiery dłużne przedsiębiorstw</t>
  </si>
  <si>
    <t>IAW004040000:Jednostki uczestnictwa w funduszach inwestycyjnych</t>
  </si>
  <si>
    <t>IAW004990000:Pozostałe aktywa finansowe</t>
  </si>
  <si>
    <t>IAW004050000:Środki pieniężne i ich ekwiwalenty</t>
  </si>
  <si>
    <t>IAW004050100:Środki pieniężne w banku i w kasie</t>
  </si>
  <si>
    <t>IAW004050200:Lokaty typu overnight</t>
  </si>
  <si>
    <t>IAW004050300:Lokaty krótkoterminowe do 3 miesięcy od momentu zawarcia lokaty</t>
  </si>
  <si>
    <t>IAW004050500:VAT - Split payment</t>
  </si>
  <si>
    <t>IAW004050400:Środki pieniężne i ich ekwiwalenty - ZFŚS - tylko Gr B</t>
  </si>
  <si>
    <t>W wartości środków pieniężnych i ekwiwalentów zawarte są środki pieniężne o ograniczonej możliwości dysponowania, w tym:</t>
  </si>
  <si>
    <t>na rachunkach klientów PGE DM stanowiące zabezpieczenie rozliczeń z IRGT S.A.</t>
  </si>
  <si>
    <t>kaucji i wadiów</t>
  </si>
  <si>
    <t>SF-A-090 Instrumenty pochodne i inne aktywa wyceniane w wartości godziwej przez wynik finansowy oraz środki pieniężne</t>
  </si>
  <si>
    <t>AOW109000100:Podatek od czynności cywilno prawnych</t>
  </si>
  <si>
    <t>AOW109000200:Ubezpieczenia majątkowe i deliktowe</t>
  </si>
  <si>
    <t>AOW109000300:Usługi informatyczne</t>
  </si>
  <si>
    <t>AOW109000400:Rozliczenie w czasie podatku od nieruchomości</t>
  </si>
  <si>
    <t>AOW109000500:Prenumerata</t>
  </si>
  <si>
    <t>AOW109000600:Składki członkowskie, szkolenia</t>
  </si>
  <si>
    <t>AOW109000700:Opłata z tytułu wieczystego użytkowania gruntów</t>
  </si>
  <si>
    <t>AOW109000800:ZFŚS</t>
  </si>
  <si>
    <t>AOW109000900:Usługi informacyjne</t>
  </si>
  <si>
    <t>AOW109001200:Koszty pozyskania klienta  m.in.: prowizja agencyjne</t>
  </si>
  <si>
    <t>AOW109001000:Doszacowanie (korekta) kosztów</t>
  </si>
  <si>
    <t>AOW109001100:Doszacowanie energii na różnicę bilansową  :</t>
  </si>
  <si>
    <t>Total GK PGE</t>
  </si>
  <si>
    <t>AOW109001100:Doszacowanie energii na różnicę bilansową  X01:Pozostałe podmioty</t>
  </si>
  <si>
    <t>Razem Doszacowanie energii na różnicę bilansową</t>
  </si>
  <si>
    <t>AOW109001300:Należności z tytułu naliczonego VAT</t>
  </si>
  <si>
    <t>AOW109001400:Należności z tytułu akcyzy</t>
  </si>
  <si>
    <t>AOW109001500:Pozostałe należności z tytułu podatków</t>
  </si>
  <si>
    <t>AOW109001600:Zaliczki na dostawy</t>
  </si>
  <si>
    <t>AOW109001700:Przedpłaty na dostawy</t>
  </si>
  <si>
    <t>AOW109001800:Należności z tytułu dywidendy</t>
  </si>
  <si>
    <t>AOW109001800:Należności z tytułu dywidendy  :</t>
  </si>
  <si>
    <t>AOW109001800:Należności z tytułu dywidendy  X01:Pozostałe podmioty</t>
  </si>
  <si>
    <t>Razem Należności z tytułu dywidendy</t>
  </si>
  <si>
    <t>AOW109002000:Należności z tyt. rozliczeń w Podatkowej GK</t>
  </si>
  <si>
    <t>AOW109002000:Należności z tyt. rozliczeń w Podatkowej GK  :</t>
  </si>
  <si>
    <t>AOW109002000:Należności z tyt. rozliczeń w Podatkowej GK  X01:Pozostałe podmioty</t>
  </si>
  <si>
    <t>Razem Należności z tyt. rozliczeń w Podatkowej GK</t>
  </si>
  <si>
    <t>AOW109001900:Doszacowanie sprzedaży</t>
  </si>
  <si>
    <t>AOW109001910:Doszacowanie sprzedaży - doszacowanie usługi dystrybucyjnej  :</t>
  </si>
  <si>
    <t>AOW109001910:Doszacowanie sprzedaży - doszacowanie usługi dystrybucyjnej  X01:Pozostałe podmioty</t>
  </si>
  <si>
    <t>AOW109001920:Doszacowanie sprzedaży - doszacowanie sprzedaży energii elektrycznej  X01:Pozostałe podmioty</t>
  </si>
  <si>
    <t>AOW109009000:Pozostałe koszty rozliczane w czasie</t>
  </si>
  <si>
    <t>AOW109009500:Pozostałe aktywa krótkoterminowe  - pozostałe</t>
  </si>
  <si>
    <t>AOW109010000:Pozostałe aktywa krótkoterminowe -Razem</t>
  </si>
  <si>
    <t>Razem AOW109009998:Pozostałe koszty rozliczane w czasie - Listing</t>
  </si>
  <si>
    <t>doszacowanie sprzedaży</t>
  </si>
  <si>
    <t>Listing nr 2</t>
  </si>
  <si>
    <t>Razem AOW109009999:Pozostałe aktywa krótkoterminowe  - pozostałe - Listing</t>
  </si>
  <si>
    <t xml:space="preserve">SF-A-150 Pozostałe aktywa krótkoterminowe </t>
  </si>
  <si>
    <t>z bilansem</t>
  </si>
  <si>
    <t>nr kontrahenta</t>
  </si>
  <si>
    <t>2000034</t>
  </si>
  <si>
    <t>2000049</t>
  </si>
  <si>
    <t>2000082</t>
  </si>
  <si>
    <t>2000091</t>
  </si>
  <si>
    <t>2000250</t>
  </si>
  <si>
    <t>200 000 0000</t>
  </si>
  <si>
    <t>300 160 0000</t>
  </si>
  <si>
    <t>2100239</t>
  </si>
  <si>
    <t>205 000 0000</t>
  </si>
  <si>
    <t>Razem spółki w GK PGE S.A.  IZW002010000:Zobowiązania z tytułu dostaw i usług, w tym:</t>
  </si>
  <si>
    <t>Razem jednostki zależne od SP  IZW002010000:Zobowiązania z tytułu dostaw i usług, w tym:</t>
  </si>
  <si>
    <t>Razem IZW002010000:Zobowiązania z tytułu dostaw i usług, w tym:</t>
  </si>
  <si>
    <t>B17 MegaSerwis sp. z o.o.</t>
  </si>
  <si>
    <t>B27 PGE Systemy S.A.</t>
  </si>
  <si>
    <t>B58 BETRANS sp. z o.o.</t>
  </si>
  <si>
    <t>B63 ELBEST Security sp. z o.o.</t>
  </si>
  <si>
    <t>C01 PGE Polska Grupa Energetyczna S.A.</t>
  </si>
  <si>
    <t>G03 Oddział Kopalnia Węgla Brunatnego Turów</t>
  </si>
  <si>
    <t>G05 Oddział Elektrownia Turów</t>
  </si>
  <si>
    <t>G07 Oddział Elektrownia Opole</t>
  </si>
  <si>
    <t>KNTR0159 PKN Orlen S.A.</t>
  </si>
  <si>
    <t>KNTR0242 Tauron Sprzedaż Sp z o.o.</t>
  </si>
  <si>
    <t>ELKOM</t>
  </si>
  <si>
    <t>konto</t>
  </si>
  <si>
    <t>210 000 0000</t>
  </si>
  <si>
    <t>Mostostal Siedlce</t>
  </si>
  <si>
    <t>różnica do 210</t>
  </si>
  <si>
    <t>300 010 0000</t>
  </si>
  <si>
    <t>300 990 0000</t>
  </si>
  <si>
    <t>odmowa zapłaty</t>
  </si>
  <si>
    <t>SF-Z-020 Zobowiązania z tytułu dostaw i usług</t>
  </si>
  <si>
    <t>IZW002000000:Inne zobowiązania finansowe, w tym:</t>
  </si>
  <si>
    <t>IZW002010000:Zobowiązania z tytułu dostaw i usług, w tym:</t>
  </si>
  <si>
    <t>IZW002010100:doszacowanie w GK PGE</t>
  </si>
  <si>
    <t>IZW002010200:doszacowanie poza GK PGE</t>
  </si>
  <si>
    <t>IZW002020000:Zobowiązania z tytułu leasingu finansowego</t>
  </si>
  <si>
    <t>IZW002140000:Zobowiązania z tytułu leasingu MSSF16</t>
  </si>
  <si>
    <t>IZW002030000:Wyemitowane obligacje i inne papiery dłużne</t>
  </si>
  <si>
    <t>IZW002040000:Oprocentowane kredyty i pożyczki</t>
  </si>
  <si>
    <t>IZW002100000:Zobowiązania z tyt. cash poolingu</t>
  </si>
  <si>
    <t>IZW002050000:Zobowiązania z tytułu zakupu RAT i WN</t>
  </si>
  <si>
    <t>IZW002060000:Zobowiązania z tytułu sprzedanych nalezności z regresem</t>
  </si>
  <si>
    <t>IZW002070000:Rekompensata z tytułu KDT</t>
  </si>
  <si>
    <t>IZW002080000:Doszacowanie kosztów</t>
  </si>
  <si>
    <t>Razem IZW002080100: - doszacowanie energii na różnicę bilansową</t>
  </si>
  <si>
    <t>Razem IZW002080200: - doszacowanie usługi dystrybucyjnej</t>
  </si>
  <si>
    <t>Razem IZW002080300: - doszacowanie opłaty systemowej</t>
  </si>
  <si>
    <t>IZW002990000:Inne zobowiązania finansowe</t>
  </si>
  <si>
    <t>Razem IZW002990100:Kaucje i wadia</t>
  </si>
  <si>
    <t>Razem IZW002990200:Ubezpieczenia</t>
  </si>
  <si>
    <t>Razem IZW002999900:Pozostałe zobowiązania finansowe - pozostałe</t>
  </si>
  <si>
    <t>POZOSTAŁE ZOBOWIĄZANIA FINANSOWE - POZOSTAŁE - LISTING</t>
  </si>
  <si>
    <t>Razem IZW002999999:Pozostałe zobowiązania finansowe - Listing</t>
  </si>
  <si>
    <t>2 kaucje - jednostki pozostałe</t>
  </si>
  <si>
    <t>1 kaucje - jednostki powiązane</t>
  </si>
  <si>
    <t>PRW000100000 Świadczenia emerytalne oraz inne świadczenia po okresie zatrudnienia ogółem</t>
  </si>
  <si>
    <t>PRW000200000 Nagrody jubileuszowe</t>
  </si>
  <si>
    <t>PRW002000000 Sprawy pracownicze</t>
  </si>
  <si>
    <t>PRW003000000 Rezerwa na PDO (restrukturyzacja)</t>
  </si>
  <si>
    <t>PRW004000000 Rezerwa na premie dla pracowników (premia roczna, kwartalne, barbórka, itp..)</t>
  </si>
  <si>
    <t>PRW005000000 Niewykorzystane urlopy</t>
  </si>
  <si>
    <t>PRW006000000 Roszczenia od kontrahentów</t>
  </si>
  <si>
    <t>PRW007000000 Rezerwa na koszty rekultywacji</t>
  </si>
  <si>
    <t>PRW110000000 Koszty likwidacji rzeczowych aktywów trwałych</t>
  </si>
  <si>
    <t>PRW008000000 Obowiązek umorzenia uprawnień do emisji Co2</t>
  </si>
  <si>
    <t>PRW009000000 Obowiązek umorzenia praw majątkowych</t>
  </si>
  <si>
    <t>PRW211000000 Na spory sądowe (z wyjątkiem bezumownego korzystania z nieruchomości)</t>
  </si>
  <si>
    <t>PRW312000000 Na spory sadowe z tytułu bezumownego korzystania z nieruchomości</t>
  </si>
  <si>
    <t>PRW413000000 Przedsądowe roszczenia      o bezumowne korzystanie z nieruchomości</t>
  </si>
  <si>
    <t>PRW614000000 Pozostałe rezerwy na świadczenia pracownicze</t>
  </si>
  <si>
    <t>PRW715000000 Podatek od nieruchomości</t>
  </si>
  <si>
    <t>PRW816000000 Nagrody dla Zarządu</t>
  </si>
  <si>
    <t>PRW999000000 Inne rezerwy</t>
  </si>
  <si>
    <t>PRW100000000 Razem rezerwy</t>
  </si>
  <si>
    <t>SF-Z-040-M Stan rezerw KR/DŁ - miesięcznie</t>
  </si>
  <si>
    <t>Zmiany stanu rezerw</t>
  </si>
  <si>
    <t>X01 Pozostałe podmioty</t>
  </si>
  <si>
    <t>ZKW105000100:Podatek akcyzowy</t>
  </si>
  <si>
    <t>ZKW105000200:Podatek VAT</t>
  </si>
  <si>
    <t>ZKW105000300:Podatek zryczałtowany u źródła</t>
  </si>
  <si>
    <t>ZKW105000400:Zobowiązania z tytułu ubezpieczeń społecznych</t>
  </si>
  <si>
    <t>ZKW105000500:Podatek dochodowy od osób fizycznych</t>
  </si>
  <si>
    <t>ZKW105000600:Opłaty za korzystanie ze środowiska</t>
  </si>
  <si>
    <t>ZKW105000700:Podatek od nieruchomości</t>
  </si>
  <si>
    <t>ZKW105000800:Zobowiązania z tytułu wynagrodzeń</t>
  </si>
  <si>
    <t>ZKW105000900:Premie  dla pracowników (premia roczna, kwartalna)</t>
  </si>
  <si>
    <t>ZKW105002100:Niewykorzystane urlopy</t>
  </si>
  <si>
    <t>ZKW105001000:Szacunki na zobowiązania z tyt. Barbórki i Dnia Energetyka</t>
  </si>
  <si>
    <t>ZKW105001100:Szacunki na zobowiązania z tytułu PDO (deklaracja pracownika)</t>
  </si>
  <si>
    <t>ZKW105001200:Nagrody dla Zarządu</t>
  </si>
  <si>
    <t>ZKW105002200:Szacunki na zobowiązania z tyt. innych świadczeń pracowniczych</t>
  </si>
  <si>
    <t>ZKW105001300:PFRON</t>
  </si>
  <si>
    <t>ZKW105001400:Pracowniczy Program Emerytalny</t>
  </si>
  <si>
    <t>ZKW105001500:Zobowiązania z tytułu programów akcji pracowniczych</t>
  </si>
  <si>
    <t>ZKW105001600:Wpłaty kontrahentów dot. przychodów przyszłych okresów</t>
  </si>
  <si>
    <t>ZKW105001700:Zaliczki otrzymane na dostawy</t>
  </si>
  <si>
    <t>ZKW105001800:Rozrachunki z tyt. ZFŚS</t>
  </si>
  <si>
    <t>ZKW105001900:Zobowiązania z tytułu dywidendy</t>
  </si>
  <si>
    <t>ZKW105002000:Zobowiązania z tyt. rozliczeń w Podatkowej GK</t>
  </si>
  <si>
    <t>ZKW105009900:Pozostałe zobowiązania niefinansowe - pozostałe</t>
  </si>
  <si>
    <t>ZKW105010000:Razem pozostałe zobowiązania niefinansowe</t>
  </si>
  <si>
    <t>ZDW108000100:Szacunki na zobowiązania z tytułu PDO (deklaracja pracownika)</t>
  </si>
  <si>
    <t>ZDW108000200:Szacunki na zobowiązania z tyt. innych świadczeń pracowniczych</t>
  </si>
  <si>
    <t>ZDW108000300:Wpłaty kontrahentów dot. przychodów przyszłych okresów</t>
  </si>
  <si>
    <t>ZDW108000400:Zaliczki otrzymane na dostawy</t>
  </si>
  <si>
    <t>ZDW108009900:Pozostałe zobowiązania niefinansowe - pozostałe</t>
  </si>
  <si>
    <t>ZDW108010000:Razem pozostałe zobowiązania niefinansowe</t>
  </si>
  <si>
    <t>SF-Z-070 Pozostałe zobowiązania niefinansowe</t>
  </si>
  <si>
    <t>kontrahent</t>
  </si>
  <si>
    <t>2008000007</t>
  </si>
  <si>
    <t>2008000008</t>
  </si>
  <si>
    <t>2058000007</t>
  </si>
  <si>
    <t>2058000008</t>
  </si>
  <si>
    <t>2058030000</t>
  </si>
  <si>
    <t>Nal OKNP kary u</t>
  </si>
  <si>
    <t>2158000006</t>
  </si>
  <si>
    <t>2158000007</t>
  </si>
  <si>
    <t>2158000008</t>
  </si>
  <si>
    <t>4031000009</t>
  </si>
  <si>
    <t>Amort.-nieruch.</t>
  </si>
  <si>
    <t>4301070000</t>
  </si>
  <si>
    <t>Poz.k.trans.pal</t>
  </si>
  <si>
    <t>4307400000</t>
  </si>
  <si>
    <t>Poz.usł.środowi</t>
  </si>
  <si>
    <t>4427100009</t>
  </si>
  <si>
    <t>9010990000</t>
  </si>
  <si>
    <t>Pozostałe SMT</t>
  </si>
  <si>
    <t>9403100003</t>
  </si>
  <si>
    <t>Am.Nier.Inw.03-</t>
  </si>
  <si>
    <t>Umorzenie NI-KST 1</t>
  </si>
  <si>
    <t>Nal poz fin od OKP kaucje wadia - minus długoterm.</t>
  </si>
  <si>
    <t>Nal poz fin od OKNP kaucje wadia- minus długoterm.</t>
  </si>
  <si>
    <t>Zob poz fin wobec DKNP kaucje - minus saldo długoterm</t>
  </si>
  <si>
    <t xml:space="preserve">          BESTGUM</t>
  </si>
  <si>
    <t xml:space="preserve">         PGE GiEK SA</t>
  </si>
  <si>
    <t>ATW101060000 Rzeczowe aktywa trwałe w budowie</t>
  </si>
  <si>
    <t>F000:Bilans otwarcia - :</t>
  </si>
  <si>
    <t>F000:Bilans otwarcia - X01:Pozostałe podmioty</t>
  </si>
  <si>
    <t>Zwiększenia:</t>
  </si>
  <si>
    <t>O150:Zwiększenia - poniesione nakłady inwestycyjne</t>
  </si>
  <si>
    <t>O130:Zwiększenia - odsetki i pozostałe koszty finansowe</t>
  </si>
  <si>
    <t>O130:Zwiększenia - odsetki i pozostałe koszty finansowe Pozostałe podmioty X01</t>
  </si>
  <si>
    <t>Razem O130:Zwiększenia - odsetki i pozostałe koszty finansowe</t>
  </si>
  <si>
    <t>O160:Zwiększenia - zmniejszenie odpisów aktualizujących</t>
  </si>
  <si>
    <t>O140:Zwiekszenia - materiały i części zamienne</t>
  </si>
  <si>
    <t>O180:Zwiększenia - przekazanie w ramach koncernu/przemieszczenie miedzy oddziałami</t>
  </si>
  <si>
    <t>O370:Zwiększenia - pozostałe - X01:Pozostałe podmioty</t>
  </si>
  <si>
    <t>Zmniejszenia:</t>
  </si>
  <si>
    <t>O420:Przekazanie na rzeczowe aktywa trwałe/wartości niematerialne</t>
  </si>
  <si>
    <t>O310:Sprzedaż, zbycie</t>
  </si>
  <si>
    <t>O170:Zmniejszenia - zwiększenie odpisów aktualizujących</t>
  </si>
  <si>
    <t>O390:Zmniejszenia - spisanie zadań zaniechanych</t>
  </si>
  <si>
    <t>O190:Zmniejszenia - przekazanie w ramach koncernu/przemieszczenie miedzy oddziałami</t>
  </si>
  <si>
    <t>O380:Zmniejszenia - pozostałe</t>
  </si>
  <si>
    <t>SF-A-011  Zmiany w stanie rzeczowych aktywów trwałych w budowie</t>
  </si>
  <si>
    <t>Mirka / Ania</t>
  </si>
  <si>
    <t>F999: Bilans zamknięcia</t>
  </si>
  <si>
    <t>TOTAL FIL-EN-GR-04 Jednostki A i B + Podm. Trzeci - ATW114100000 Prawa do użytkowania składników aktywów</t>
  </si>
  <si>
    <t>TOTAL Grupa Grupa A</t>
  </si>
  <si>
    <t>B58: BETRANS sp. z o.o.</t>
  </si>
  <si>
    <t>G05: Oddział Elektrownia Turów</t>
  </si>
  <si>
    <t>G07: Oddział Elektrownia Opole</t>
  </si>
  <si>
    <t>TOTAL Grupa ND Pozostałe podmioty</t>
  </si>
  <si>
    <t>X01: Pozostałe podmioty</t>
  </si>
  <si>
    <t>SF-A-014 Prawa do użytkowania składników aktywów</t>
  </si>
  <si>
    <t>ATW103060000: Wartości niematerialne nieoddane do użytkowania</t>
  </si>
  <si>
    <t xml:space="preserve">O130:Zwiększenia - odsetki i pozostałe koszty finansowe -  </t>
  </si>
  <si>
    <t>O130:Zwiększenia - odsetki i pozostałe koszty finansowe - Pozostałe podmioty X01</t>
  </si>
  <si>
    <t>O370:Zwiększenia - pozostałe</t>
  </si>
  <si>
    <t>Razem: Bilans zamknięcia</t>
  </si>
  <si>
    <t>SF-A-031 - Zmiany w stanie wartości niematerialnych nieoddanych do użytkowania</t>
  </si>
  <si>
    <t>ATW108010100:Przedpłaty na usługi przesyłowe</t>
  </si>
  <si>
    <t>ATW108010200:Zaliczki na rzeczowe aktywa trwałe i wartości niematerialne</t>
  </si>
  <si>
    <t>ATW108010300:Nabyte prawo wieczystego uzytkowania gruntów</t>
  </si>
  <si>
    <t>ATW108011000:Koszty pozyskania klienta  m.in.: prowizje agencyjne</t>
  </si>
  <si>
    <t>ATW108019900:Pozostałe aktywa długoterminowe - pozostałe</t>
  </si>
  <si>
    <t>ATW108010000: Pozostałe aktywa długoterminowe - RAZEM</t>
  </si>
  <si>
    <t>Razem ATW108019999: Pozostałe rozliczenia międzyokresowe - Listing</t>
  </si>
  <si>
    <t>SF-A-110 - Pozostałe aktywa długoterminowe</t>
  </si>
  <si>
    <t>215 000 0000</t>
  </si>
  <si>
    <t>PRW000001000 Rezerwa na świadczenia emerytalne, rentowe i podobne</t>
  </si>
  <si>
    <t>PRW000002000 Deputat węglowy</t>
  </si>
  <si>
    <t>PRW000003000 Taryfa energetyczna</t>
  </si>
  <si>
    <t>PRW000004000 Zakładowy Fundusz Świadczeń Socjalnych</t>
  </si>
  <si>
    <t>PRW000005000 Opieka medyczna</t>
  </si>
  <si>
    <t>PRW000006000 Odprawy pośmiertne</t>
  </si>
  <si>
    <t>PRW000099000 Inne rezerwy na świadczenia po okresie zatrudnienia</t>
  </si>
  <si>
    <t>PRW001000000 Świadczenia po okresie zatrudnienia i nagrody jubileuszowe (rezerwy aktuarialne)</t>
  </si>
  <si>
    <t>Listing nr 3</t>
  </si>
  <si>
    <t>4304140009</t>
  </si>
  <si>
    <t>7630529009</t>
  </si>
  <si>
    <t>PPO_OA.nal.poz.</t>
  </si>
  <si>
    <t>Total</t>
  </si>
  <si>
    <t>CFW040100000:Sprzedaż rzeczowych aktywów trwałych i wartości niematerialnych  F999:Bilans zamknięcia</t>
  </si>
  <si>
    <t>CFW040200000:Nabycie rzeczowych aktywów trwałych i wartości niematerialnych  F999:Bilans zamknięcia</t>
  </si>
  <si>
    <t>CFW040300000:Sprzedaż nieruchomości inwestycyjnych  F999:Bilans zamknięcia</t>
  </si>
  <si>
    <t>CFW040400000:Nabycie nieruchomości inwestycyjnych  F999:Bilans zamknięcia</t>
  </si>
  <si>
    <t>CFW040500000:Sprzedaż pozostałych aktywów finansowych  F999:Bilans zamknięcia</t>
  </si>
  <si>
    <t>CFW040600000:Nabycie pozostałych aktywów finansowych  F999:Bilans zamknięcia</t>
  </si>
  <si>
    <t>CFW040700000:Nabycie jednostki konsolidowanej metodą pełną, po potrąceniu przejętych środków pieniężnych  F999:Bilans zamknięcia</t>
  </si>
  <si>
    <t>CFW040800000:Założenie lokat (powyżej 3 m-cy)  F999:Bilans zamknięcia</t>
  </si>
  <si>
    <t>CFW040900000:Rozwiązanie lokat (powyżej 3 m-cy)  F999:Bilans zamknięcia</t>
  </si>
  <si>
    <t>CFW041000000:Dywidendy otrzymane  F999:Bilans zamknięcia</t>
  </si>
  <si>
    <t>CFW041100000:Odsetki otrzymane od obligacji grupowych  F999:Bilans zamknięcia</t>
  </si>
  <si>
    <t>CFW041200000:Pozostałe odsetki otrzymane  F999:Bilans zamknięcia</t>
  </si>
  <si>
    <t>CFW041300000:Spłata udzielonych pożyczek  F999:Bilans zamknięcia</t>
  </si>
  <si>
    <t>CFW041400000:Udzielenie pożyczek  F999:Bilans zamknięcia</t>
  </si>
  <si>
    <t>CFW041500000:Zakup obligacji emitowanych przez spółki GK PGE - wartość emisyjna  F999:Bilans zamknięcia</t>
  </si>
  <si>
    <t>CFW041600000:Wykup obligacji emitowanych przez spółki GK PGE - wartość emisyjna  F999:Bilans zamknięcia</t>
  </si>
  <si>
    <t>CFW041700000:Wpływ rat z leasingu finansowego, bez odsetek  F999:Bilans zamknięcia</t>
  </si>
  <si>
    <t>CFW041800000:Odsetki otrzymane od cash poolingu  F999:Bilans zamknięcia</t>
  </si>
  <si>
    <t>CFW041900000:Środki przekazane w ramach cash poolingu  F999:Bilans zamknięcia</t>
  </si>
  <si>
    <t>CFW042000000:Wydatki na likwidację /sprzedaż RAT i WN   F999:Bilans zamknięcia</t>
  </si>
  <si>
    <t>CFW042200000:Wpływ odsetek z leasingu finansowego  F999:Bilans zamknięcia</t>
  </si>
  <si>
    <t>CFW049900000:Pozostałe przepływy środków pieniężnych z działalności inwestycyjnej  F999:Bilans zamknięcia</t>
  </si>
  <si>
    <t>CFW050100000:Wpływy z tytułu emisji akcji  F999:Bilans zamknięcia</t>
  </si>
  <si>
    <t>CFW050200000:Spłata zobowiązań z tytułu leasingu, bez odsetek  F999:Bilans zamknięcia</t>
  </si>
  <si>
    <t>CFW052200000:Spłata odsetek z leasingu  F999:Bilans zamknięcia</t>
  </si>
  <si>
    <t>CFW050300000:Wpływy z tytułu zaciągnięcia pożyczek/kredytów  F999:Bilans zamknięcia</t>
  </si>
  <si>
    <t>CFW050400000:Spłata pożyczek/kredytów  F999:Bilans zamknięcia</t>
  </si>
  <si>
    <t>CFW050500000:Dywidendy wypłacone spółkom GK PGE  F999:Bilans zamknięcia</t>
  </si>
  <si>
    <t>CFW050600000:Dywidendy wypłacone innym akcjonariuszom  F999:Bilans zamknięcia</t>
  </si>
  <si>
    <t>CFW050700000:Odsetki zapłacone od obligacji grupowych  F999:Bilans zamknięcia</t>
  </si>
  <si>
    <t>CFW050800000:Pozostałe odsetki i prowizje zapłacone  F999:Bilans zamknięcia</t>
  </si>
  <si>
    <t>CFW050900000:Emisja obligacji do spółek GK PGE - wartość emisyjna  F999:Bilans zamknięcia</t>
  </si>
  <si>
    <t>CFW051000000:Wykup obligacji emitowanych od spółek GK PGE - wartość emisyjna  F999:Bilans zamknięcia</t>
  </si>
  <si>
    <t>CFW051100000:Środki otrzymane w ramach cash poolingu  F999:Bilans zamknięcia</t>
  </si>
  <si>
    <t>CFW051200000:Odsetki zapłacone od cash poolingu  F999:Bilans zamknięcia</t>
  </si>
  <si>
    <t>CFW051300000:Otrzymane dotacje do aktywów trwałych  F999:Bilans zamknięcia</t>
  </si>
  <si>
    <t>CFW059900000:Pozostałe przepływy środków pieniężnych z działalności finansowej  F999:Bilans zamknięcia</t>
  </si>
  <si>
    <t>CF-IC - Cash flow - konta w rozbiciu na partnera</t>
  </si>
  <si>
    <t>do zrobienia - Renata - do wyjaśnienia</t>
  </si>
  <si>
    <t xml:space="preserve">Zyski zatrzymane / niepokryte straty </t>
  </si>
  <si>
    <t>z lat ubiegłych</t>
  </si>
  <si>
    <t>2201040006</t>
  </si>
  <si>
    <t>305 990 0000</t>
  </si>
  <si>
    <t xml:space="preserve">       </t>
  </si>
  <si>
    <t>2000039</t>
  </si>
  <si>
    <t>B56:EPORE sp. z o.o. (nieaktywne)</t>
  </si>
  <si>
    <t>U02: EPORE SA</t>
  </si>
  <si>
    <t xml:space="preserve"> konto - 6510990000</t>
  </si>
  <si>
    <t>B57 RAMB</t>
  </si>
  <si>
    <t>B59 BESTGUM</t>
  </si>
  <si>
    <t>G01 PGE GiEK SA</t>
  </si>
  <si>
    <t>Listing nr 1 (potrącenia z wynagrodzeń, PZU, PPE, Zw.Zawodowe, komornicy)</t>
  </si>
  <si>
    <t>O01 PGE OBRÓT SA Rzeszów</t>
  </si>
  <si>
    <t>BO</t>
  </si>
  <si>
    <t>1621001000</t>
  </si>
  <si>
    <t>Poż.kr.obr.pow</t>
  </si>
  <si>
    <t>1621001001</t>
  </si>
  <si>
    <t>RZ-j.np_ ZFŚS</t>
  </si>
  <si>
    <t>7550654009</t>
  </si>
  <si>
    <t>KF Ods od poż</t>
  </si>
  <si>
    <t>8294990000</t>
  </si>
  <si>
    <t>Rez. dł_pozost</t>
  </si>
  <si>
    <t>14. Inne rezerwy</t>
  </si>
  <si>
    <t>korekta CIT 2020</t>
  </si>
  <si>
    <t>ZDW101000000:Oprocentowane kredyty, pożyczki, obligacje i leasing, w tym:</t>
  </si>
  <si>
    <t>- kredyty i pożyczki</t>
  </si>
  <si>
    <t>- w tym leasing</t>
  </si>
  <si>
    <t>AOW107000000:Pożyczki i pozostałe należności finansowe, w tym:</t>
  </si>
  <si>
    <t>- CP</t>
  </si>
  <si>
    <t>ZKW103000000:Bieżąca część oprocentowanych kredytów i pożyczek i leasing fin, w tym:</t>
  </si>
  <si>
    <t>- pożyczka</t>
  </si>
  <si>
    <t>2151000000</t>
  </si>
  <si>
    <t>4305600000</t>
  </si>
  <si>
    <t>Usługi wsparcia</t>
  </si>
  <si>
    <t>7550654000</t>
  </si>
  <si>
    <t>7649909000</t>
  </si>
  <si>
    <t>PPO_Przy.z dzia</t>
  </si>
  <si>
    <t>dostawca 2000052 oper.specjalna L</t>
  </si>
  <si>
    <t>Zaliczki otrzymane od OKNP DiU</t>
  </si>
  <si>
    <t>zapłacone odsetki od pożyczki z PGE</t>
  </si>
  <si>
    <t>zmiana stanu rozrachunków CIT</t>
  </si>
  <si>
    <t>BZ</t>
  </si>
  <si>
    <t>nadpłata w cit</t>
  </si>
  <si>
    <t>Nadpłata w cit</t>
  </si>
  <si>
    <t>CIT zapłacony</t>
  </si>
  <si>
    <t>korekta zobow.z tyt. VAT - leasing</t>
  </si>
  <si>
    <t>2109990008</t>
  </si>
  <si>
    <t>2150000007</t>
  </si>
  <si>
    <t>2000050</t>
  </si>
  <si>
    <t>2000051</t>
  </si>
  <si>
    <t>B61:  Energoserwis Kleszczów</t>
  </si>
  <si>
    <t>H08:  MEGAZEC</t>
  </si>
  <si>
    <t>inne zobowiąz.finans</t>
  </si>
  <si>
    <t>2051200000</t>
  </si>
  <si>
    <t>4319100000</t>
  </si>
  <si>
    <t>6412200000</t>
  </si>
  <si>
    <t>RMK kr.czynszRE</t>
  </si>
  <si>
    <t>7690909000</t>
  </si>
  <si>
    <t>PKO_Odszkodowa.</t>
  </si>
  <si>
    <t>7691304000</t>
  </si>
  <si>
    <t>PKO_Likw.szk. O</t>
  </si>
  <si>
    <t>OANal OKP DiU</t>
  </si>
  <si>
    <t>2108041000</t>
  </si>
  <si>
    <t>2159990006</t>
  </si>
  <si>
    <t>2159990008</t>
  </si>
  <si>
    <t>7530670050</t>
  </si>
  <si>
    <t>PF Dod RK od zo</t>
  </si>
  <si>
    <t>należność za bilety od byłego pracownika</t>
  </si>
  <si>
    <t>2000007</t>
  </si>
  <si>
    <t>2000262</t>
  </si>
  <si>
    <t>amortyzacja</t>
  </si>
  <si>
    <t>likwidacja</t>
  </si>
  <si>
    <t>zakupy</t>
  </si>
  <si>
    <t xml:space="preserve">roznica </t>
  </si>
  <si>
    <t>Rozliczenie elementu zostało rozpoczete w listopadzie 05 i 07.11  przed końcowym rozliczeniem dotyczacym października.Justyna ma informacje z systemu że te el. sa już rozliczone w listopadzie. Na koniec roku nie pozwalamy rozliczać stycznia gdy rok nie jest zamkniety i na konec roku saldo z tygo konta wykazuje poprawne saldo. W tarkcie roku jest tak jak jest.</t>
  </si>
  <si>
    <t>wcześniejsze przyjęcie śr.trwałych niż zostało rozliczone przez kontroling - rozbicie komórka G195</t>
  </si>
  <si>
    <t>Sprawozdanie ze zmian w kapitałach własnych                                          za 2020r.</t>
  </si>
  <si>
    <t>Główne założenia przyjęte przez aktuariusza na dzień sprawozdawczy do wyliczenia kwoty zobowiązania są następujące:</t>
  </si>
  <si>
    <t>Przewidywany wskaźnik inflacji (%)</t>
  </si>
  <si>
    <t>Stopa dyskontowa (%)</t>
  </si>
  <si>
    <t>Średni zakładany roczny wzrost podstaw (%)</t>
  </si>
  <si>
    <t>Wskaźnik rotacji pracowników (%)</t>
  </si>
  <si>
    <t>Średni okres zapadalności świadczeń po okresie zatrudnienia (lata)</t>
  </si>
  <si>
    <t>I kwartał niebadane</t>
  </si>
  <si>
    <t>II kwartał niebadane</t>
  </si>
  <si>
    <t>III kwartał niebadane</t>
  </si>
  <si>
    <t>IV kwartał niebadane</t>
  </si>
  <si>
    <t>Przychody ze sprzedaży towarów, w tym:</t>
  </si>
  <si>
    <t xml:space="preserve">Pozostała sprzedaż towarów i materiałów </t>
  </si>
  <si>
    <t>Przychody ze sprzedaży usług</t>
  </si>
  <si>
    <t xml:space="preserve">RAZEM PRZYCHODY ZE SPRZEDAŻY </t>
  </si>
  <si>
    <t>Przychody ze sprzedaży towarów  oraz usług przekazywanych klientowi w miarę upływu czasu</t>
  </si>
  <si>
    <t>Przychody ze sprzedaży towarów  oraz usług przekazywanych klientowi w określonym momencie</t>
  </si>
  <si>
    <t>KOSZTY W UKŁADZIE RODZAJOWYM</t>
  </si>
  <si>
    <r>
      <t>Amortyzacja</t>
    </r>
    <r>
      <rPr>
        <sz val="10.5"/>
        <color rgb="FF231F20"/>
        <rFont val="Calibri"/>
        <family val="2"/>
        <charset val="238"/>
        <scheme val="minor"/>
      </rPr>
      <t xml:space="preserve"> </t>
    </r>
    <r>
      <rPr>
        <sz val="8"/>
        <rFont val="Calibri"/>
        <family val="2"/>
        <charset val="238"/>
        <scheme val="minor"/>
      </rPr>
      <t>i odpisy aktualizujące</t>
    </r>
  </si>
  <si>
    <t>Zużycie materiałów i energii</t>
  </si>
  <si>
    <t>Usługi obce</t>
  </si>
  <si>
    <t>Podatki i opłaty</t>
  </si>
  <si>
    <t>Koszty świadczeń pracowniczych</t>
  </si>
  <si>
    <t xml:space="preserve">Pozostałe koszty rodzajowe  </t>
  </si>
  <si>
    <t>RAZEM KOSZTY WEDŁUG RODZAJU</t>
  </si>
  <si>
    <t>Zmiana stanu produktów</t>
  </si>
  <si>
    <t>Koszt wytworzenia świadczeń na własne potrzeby jednostki</t>
  </si>
  <si>
    <t>Wartość sprzedanych towarów i materiałów</t>
  </si>
  <si>
    <t>KOSZT WŁASNY SPRZEDAŻY</t>
  </si>
  <si>
    <t>Amortyzacja oraz odpisy aktualizujące</t>
  </si>
  <si>
    <t>RAZEM</t>
  </si>
  <si>
    <t xml:space="preserve">RAZEM </t>
  </si>
  <si>
    <t>Zużycie materiałów remontowo eksploatacyjnych</t>
  </si>
  <si>
    <t>Zużycie energii</t>
  </si>
  <si>
    <t>RAZEM ZUŻYCIE MATERIAŁÓW I ENERGII</t>
  </si>
  <si>
    <t>Usługi obce – remonty i eksploatacja</t>
  </si>
  <si>
    <t>Usługi transportowe</t>
  </si>
  <si>
    <t>Usługi informatyczne</t>
  </si>
  <si>
    <t>Czynsze i dzierżawy (w tym leasing)</t>
  </si>
  <si>
    <t>Usługi doradcze</t>
  </si>
  <si>
    <t>RAZEM KOSZTY USŁUG OBCYCH</t>
  </si>
  <si>
    <t>Opłaty PFRON</t>
  </si>
  <si>
    <t>RAZEM PODATKI i OPŁATY</t>
  </si>
  <si>
    <t>Wynagrodzenia</t>
  </si>
  <si>
    <t>Koszty ubezpieczeń społecznych</t>
  </si>
  <si>
    <t>Koszty świadczeń emerytalnych</t>
  </si>
  <si>
    <t>Inne świadczenia po okresie zatrudnienia</t>
  </si>
  <si>
    <t>Zmiana wartości rezerw pracowniczych</t>
  </si>
  <si>
    <t>Pozostałe koszty świadczeń pracowniczych</t>
  </si>
  <si>
    <t>RAZEM KOSZTY ŚWIADCZEŃ PRACOWNICZYCH, W TYM:</t>
  </si>
  <si>
    <t>Pozycje ujęte w koszcie własnym sprzedaży</t>
  </si>
  <si>
    <t>Pozycje ujęte w kosztach sprzedaży i dystrybucji</t>
  </si>
  <si>
    <t>Pozycje ujęte w kosztach ogólnego zarządu</t>
  </si>
  <si>
    <t>Wynagrodzenia kadry menadżerskiej</t>
  </si>
  <si>
    <t>RAZEM POZOSTAŁE KOSZTY RODZAJOWE</t>
  </si>
  <si>
    <t>PRZYCHODY FINANSOWE Z TYTUŁU INSTRUMENTÓW FINANSOWYCH</t>
  </si>
  <si>
    <t>Dodatnie różnice kursowe</t>
  </si>
  <si>
    <t xml:space="preserve">Pozostałe przychody finansowe z tytułu instrumentów finansowych </t>
  </si>
  <si>
    <t xml:space="preserve">RAZEM PRZYCHODY FINANSOWE PRZYCHODY FINANSOWE Z TYTUŁU INSTRUMENTÓW FINANSOWYCH </t>
  </si>
  <si>
    <t>Pozostałe przychody finansowe</t>
  </si>
  <si>
    <t xml:space="preserve">RAZEM PRZYCHODY FINANSOWE </t>
  </si>
  <si>
    <t>KOSZTY FINANSOWE Z TYTUŁU INSTRUMENTÓW FINANSOWYCH</t>
  </si>
  <si>
    <t>Ujemne różnice kursowe</t>
  </si>
  <si>
    <t>Pozostałe koszty finansowe</t>
  </si>
  <si>
    <t>Koszty odsetkowe, w tym efekt zwijania dyskonta</t>
  </si>
  <si>
    <t xml:space="preserve">RAZEM KOSZTY FINANSOWE </t>
  </si>
  <si>
    <t>POZOSTAŁE PRZYCHODY OPERACYJNE</t>
  </si>
  <si>
    <t xml:space="preserve">Rozwiązanie odpisów aktualizujących należności  </t>
  </si>
  <si>
    <t xml:space="preserve">Kary, grzywny, odszkodowania  </t>
  </si>
  <si>
    <t xml:space="preserve">Umorzone zobowiązania  </t>
  </si>
  <si>
    <t>Refaktury</t>
  </si>
  <si>
    <t>Odzysk środków obrotowych</t>
  </si>
  <si>
    <t xml:space="preserve">Pozostałe </t>
  </si>
  <si>
    <t xml:space="preserve">RAZEM POZOSTAŁE PRZYCHODY OPERACYJNE </t>
  </si>
  <si>
    <t>POZOSTAŁE KOSZTY OPERACYJNE</t>
  </si>
  <si>
    <t>Strata ze zbycia rzeczowych aktywów trwałych/ wartości niematerialnych</t>
  </si>
  <si>
    <t xml:space="preserve">Likwidacja rzeczowych aktywów trwałych/ wartości niematerialnych </t>
  </si>
  <si>
    <t xml:space="preserve">Utworzenie odpisów aktualizujących należności  </t>
  </si>
  <si>
    <t xml:space="preserve">RAZEM POZOSTAŁE KOSZTY OPERACYJNE </t>
  </si>
  <si>
    <t>Budynki i budowle</t>
  </si>
  <si>
    <t>Urządzenia techniczne</t>
  </si>
  <si>
    <t>Środki transportu</t>
  </si>
  <si>
    <t>Pozostałe aktywa trwałe</t>
  </si>
  <si>
    <t>Rzeczowe aktywa trwałe w budowie</t>
  </si>
  <si>
    <t>WARTOŚĆ NETTO RZECZOWYCH AKTYWÓW TRWAŁYCH</t>
  </si>
  <si>
    <t>Budynki                        i budowle</t>
  </si>
  <si>
    <t>Środki                     transportu</t>
  </si>
  <si>
    <t>Inne rzeczowe aktywa trwałe</t>
  </si>
  <si>
    <t xml:space="preserve">WARTOŚĆ KSIĘGOWA BRUTTO </t>
  </si>
  <si>
    <t>Nakłady inwestycyjne</t>
  </si>
  <si>
    <t>Rozliczenie rzeczowych aktywów trwałych w budowie</t>
  </si>
  <si>
    <t>Likwidacja, sprzedaż</t>
  </si>
  <si>
    <t>UMORZENIA</t>
  </si>
  <si>
    <t>Amortyzacja  i wartość netto likwidacji ujętych w kosztach rodzajowych</t>
  </si>
  <si>
    <t>Odpisy aktualizujące</t>
  </si>
  <si>
    <t xml:space="preserve">WARTOŚĆ NETTO NA DZIEŃ 1 STYCZNIA </t>
  </si>
  <si>
    <t>Zwiększenia stanu</t>
  </si>
  <si>
    <t>Zmniejszenia stanu</t>
  </si>
  <si>
    <t xml:space="preserve">WARTOŚĆ NETTO NA DZIEŃ 31 GRUDNIA </t>
  </si>
  <si>
    <t>Oprogramowanie</t>
  </si>
  <si>
    <t>Zakupione prawo wieczystego użytkowania gruntów</t>
  </si>
  <si>
    <t>Wartości niematerialne nieoddane do użytkowania</t>
  </si>
  <si>
    <t>WARTOŚĆ NETTO WARTOŚCI NIEMATERIALNYCH</t>
  </si>
  <si>
    <t xml:space="preserve">WARTOŚĆ KSIĘGOWA BRUTTO  </t>
  </si>
  <si>
    <t>Rozliczenie wartości niematerialnych nieoddanych do użytkowania</t>
  </si>
  <si>
    <t>Zmiana prezentacji</t>
  </si>
  <si>
    <t>Amortyzacja</t>
  </si>
  <si>
    <t xml:space="preserve">Zmiana prezentacji </t>
  </si>
  <si>
    <t>Koszt historyczny</t>
  </si>
  <si>
    <t>Aktualizacja wartości</t>
  </si>
  <si>
    <t>Wartość netto</t>
  </si>
  <si>
    <t xml:space="preserve">Materiały  </t>
  </si>
  <si>
    <t>Produkcja w toku</t>
  </si>
  <si>
    <t>Pozostałe zapasy</t>
  </si>
  <si>
    <t>RAZEM ZAPASY</t>
  </si>
  <si>
    <t xml:space="preserve">AKTUALIZACJA WARTOŚCI ZAPASÓW NA DZIEŃ 1 STYCZNIA </t>
  </si>
  <si>
    <t>Zmiana odpisu</t>
  </si>
  <si>
    <t xml:space="preserve">AKTUALIZACJA WARTOŚCI ZAPASÓW NA DZIEŃ 31 GRUDNIA  </t>
  </si>
  <si>
    <t>KOSZTY ROZLICZANE W CZASIE</t>
  </si>
  <si>
    <t>Ubezpieczenia majątkowe i deliktowe</t>
  </si>
  <si>
    <t>ZFŚS</t>
  </si>
  <si>
    <t>Pozostałe koszty rozliczane w czasie</t>
  </si>
  <si>
    <t>INNE AKTYWA KRÓTKOTERMINOWE</t>
  </si>
  <si>
    <t>Należności z tytułu naliczonego VAT</t>
  </si>
  <si>
    <t>Należności z tytułu rozliczeń w Podatkowej Grupie Kapitałowej</t>
  </si>
  <si>
    <t xml:space="preserve">Zaliczki na dostawy </t>
  </si>
  <si>
    <t>Doszacowanie sprzedaży</t>
  </si>
  <si>
    <t>POZOSTAŁE AKTYWA, RAZEM</t>
  </si>
  <si>
    <t>Środki pieniężne w banku i kasie</t>
  </si>
  <si>
    <t>Lokaty typu overnight</t>
  </si>
  <si>
    <t>Lokaty krótkoterminowe</t>
  </si>
  <si>
    <t>Środki na rachunkach VAT</t>
  </si>
  <si>
    <t>Odsetki naliczone od środków pieniężnych, nie otrzymane na dzień sprawozdawczy</t>
  </si>
  <si>
    <t>Różnice kursowe od środków pieniężnych w walutach</t>
  </si>
  <si>
    <t>Saldo środków pieniężnych i ekwiwalentów wykazanych w rachunku przepływów</t>
  </si>
  <si>
    <t>Pożyczki udzielone pracownikom</t>
  </si>
  <si>
    <t>Środki pieniężne</t>
  </si>
  <si>
    <t>Pozostałe aktywa funduszu</t>
  </si>
  <si>
    <t>Zobowiązania funduszu</t>
  </si>
  <si>
    <t>SALDO PO SKOMPENSOWANIU</t>
  </si>
  <si>
    <t>59 149 udziałów o wartości  500 złotych każdy pokryte aportem</t>
  </si>
  <si>
    <t>10 500 udziałów o wartości  500 złotych każdy pokryte gotówką</t>
  </si>
  <si>
    <t>RAZEM KAPITAŁ PODSTAWOWY</t>
  </si>
  <si>
    <t>Nie wystąpił.</t>
  </si>
  <si>
    <t>Nie wystąpiły.</t>
  </si>
  <si>
    <r>
      <t>Niepokryte straty z lat ubiegłych</t>
    </r>
    <r>
      <rPr>
        <sz val="8"/>
        <color rgb="FF231F20"/>
        <rFont val="Calibri"/>
        <family val="2"/>
        <charset val="238"/>
        <scheme val="minor"/>
      </rPr>
      <t xml:space="preserve"> ujęte poprzez pozycję innych całkowitych dochodów</t>
    </r>
  </si>
  <si>
    <t>Inne całkowite dochody roku bieżącego</t>
  </si>
  <si>
    <t>Niepokryte straty z lat ubiegłych ujęte poprzez wynik finansowy</t>
  </si>
  <si>
    <t>Zysk netto roku bieżącego podlegający podziałowi</t>
  </si>
  <si>
    <t>NIEPOKRYTE STRATY Z LAT UBIEGŁYCH WYKAZYWANE  W SPRAWOZDANIU Z SYTUACJI FINANSOWEJ</t>
  </si>
  <si>
    <t>Bieżąca wartość księgowa rezerw przedstawia się następująco:</t>
  </si>
  <si>
    <t>Długoterminowe</t>
  </si>
  <si>
    <t>Krótkoterminowe</t>
  </si>
  <si>
    <t>Świadczenia pracownicze</t>
  </si>
  <si>
    <t>Pozostałe rezerwy</t>
  </si>
  <si>
    <t>RAZEM REZERWY</t>
  </si>
  <si>
    <t xml:space="preserve">Zyski i straty aktuarialne  z wyłączeniem korekty stopy dyskonta </t>
  </si>
  <si>
    <t xml:space="preserve">Koszty bieżącego zatrudnienia  </t>
  </si>
  <si>
    <t xml:space="preserve">Koszty odsetek </t>
  </si>
  <si>
    <t>Korekta stopy dyskontowej i  innych założeń</t>
  </si>
  <si>
    <t>Wypłacone świadczenia / Wykorzystane rezerwy</t>
  </si>
  <si>
    <t>Rozwiązane rezerwy</t>
  </si>
  <si>
    <t>Utworzone rezerwy - koszty</t>
  </si>
  <si>
    <t>Zmiana odniesiona w koszty działalności operacyjnej</t>
  </si>
  <si>
    <t>Zmiana odniesiona w pozostałe przychody/ (koszty) operacyjne</t>
  </si>
  <si>
    <t>Zmiana odniesiona w pozostałe przychody/ (koszty) finansowe</t>
  </si>
  <si>
    <t xml:space="preserve">Zmiana odniesiona w  aktywa </t>
  </si>
  <si>
    <t>Zmiana odniesiona w inne całkowite dochody</t>
  </si>
  <si>
    <t>Świadczenia po okresie zatrudnienia</t>
  </si>
  <si>
    <t>RAZEM REZERWY NA ŚWIADCZENIA PRACOWNICZE</t>
  </si>
  <si>
    <t>Bieżąca wartość księgowa rezerw na świadczenia pracownicze:</t>
  </si>
  <si>
    <t xml:space="preserve">   Krótkoterminowe</t>
  </si>
  <si>
    <t>Odprawy emerytalno-rentowe i pośmiertne</t>
  </si>
  <si>
    <t>RAZEM ŚWIADCZENIA PO OKRESIE ZATRUDNIENIA</t>
  </si>
  <si>
    <t>RAZEM REZERWY AKTUARIALNE</t>
  </si>
  <si>
    <t>Zmiany stanu rezerw na świadczenia pracownicze</t>
  </si>
  <si>
    <t>Odprawy emerytalno-</t>
  </si>
  <si>
    <t>Nagrody</t>
  </si>
  <si>
    <t>rentowe i pośmiertne</t>
  </si>
  <si>
    <t>jubileuszowe</t>
  </si>
  <si>
    <t xml:space="preserve">Koszty bieżącego zatrudnienia </t>
  </si>
  <si>
    <t>Koszty przeszłego zatrudnienia</t>
  </si>
  <si>
    <t>Wartość w sprawozdaniu</t>
  </si>
  <si>
    <t>Stopa dyskonta finansowego</t>
  </si>
  <si>
    <t>Planowane wzrosty podstaw</t>
  </si>
  <si>
    <t>-1 p.p.</t>
  </si>
  <si>
    <t>+ 1 p.p.</t>
  </si>
  <si>
    <t xml:space="preserve">Pozostałe rozliczenia międzyokresowe </t>
  </si>
  <si>
    <t>Zobowiązania z tytułu należnego VAT</t>
  </si>
  <si>
    <t>Zobowiązania z tytułu wynagrodzeń</t>
  </si>
  <si>
    <t>Zobowiązania z tytułu ubezpieczeń społecznych</t>
  </si>
  <si>
    <t>Podatek dochodowy od osób fizycznych</t>
  </si>
  <si>
    <t>Zobowiązanie z tytułu Pracowniczego Programu Emerytalnego</t>
  </si>
  <si>
    <t>Zobowiązania z tytułu rozliczeń w Podatkowej Grupie Kapitałowej</t>
  </si>
  <si>
    <t>Inne</t>
  </si>
  <si>
    <t>POZOSTAŁE ZOBOWIĄZANIA, RAZEM</t>
  </si>
  <si>
    <t>Zobowiązanie z tytułu umowy</t>
  </si>
  <si>
    <t xml:space="preserve">Zobowiązanie z tytułu umowy to obowiązek jednostki do przekazania klientowi towarów lub usług, w zamian za które jednostka otrzymała wynagrodzenie (lub kwota wynagrodzenia jest należna) od klienta. </t>
  </si>
  <si>
    <t xml:space="preserve">Nadpłaty od klientów </t>
  </si>
  <si>
    <t>Zaliczki na dostawy</t>
  </si>
  <si>
    <t>ZOBOWIĄZANIA Z TYTUŁU UMOWY</t>
  </si>
  <si>
    <t xml:space="preserve">Przychody ujęte w danym okresie sprawozdawczym , uwzględnione  w saldzie </t>
  </si>
  <si>
    <t>zobowiązań z tyt. umowy na początek okresu</t>
  </si>
  <si>
    <t>Należności z tytułu dostaw i usług</t>
  </si>
  <si>
    <t>Należności z tytułu cash poolingu</t>
  </si>
  <si>
    <t>Pozostałe należności finansowe</t>
  </si>
  <si>
    <t>RAZEM NALEŻNOŚCI FINANSOWE</t>
  </si>
  <si>
    <t>Leasing finansowy, MSSF 16</t>
  </si>
  <si>
    <t>Zobowiązania z tytułu cash poolingu</t>
  </si>
  <si>
    <t>Zobowiązania z tytułu dostaw i usług</t>
  </si>
  <si>
    <t>Zakup rzeczowych aktywów trwałych i wartości niematerialnych</t>
  </si>
  <si>
    <t>Otrzymane kaucje, wadia</t>
  </si>
  <si>
    <t>RAZEM POZOSTAŁE ZOBOWIĄZANIA FINANSOWE</t>
  </si>
  <si>
    <t>Instrumenty pochodne wyceniane w wartości godziwej przez wynik finansowy</t>
  </si>
  <si>
    <t>Pożyczki i należności</t>
  </si>
  <si>
    <t>Zobowiązania finansowe wyceniane wg zamortyzowanego kosztu</t>
  </si>
  <si>
    <t>Przychody/ (Koszty) z tytułu odsetek</t>
  </si>
  <si>
    <t>Różnice kursowe</t>
  </si>
  <si>
    <t xml:space="preserve">OGÓŁEM ZYSK/ (STRATA) </t>
  </si>
  <si>
    <t>Ekspozycja Spółki na ryzyko walutowe w podziale na poszczególne klasy instrumentów finansowych:</t>
  </si>
  <si>
    <t xml:space="preserve"> Łączna wartość w sprawozdaniu w PLN</t>
  </si>
  <si>
    <t>EUR</t>
  </si>
  <si>
    <t>PLN</t>
  </si>
  <si>
    <t>AKTYWA FINANSOWE</t>
  </si>
  <si>
    <t xml:space="preserve">Należności z tytułu dostaw i usług </t>
  </si>
  <si>
    <t xml:space="preserve">Środki pieniężne i ich ekwiwalenty </t>
  </si>
  <si>
    <t>ZOBOWIĄZANIA FINANSOWE</t>
  </si>
  <si>
    <t>Zobowiązania z tytułu dostaw i usług oraz pozostałe zobowiązania finansowe, w tym:</t>
  </si>
  <si>
    <t>Zobowiązania z tytułu zakupu rzeczowych aktywów trwałych</t>
  </si>
  <si>
    <t>POZYCJA WALUTOWA NETTO</t>
  </si>
  <si>
    <t>Wymagalność zobowiązań finansowych Spółki według daty wymagalności na podstawie umownych niezdyskontowanych płatności:</t>
  </si>
  <si>
    <t>Poniżej 3 miesięcy</t>
  </si>
  <si>
    <t>Od 3 do 12 miesięcy</t>
  </si>
  <si>
    <t>Od 1 roku</t>
  </si>
  <si>
    <t>Powyżej 5 lat</t>
  </si>
  <si>
    <t>do 5 lat</t>
  </si>
  <si>
    <t>Zobowiązania z tytułu dostaw i usług oraz pozostałe zobowiązania finansowe wyceniane według zamortyzowanego kosztu</t>
  </si>
  <si>
    <t>Zobowiązania z tytułu leasingu finansowego i MSSF 16</t>
  </si>
  <si>
    <t>Maksymalna ekspozycja na ryzyko kredytowe wynikająca z aktywów finansowych jest równa wartościom księgowym tych pozycji.</t>
  </si>
  <si>
    <t>Pożyczki i należności</t>
  </si>
  <si>
    <t>MAKSYMALNA EKSPOZYCJA NA  RYZYKO KREDYTOWE</t>
  </si>
  <si>
    <t>W ujęciu geograficznym ryzyko kredytowe dotyczące należności z tytułu dostaw i usług prezentuje poniższa tabela:</t>
  </si>
  <si>
    <t>Saldo należności</t>
  </si>
  <si>
    <t>Udział %</t>
  </si>
  <si>
    <t xml:space="preserve">Polska </t>
  </si>
  <si>
    <t>Niemcy</t>
  </si>
  <si>
    <t>Zmiana stanu odpisów aktualizujących dla tych klas instrumentów finansowych została zaprezentowana w poniższej tabeli:</t>
  </si>
  <si>
    <t>Należności z tytułu dostaw i usług</t>
  </si>
  <si>
    <t>Pożyczki udzielone</t>
  </si>
  <si>
    <t>Nabyte obligacje</t>
  </si>
  <si>
    <t>Odpis aktualizujący na dzień 1 stycznia</t>
  </si>
  <si>
    <t>Utworzenie odpisów</t>
  </si>
  <si>
    <t>Rozwiązanie odpisów</t>
  </si>
  <si>
    <t xml:space="preserve">Odpis aktualizujący na dzień 31 grudnia </t>
  </si>
  <si>
    <t xml:space="preserve">Wartość pozycji przed uwzględnieniem odpisu aktualizującego </t>
  </si>
  <si>
    <t xml:space="preserve">Wartość pozycji netto (wartość księgowa) </t>
  </si>
  <si>
    <t>NALEŻNOŚCI Z TYTUŁU DOSTAW I USŁUG ORAZ POZOSTAŁE POŻYCZKI I NALEŻNOŚCI</t>
  </si>
  <si>
    <t>Brutto</t>
  </si>
  <si>
    <t>Wartość księgowa netto</t>
  </si>
  <si>
    <t>Należności nieprzeterminowane</t>
  </si>
  <si>
    <t>Przeterminowane &lt;30 dni</t>
  </si>
  <si>
    <t>Przeterminowane 30-90 dni</t>
  </si>
  <si>
    <t>Przeterminowane 90-180 dni</t>
  </si>
  <si>
    <t>Przeterminowane 180-360 dni</t>
  </si>
  <si>
    <t>Przeterminowane &gt;360 dni</t>
  </si>
  <si>
    <t>NALEŻNOŚCI PRZETERMINOWANE, RAZEM</t>
  </si>
  <si>
    <t>RAZEM POŻYCZKI I NALEŻNOŚCI</t>
  </si>
  <si>
    <t>Korekta o zmianę stanu zobowiązań z tytułu cash poolingu</t>
  </si>
  <si>
    <t>Otrzymane gwarancje dobrego wykonania umowy</t>
  </si>
  <si>
    <t>Inne należności warunkowe</t>
  </si>
  <si>
    <t>NALEŻNOŚCI WARUNKOWE, RAZEM</t>
  </si>
  <si>
    <t>Jednostka dominująca</t>
  </si>
  <si>
    <t>Inne podmioty powiązane w ramach GK PGE</t>
  </si>
  <si>
    <t>Pozostałe podmioty powiązane</t>
  </si>
  <si>
    <t>Podmioty niepowiązane</t>
  </si>
  <si>
    <t>Przychody ze sprzedaży</t>
  </si>
  <si>
    <t>Pozostałe przychody operacyjne</t>
  </si>
  <si>
    <t>Koszty działalności operacyjnej</t>
  </si>
  <si>
    <t>AKTYWA</t>
  </si>
  <si>
    <t>Pożyczki i należności:</t>
  </si>
  <si>
    <t>Pozostałe pożyczki i należności finansowe</t>
  </si>
  <si>
    <t xml:space="preserve">Aktywa finansowe dostępne do sprzedaży </t>
  </si>
  <si>
    <t>Instrumenty pochodne – aktywa</t>
  </si>
  <si>
    <t>ZOBOWIĄZANIA</t>
  </si>
  <si>
    <t>Zobowiązania finansowe wyceniane według zamortyzowanego kosztu:</t>
  </si>
  <si>
    <t>Oprocentowane kredyty i pożyczki, leasing, MSSF 16</t>
  </si>
  <si>
    <t xml:space="preserve">Pozostałe zobowiązania finansowe </t>
  </si>
  <si>
    <t>Wynagrodzenie kadry kierowniczej</t>
  </si>
  <si>
    <t>Zarząd Spółki</t>
  </si>
  <si>
    <t>Rada Nadzorcza Spółki</t>
  </si>
  <si>
    <t>ŁĄCZNA KWOTA WYNAGRODZENIA KADRY KIEROWNICZEJ</t>
  </si>
  <si>
    <t>Otrzymanie/Spłata zobowiązań z tytułu cash poolingu</t>
  </si>
  <si>
    <t>Odsetki i prowizje zapłacone</t>
  </si>
  <si>
    <t>Dane z sapa FC SCD-011 Koszty amortyzacji, likwidacji i OA ujęte w SCD</t>
  </si>
  <si>
    <t>Usługi telekomunikacyjne</t>
  </si>
  <si>
    <t>Dane z sapa FC SCD-012-1 Koszty świadczeń pracowniczych</t>
  </si>
  <si>
    <t>Zysk ze zbycia rzeczowych aktywów trwałych/ wartości niematerialnych</t>
  </si>
  <si>
    <t>pozycje walutowe wpisać po zamknięciu roku z kont</t>
  </si>
  <si>
    <t>to zrobić po zamknięciu ksiąg</t>
  </si>
  <si>
    <t>Justyna - pozostałe rezerwy</t>
  </si>
  <si>
    <t>Justyna - pozostałe rezerwy utworzenie i rozwiązanie</t>
  </si>
  <si>
    <t>OA Nal upadł OK</t>
  </si>
  <si>
    <t>PKO_Koszty likw</t>
  </si>
  <si>
    <t>2470005000</t>
  </si>
  <si>
    <t>4815000000</t>
  </si>
  <si>
    <t>7650013009</t>
  </si>
  <si>
    <t>Minus zobowiąz.z tyt.dost.i usł. - STS</t>
  </si>
  <si>
    <t>1390070003</t>
  </si>
  <si>
    <t>PKOBP - bieżący</t>
  </si>
  <si>
    <t>4304120000</t>
  </si>
  <si>
    <t>Usł.utrz.infr.s</t>
  </si>
  <si>
    <t>AP_WF-pozostałe</t>
  </si>
  <si>
    <t>7530670059</t>
  </si>
  <si>
    <t>7691402009</t>
  </si>
  <si>
    <t>PKO_Spisa.NN</t>
  </si>
  <si>
    <t>podatek CIT wykazany w innych całkowitych dochodach</t>
  </si>
  <si>
    <t>sprawdzenie z przepływami</t>
  </si>
  <si>
    <t>Kraj</t>
  </si>
  <si>
    <t>PPO</t>
  </si>
  <si>
    <t>PKO</t>
  </si>
  <si>
    <t>7691404009</t>
  </si>
  <si>
    <t>PKO_Spis.nale.p</t>
  </si>
  <si>
    <t>8700100000</t>
  </si>
  <si>
    <t>korekta cit z lat ubiegłych</t>
  </si>
  <si>
    <t>Dla poszczególnych grup rzeczowych aktywów trwałych przyjęto okresy użytkowania w następujących przedziałach:</t>
  </si>
  <si>
    <t>Grupa rodzajowa</t>
  </si>
  <si>
    <t>Średni pozostały okres amortyzacji  w latach</t>
  </si>
  <si>
    <t>Stosowane całkowite okresy amortyzacji w latach</t>
  </si>
  <si>
    <t>Budynki, lokale i obiekty inżynierii lądowej i wodnej</t>
  </si>
  <si>
    <t>Maszyny i urządzenia techniczne</t>
  </si>
  <si>
    <t>Justyna</t>
  </si>
  <si>
    <t>1049011</t>
  </si>
  <si>
    <t>odpis aktualizujący</t>
  </si>
  <si>
    <t>Numer dokumentu</t>
  </si>
  <si>
    <t>Data dokumentu</t>
  </si>
  <si>
    <t>Kod księgowania</t>
  </si>
  <si>
    <t>Kwota w walucie krajowej 3059900000</t>
  </si>
  <si>
    <t>Kwota w walucie krajowej 2150000000</t>
  </si>
  <si>
    <t>Kwota w walucie krajowej 2050000000</t>
  </si>
  <si>
    <t>Kwota w walucie krajowej 2058990000</t>
  </si>
  <si>
    <t>Klucz referenc. 3</t>
  </si>
  <si>
    <t>Referencja</t>
  </si>
  <si>
    <t>Data płatności</t>
  </si>
  <si>
    <t>Opis</t>
  </si>
  <si>
    <t>Odbiorca</t>
  </si>
  <si>
    <t>Konto KG</t>
  </si>
  <si>
    <t>Rodzaj dokumentu</t>
  </si>
  <si>
    <t>370001670</t>
  </si>
  <si>
    <t>25</t>
  </si>
  <si>
    <t>10/RM/10/2020</t>
  </si>
  <si>
    <t>cz. rozliczenie f-ry 9/FV/2020/06</t>
  </si>
  <si>
    <t/>
  </si>
  <si>
    <t>PK</t>
  </si>
  <si>
    <t>880001747</t>
  </si>
  <si>
    <t>31</t>
  </si>
  <si>
    <t>9/FV/2020/06</t>
  </si>
  <si>
    <t>MONTAŻ BRANŻA ELEKTRYCZNA (SP1) INSTALACJA OŚWIETL</t>
  </si>
  <si>
    <t>ZU</t>
  </si>
  <si>
    <t>370000465</t>
  </si>
  <si>
    <t>40</t>
  </si>
  <si>
    <t>5/EN/03/2021</t>
  </si>
  <si>
    <t>Stal Systems przeksięgowanie f.9/FV/2020/6</t>
  </si>
  <si>
    <t>cz. rozliczenie f-ry 14/FV/2020/06</t>
  </si>
  <si>
    <t>880001881</t>
  </si>
  <si>
    <t>14/FV/2020/06</t>
  </si>
  <si>
    <t>MONTAŻ BRANŻA ELEKTRYCZNA (EN4) GOSPODARKA KABLOWA</t>
  </si>
  <si>
    <t>Stal Systems przeksięgowanie f.14/FV/2020/6</t>
  </si>
  <si>
    <t>880002314</t>
  </si>
  <si>
    <t>9/FV/2020/07</t>
  </si>
  <si>
    <t>DOSTAWY ELEMENTÓW STALOWYCH, GUMOWYCH, TIVAR, HARD</t>
  </si>
  <si>
    <t>vat od uznanej części f-ry (do rozliczenia jako vat naliczony?)</t>
  </si>
  <si>
    <t>370002218</t>
  </si>
  <si>
    <t>51/RM/12/2020</t>
  </si>
  <si>
    <t>1 rozl. Pismo G/1074/2020 - f-ra 9 z 7.2020</t>
  </si>
  <si>
    <t>poz.II 1</t>
  </si>
  <si>
    <t>całkowita odmowa zapłaty-netto</t>
  </si>
  <si>
    <t>całkowita odmowa zapłaty-Vat</t>
  </si>
  <si>
    <t>370002289</t>
  </si>
  <si>
    <t>50</t>
  </si>
  <si>
    <t>101/RM/12/2020</t>
  </si>
  <si>
    <t>wartość prac STS z protok. Inwentaryz.</t>
  </si>
  <si>
    <t>880002320</t>
  </si>
  <si>
    <t>6/FV/2020/07</t>
  </si>
  <si>
    <t>ROZRUCH INSTALACJI. ROZRUCHY INSTALACJI I URZĄDZEŃ</t>
  </si>
  <si>
    <t>1 rozl. Pismo G/1074/2020 - f-ra 6 z 7.2020</t>
  </si>
  <si>
    <t>880002319</t>
  </si>
  <si>
    <t>5/FV/2020/07</t>
  </si>
  <si>
    <t>MONTAŻ KONSTRUKCJI. (ZS) MODERNIZACJA (WYDŁUŻENIE)</t>
  </si>
  <si>
    <t>1 rozl. Pismo G/1074/2020 - f-ra 5 z 7.2020</t>
  </si>
  <si>
    <t>całkowita odmowa zaplaty-netto</t>
  </si>
  <si>
    <t>880002318</t>
  </si>
  <si>
    <t>16/FV/2020/06</t>
  </si>
  <si>
    <t>INSTALACJA WENTYLACJI I ODDYMIANIA (KR) INSTALACJA</t>
  </si>
  <si>
    <t>1 rozl. Pismo G/1074/2020 - f-ra 16 z 6.2020</t>
  </si>
  <si>
    <t>880002317</t>
  </si>
  <si>
    <t>15/FV/2020/06</t>
  </si>
  <si>
    <t>1 rozl. Pismo G/1074/2020 - f-ra 15 z 6.2020</t>
  </si>
  <si>
    <t>880002316</t>
  </si>
  <si>
    <t>10/FV/2020/07</t>
  </si>
  <si>
    <t>MONTAŻ PREFABRYKATÓW.</t>
  </si>
  <si>
    <t>1 rozl. Pismo G/1074/2020 - f-ra 10 z 7.2020</t>
  </si>
  <si>
    <t>poz.II 2</t>
  </si>
  <si>
    <t>3 rozl. Pismo G/1074/2020 - f-ra 2 z 11.2020</t>
  </si>
  <si>
    <t>poz. VI 1</t>
  </si>
  <si>
    <t>880003421</t>
  </si>
  <si>
    <t>2/FV/2020/11</t>
  </si>
  <si>
    <t>MONTAŻ INSTALACJI WOD/KAN I P.POŻ ESTAKADA ZASILAN</t>
  </si>
  <si>
    <t>1 rozl. Pismo G/1074/2020 - f-ra 2 z 11.2020</t>
  </si>
  <si>
    <t>poz.II 3</t>
  </si>
  <si>
    <t>2 rozl. Pismo G/1074/2020 - f-ra 2 z 11.2020</t>
  </si>
  <si>
    <t>poz III, IV</t>
  </si>
  <si>
    <t>częściowa odmowa zapłaty</t>
  </si>
  <si>
    <t>880000771</t>
  </si>
  <si>
    <t>10/FV/2020/03</t>
  </si>
  <si>
    <t>1 015.050.201.9 / 43.99.50.0 KWOTA 1,00 MONTAŻ BRA</t>
  </si>
  <si>
    <t>420002618</t>
  </si>
  <si>
    <t>PKOBPABK0120079</t>
  </si>
  <si>
    <t>PW</t>
  </si>
  <si>
    <t>cześciowa odmowa zapłaty</t>
  </si>
  <si>
    <t>880000178</t>
  </si>
  <si>
    <t>2/NO/2020/12</t>
  </si>
  <si>
    <t>NOTA NOTA OBCIĄŻENIOWA</t>
  </si>
  <si>
    <t>całkowita odmowa zapłaty</t>
  </si>
  <si>
    <t>880001398</t>
  </si>
  <si>
    <t>21</t>
  </si>
  <si>
    <t>1/FV/KOREKTA/202</t>
  </si>
  <si>
    <t>015.050.201.9 / 43.99.50.0 MONTAŻ BRANŻA ELEKTRYCZ</t>
  </si>
  <si>
    <t>korekta na -</t>
  </si>
  <si>
    <t>370000322</t>
  </si>
  <si>
    <t>09/RM/02/2021</t>
  </si>
  <si>
    <t>odpow.solid.-podwykonawcy STS</t>
  </si>
  <si>
    <t>nierozl. Zapł. Podwyk. Controltec</t>
  </si>
  <si>
    <t>solidarna odpowiedzialność</t>
  </si>
  <si>
    <t>nierozl. Zapł. Podwyk. IB Systems</t>
  </si>
  <si>
    <t>nierozl. Zapł. Podwyk. Hydro-Instal</t>
  </si>
  <si>
    <t>nierozl. Zapł. Podwyk. ASE</t>
  </si>
  <si>
    <t>nierozl. Zapł. Podwyk. Ace Instal</t>
  </si>
  <si>
    <t>370001104</t>
  </si>
  <si>
    <t>406/M</t>
  </si>
  <si>
    <t>ugoda pozasądowa Z/943/1/UP/2021 IB System</t>
  </si>
  <si>
    <t>370001261</t>
  </si>
  <si>
    <t>5/MD/07/2021</t>
  </si>
  <si>
    <t>FVSU/2020/09/002 UGODA POZASĄD. Z/967/1/UP/2021 AC Instal</t>
  </si>
  <si>
    <t>370001662</t>
  </si>
  <si>
    <t>20/MD/09/2021</t>
  </si>
  <si>
    <t>Z/1097/Z/UO/2021 UGODA  z IB Systems- Stal System</t>
  </si>
  <si>
    <t>370001745</t>
  </si>
  <si>
    <t>8/MD/10/2021</t>
  </si>
  <si>
    <t>Ugoda pozasądowa Z/1117/Z/UP/2021 HYDRO-INSTAL</t>
  </si>
  <si>
    <t>370001747</t>
  </si>
  <si>
    <t>9/MD/10/2021</t>
  </si>
  <si>
    <t>490004223</t>
  </si>
  <si>
    <t>PKOBPABK0121047</t>
  </si>
  <si>
    <t>Ugoda pozasądowa Z/801/1/UP/2021 EPC Projekt S.A.</t>
  </si>
  <si>
    <t>WB</t>
  </si>
  <si>
    <t>490005771</t>
  </si>
  <si>
    <t>PKOBPABK0121063</t>
  </si>
  <si>
    <t>Ugoda pozasądowa Z/833/1/UP/2021 ACE INSTAL SP.ZOO</t>
  </si>
  <si>
    <t>700002051</t>
  </si>
  <si>
    <t>01</t>
  </si>
  <si>
    <t>9014009752</t>
  </si>
  <si>
    <t>SF</t>
  </si>
  <si>
    <t>15</t>
  </si>
  <si>
    <t>4 rozlicz. Pismo G/1074/2020</t>
  </si>
  <si>
    <t>370002295</t>
  </si>
  <si>
    <t>104/RM/12/2020</t>
  </si>
  <si>
    <t>należ. Z tyt. K. usuwania usterek - um. 91</t>
  </si>
  <si>
    <t>należ. Z tyt. K. usuwania usterek - um. 54</t>
  </si>
  <si>
    <t>4 rozlicz. Pismo G/1074/2020 inw. Um. 54</t>
  </si>
  <si>
    <t>3 rozlicz. Pismo G/1074/2020 inw. Um. 91</t>
  </si>
  <si>
    <t>3 rozlicz. Pismo G/1074/2020 inw. Um. 54</t>
  </si>
  <si>
    <t>rozw. Rez</t>
  </si>
  <si>
    <t>brak f-ry rozl.z naszą notą</t>
  </si>
  <si>
    <t>370002290</t>
  </si>
  <si>
    <t>102/RM/12/2020</t>
  </si>
  <si>
    <t>330000022</t>
  </si>
  <si>
    <t>09</t>
  </si>
  <si>
    <t>20/ER/2020</t>
  </si>
  <si>
    <t>nota księgowa 20/ER/2020 Stal-Systems</t>
  </si>
  <si>
    <t>NK</t>
  </si>
  <si>
    <t>370001333</t>
  </si>
  <si>
    <t>02/RM/08/2020</t>
  </si>
  <si>
    <t>nal. z wykorzys. Gwarancji zapłaty</t>
  </si>
  <si>
    <t>370002219</t>
  </si>
  <si>
    <t>52/RM/12/2020</t>
  </si>
  <si>
    <t>należ. z wykorzys. Gwarancji zapłaty</t>
  </si>
  <si>
    <t>taka należność od STS jest wykazana na listopad 2020 w piśmie G/1074/2020</t>
  </si>
  <si>
    <t>vat od uznanych części faktur od STS</t>
  </si>
  <si>
    <t>solidarna odpowiedzialność - zapłaty podwykonawcom STS</t>
  </si>
  <si>
    <t xml:space="preserve">naliczony vat do wartości prac do których nie mamy faktury </t>
  </si>
  <si>
    <t>moim zdaniem błędnie zaksięgowana wartość na 30599; powinna iść rezerwę lub na przychody (+odpis aktualizujący) lub na rezerwę</t>
  </si>
  <si>
    <t>należność z wyk.gwarancji doksięgowana w 12-2020</t>
  </si>
  <si>
    <t>razem po korektach zapisów</t>
  </si>
  <si>
    <t>aktywa F-szu</t>
  </si>
  <si>
    <t>5.1 Podatek w sprawozdaniu z całkowitych dochodów</t>
  </si>
  <si>
    <t>PODATEK DOCHODOWY WYKAZYWANY W RACHUNKU ZYSKÓW I STRAT</t>
  </si>
  <si>
    <t xml:space="preserve">Bieżący podatek dochodowy </t>
  </si>
  <si>
    <t>Razem bieżący podatek dochodowy</t>
  </si>
  <si>
    <t>OBCIĄŻENIA PODATKOWE WYKAZYWANE W RACHUNKU ZYSKÓW I STRAT</t>
  </si>
  <si>
    <t>PODATEK DOCHODOWY WYKAZYWANY W INNYCH CAŁKOWITYCH DOCHODACH</t>
  </si>
  <si>
    <t>Od zysków / strat aktuarialnych z wyceny rezerw na świadczenia pracownicze</t>
  </si>
  <si>
    <t>OBCIĄŻENIE PODATKOWE UJĘTE W INNYCH CAŁKOWITYCH DOCHODACH (KAPITALE WŁASNYM)</t>
  </si>
  <si>
    <t>5.2 Efektywna stawka podatkowa</t>
  </si>
  <si>
    <t>ZYSK PRZED OPODATKOWANIEM</t>
  </si>
  <si>
    <t>Podatek według ustawowej stawki podatkowej obowiązującej w Polsce, wynoszącej 19%</t>
  </si>
  <si>
    <t>POZYCJE KORYGUJĄCE PODATEK DOCHODOWY</t>
  </si>
  <si>
    <t>Korekty dotyczące rozliczenia bieżącego podatku dochodowego z lat ubiegłych</t>
  </si>
  <si>
    <t>Przychody nie będące podstawą do opodatkowania</t>
  </si>
  <si>
    <t>Koszty nie stanowiące kosztów uzyskania przychodów</t>
  </si>
  <si>
    <t>PODATEK WEDŁUG EFEKTYWNEJ STAWKI PODATKOWEJ</t>
  </si>
  <si>
    <t>(Podatek dochodowy (obciążenie) w  sprawozdaniu)</t>
  </si>
  <si>
    <t>EFEKTYWNA STAWKA</t>
  </si>
  <si>
    <t>Różnica pomiędzy podatkową a bieżącą wartością księgową rzeczowych aktywów trwałych</t>
  </si>
  <si>
    <t>Różnica pomiędzy podatkową a bieżącą wartością księgową zobowiązań</t>
  </si>
  <si>
    <t>Różnica pomiędzy podatkową a bieżącą wartością księgową aktywów finansowych</t>
  </si>
  <si>
    <t>Różnica pomiędzy podatkową a bieżącą wartością księgową zapasów</t>
  </si>
  <si>
    <t>Rezerwy na świadczenia pracownicze</t>
  </si>
  <si>
    <t>Koszty okresu niezrealizowane podatkowo</t>
  </si>
  <si>
    <t>Różnica pomiędzy podatkową a bilansową wartością MSSF 16</t>
  </si>
  <si>
    <t>AKTYWA Z  TYTUŁU ODROCZONEGO PODATKU DOCHODOWEGO</t>
  </si>
  <si>
    <t>Różnica pomiędzy podatkową a bieżącą wartością księgową rzeczowych aktywów trwałych</t>
  </si>
  <si>
    <t>Różnica pomiędzy podatkową a bieżącą wartością księgową pozostałych aktywów finansowych</t>
  </si>
  <si>
    <t>Różnica pomiędzy podatkową a bieżącą wartością księgową zobowiązań  finansowych</t>
  </si>
  <si>
    <t>Przychody okresu niezrealizowane podatkowo</t>
  </si>
  <si>
    <t>Doszacowanie przychodów</t>
  </si>
  <si>
    <t>REZERWA Z TYTUŁU PODATKU ODROCZONEGO</t>
  </si>
  <si>
    <t>PO SKOMPENSOWANIU SALD PODATEK ODROCZONY SPÓŁKI PREZENTOWANY JEST JAKO:</t>
  </si>
  <si>
    <t>Aktywa z tytułu podatku dochodowego</t>
  </si>
  <si>
    <t>Rezerwa z tytułu podatku dochodowego</t>
  </si>
  <si>
    <t>podatek dochodowy wykazany w całkowitych dochodach</t>
  </si>
  <si>
    <t>Renata</t>
  </si>
  <si>
    <t>Zobowiązania z tytułu gwarancji bankowych udzielonych w głównej mierze jako zabezpieczenie wykonania umów handlowych</t>
  </si>
  <si>
    <t>Inne zobowiązania warunkowe</t>
  </si>
  <si>
    <t>ZOBOWIĄZANIA WARUNKOWE, RAZEM</t>
  </si>
  <si>
    <t>Wyceny przychodu dotyczące transakcji z podmiotami powiązanymi (MSSF 15)</t>
  </si>
  <si>
    <t>100 udziałów o wartości 500 złotych każdy objętych w wyniku połączenia z  „TOP SERWIS” sp. z o.o.</t>
  </si>
  <si>
    <t>Podatek od nieruchomości</t>
  </si>
  <si>
    <t>Sponsoring, reprezentacja i reklama</t>
  </si>
  <si>
    <t>zw.przych.z wyc.</t>
  </si>
  <si>
    <t>kor.wyceny</t>
  </si>
  <si>
    <t>efekt wycen</t>
  </si>
  <si>
    <t>zwiększenie przychodów w por.z rokiem ubiegłym</t>
  </si>
  <si>
    <t>zmniejszenie w por.z rokiem ubiegłym</t>
  </si>
  <si>
    <t>Prenumerata</t>
  </si>
  <si>
    <t>4305100005</t>
  </si>
  <si>
    <t>7540099050</t>
  </si>
  <si>
    <t>PF PPF od poz f</t>
  </si>
  <si>
    <t xml:space="preserve">V Zobowiązania długoter.DKP - kaucje </t>
  </si>
  <si>
    <t>zmiana stanu rez.na pod.odrocz.z koresp.z zyskami zatrzymanymi</t>
  </si>
  <si>
    <t>nowa umowa dzierżawy - RE</t>
  </si>
  <si>
    <t>jak nie będzie grało zrobić dodatkowo analizę zkonta 3050400000</t>
  </si>
  <si>
    <t>rozliczenie zakupu j.pozostałe</t>
  </si>
  <si>
    <t>pozostałe korekty</t>
  </si>
  <si>
    <t>Tech.do wpłat-k</t>
  </si>
  <si>
    <t>2204010006</t>
  </si>
  <si>
    <t>2204010008</t>
  </si>
  <si>
    <t>ZFŚŚ_wypr_obozy</t>
  </si>
  <si>
    <t>minus Elkom 2000114</t>
  </si>
  <si>
    <t>plus Elkom</t>
  </si>
  <si>
    <t>d)pozostałe należności z tyt. Podatków</t>
  </si>
  <si>
    <t xml:space="preserve">PGE Synergia - tylko za luty </t>
  </si>
  <si>
    <t>Transakcja: S_ALR_87013542</t>
  </si>
  <si>
    <t>jak pokaże się profil bazy wybrać 0000000001 - standardowy i zatwierdzić</t>
  </si>
  <si>
    <t>obszar rachunku kosztów: 1000</t>
  </si>
  <si>
    <t>wersja planu: 0</t>
  </si>
  <si>
    <t>zatwierdzić</t>
  </si>
  <si>
    <t>pokaże się zestawienie, w kolumnie Rzeczywiste jest wartość środkó trwałych przyjętych a nie rozliczonych przez kontroling</t>
  </si>
  <si>
    <t>4305600009</t>
  </si>
  <si>
    <t>4411300000</t>
  </si>
  <si>
    <t>Płace poz.stałe</t>
  </si>
  <si>
    <t>4413700000</t>
  </si>
  <si>
    <t>Odprawy pozosta</t>
  </si>
  <si>
    <t>4802200000</t>
  </si>
  <si>
    <t>Del.zagr.hotele</t>
  </si>
  <si>
    <t>4802300000</t>
  </si>
  <si>
    <t>Del.zagr.diety</t>
  </si>
  <si>
    <t>4812000000</t>
  </si>
  <si>
    <t>Odszk.um.zakaz.</t>
  </si>
  <si>
    <t>7500199059</t>
  </si>
  <si>
    <t>7580001059</t>
  </si>
  <si>
    <t>KF Uj RK śr. pi</t>
  </si>
  <si>
    <t>korekta bilansu otwarcie</t>
  </si>
  <si>
    <t>4304020009</t>
  </si>
  <si>
    <t>4306020000</t>
  </si>
  <si>
    <t>Usł.wynajmu nar</t>
  </si>
  <si>
    <t>7590099000</t>
  </si>
  <si>
    <t>KF PKF poz. fin</t>
  </si>
  <si>
    <t>7691399000</t>
  </si>
  <si>
    <t>PKO_Likwid.szkó</t>
  </si>
  <si>
    <t>rozliczenie kosztów na rzacz inwestycji</t>
  </si>
  <si>
    <t>rozliczenie kosztów na rzecz inwestycji (koszty obrotów wewnętrznych)</t>
  </si>
  <si>
    <t>rozliczenie kosztów inwestycyjnych (obroty wewnętrzne)</t>
  </si>
  <si>
    <t>7699908000</t>
  </si>
  <si>
    <t>PKO_War.zlik.sk</t>
  </si>
  <si>
    <t>.</t>
  </si>
  <si>
    <t>2750990000</t>
  </si>
  <si>
    <t>7590099050</t>
  </si>
  <si>
    <t>Zob.nief.kr_otrzym.przedpłaty pozostałe_OKPNP</t>
  </si>
  <si>
    <t>sprawdzać co tu wisi</t>
  </si>
  <si>
    <t>Zysk za rok obrotowy</t>
  </si>
  <si>
    <t>przeniesienie zysku netto</t>
  </si>
  <si>
    <t>korekta bilansu otwarcia</t>
  </si>
  <si>
    <t>obecnie (ręcznie) minus leasing samoch.</t>
  </si>
  <si>
    <t>obecnie (ręcznie)  leasing samoch.</t>
  </si>
  <si>
    <t>wpisać Element PSP: Z4AI*</t>
  </si>
  <si>
    <t>(sprawdzić pozycję: rozl.koszt.inwestyc)</t>
  </si>
  <si>
    <t>rok od 2022 do 2022</t>
  </si>
  <si>
    <t>okres od 1 Do 6</t>
  </si>
  <si>
    <t>zmiana stanu śr.trw.</t>
  </si>
  <si>
    <t>Szac z.nagr i d</t>
  </si>
  <si>
    <t>7640909000</t>
  </si>
  <si>
    <t>PPO_Odszkodowa.</t>
  </si>
  <si>
    <t>Przedłużenie umowy dzierżawy - RE</t>
  </si>
  <si>
    <t>4319030000</t>
  </si>
  <si>
    <t>Tłumaczenia</t>
  </si>
  <si>
    <t>7540640009</t>
  </si>
  <si>
    <t>PF_Zysk-leas-NK</t>
  </si>
  <si>
    <t>7580120059</t>
  </si>
  <si>
    <t>KF Uj RK nal. h</t>
  </si>
  <si>
    <t>MegaSerwis</t>
  </si>
  <si>
    <t>MegaSerwis - odmowa zapłaty</t>
  </si>
  <si>
    <t>4114400000</t>
  </si>
  <si>
    <t>Poz.addyt.i che</t>
  </si>
  <si>
    <t>4890000009</t>
  </si>
  <si>
    <t>PKO Kary i grzywny noty uznaniowe</t>
  </si>
  <si>
    <t>PF Pozostałe przych.finans.od pozycji finans. NP.</t>
  </si>
  <si>
    <t>7641002000</t>
  </si>
  <si>
    <t>7690919109</t>
  </si>
  <si>
    <t>PPO_Kos.sąd.zapł.BN</t>
  </si>
  <si>
    <t>7641515000</t>
  </si>
  <si>
    <t>PPO_Poz. leasin</t>
  </si>
  <si>
    <t>2000612</t>
  </si>
  <si>
    <t>B90: ELBEST Security</t>
  </si>
  <si>
    <t>B01: ELBEST Sp. z o.o.</t>
  </si>
  <si>
    <t>H09: PGE Energia Ciepła SA Kraków</t>
  </si>
  <si>
    <t>2162200000</t>
  </si>
  <si>
    <t>Zob DZNP NI, RA</t>
  </si>
  <si>
    <t>4802400000</t>
  </si>
  <si>
    <t>Del.zagr.poz.ko</t>
  </si>
  <si>
    <t>śr.trwałe w drodze</t>
  </si>
  <si>
    <t>300 030 0000</t>
  </si>
  <si>
    <t>B28 PGE Synergia</t>
  </si>
  <si>
    <t>H09 PGE Energia Ciepłą SA Kraków</t>
  </si>
  <si>
    <t>B90 ELBEST Security sp. z o.o.</t>
  </si>
  <si>
    <t>netto</t>
  </si>
  <si>
    <t>brutto</t>
  </si>
  <si>
    <t>odpis</t>
  </si>
  <si>
    <t>sprawdz.</t>
  </si>
  <si>
    <t>błędnie zaksięgowana  data raty - Betrans (tylko we wrześniu)</t>
  </si>
  <si>
    <t>licencja - błędnie wprowadzona na śr.trw.w budowie</t>
  </si>
  <si>
    <t>Elkom z 3000300000</t>
  </si>
  <si>
    <t>Polimex Energetyka</t>
  </si>
  <si>
    <t>minus Polimex Energetyka 2000572</t>
  </si>
  <si>
    <t>plus Polimex Energetyka</t>
  </si>
  <si>
    <t>minus Elkom</t>
  </si>
  <si>
    <t>minus Polimex Energetyka</t>
  </si>
  <si>
    <t>Total IZW002020000:Zobowiązania z tytułu leasingu finansowego 
GK PGE</t>
  </si>
  <si>
    <t>IZW002020000:Zobowiązania z tytułu leasingu finansowego 
X01:Pozostałe podmioty</t>
  </si>
  <si>
    <t>Total IZW002140000:Zobowiązania z tytułu leasingu MSSF16 
GK PGE</t>
  </si>
  <si>
    <t>IZW002140000:Zobowiązania z tytułu leasingu MSSF16 
X01:Pozostałe podmioty</t>
  </si>
  <si>
    <t>IZW002030000:Wyemitowane obligacje i inne papiery dłużne 
:</t>
  </si>
  <si>
    <t>Total IZW002030000:Wyemitowane obligacje i inne papiery dłużne 
GK PGE</t>
  </si>
  <si>
    <t>IZW002030000:Wyemitowane obligacje i inne papiery dłużne 
X01:Pozostałe podmioty</t>
  </si>
  <si>
    <t>IZW002040000:Oprocentowane kredyty i pożyczki 
C01:PGE Polska Grupa Energetyczna S.A.</t>
  </si>
  <si>
    <t>Total IZW002040000:Oprocentowane kredyty i pożyczki 
GK PGE</t>
  </si>
  <si>
    <t>IZW002040000:Oprocentowane kredyty i pożyczki 
X01:Pozostałe podmioty</t>
  </si>
  <si>
    <t>IZW002100000:Zobowiązania z tyt. cash poolingu 
C01:PGE Polska Grupa Energetyczna S.A.</t>
  </si>
  <si>
    <t>Total IZW002100000:Zobowiązania z tyt. cash poolingu 
GK PGE</t>
  </si>
  <si>
    <t>IZW002100000:Zobowiązania z tyt. cash poolingu 
X01:Pozostałe podmioty</t>
  </si>
  <si>
    <t>IZW002050000:Zobowiązania z tytułu zakupu RAT i WN 
:</t>
  </si>
  <si>
    <t>Total IZW002050000:Zobowiązania z tytułu zakupu RAT i WN 
GK PGE</t>
  </si>
  <si>
    <t>IZW002050000:Zobowiązania z tytułu zakupu RAT i WN 
X01:Pozostałe podmioty</t>
  </si>
  <si>
    <t>IZW002060000:Zobowiązania z tytułu sprzedanych nalezności z regresem 
:</t>
  </si>
  <si>
    <t>Total IZW002060000:Zobowiązania z tytułu sprzedanych nalezności z regresem 
GK PGE</t>
  </si>
  <si>
    <t>IZW002060000:Zobowiązania z tytułu sprzedanych nalezności z regresem 
X01:Pozostałe podmioty</t>
  </si>
  <si>
    <t>IZW002080100: - doszacowanie energii na różnicę bilansową 
:</t>
  </si>
  <si>
    <t>Total IZW002080100: - doszacowanie energii na różnicę bilansową 
GK PGE</t>
  </si>
  <si>
    <t>IZW002080100: - doszacowanie energii na różnicę bilansową 
X01:Pozostałe podmioty</t>
  </si>
  <si>
    <t>IZW002080200: - doszacowanie usługi dystrybucyjnej 
:</t>
  </si>
  <si>
    <t>Total IZW002080200: - doszacowanie usługi dystrybucyjnej 
GK PGE</t>
  </si>
  <si>
    <t>IZW002080200: - doszacowanie usługi dystrybucyjnej 
X01:Pozostałe podmioty</t>
  </si>
  <si>
    <t>IZW002990000:Inne zobowiązania finansowe 
:</t>
  </si>
  <si>
    <t>Total IZW002990000:Inne zobowiązania finansowe 
GK PGE</t>
  </si>
  <si>
    <t>IZW002990000:Inne zobowiązania finansowe 
X01:Pozostałe podmioty</t>
  </si>
  <si>
    <t>IZW002990100:Kaucje i wadia 
:</t>
  </si>
  <si>
    <t>Total IZW002990100:Kaucje i wadia 
GK PGE</t>
  </si>
  <si>
    <t>IZW002990100:Kaucje i wadia 
X01:Pozostałe podmioty</t>
  </si>
  <si>
    <t>IZW002990200:Ubezpieczenia 
:</t>
  </si>
  <si>
    <t>Total IZW002990200:Ubezpieczenia 
GK PGE</t>
  </si>
  <si>
    <t>IZW002990200:Ubezpieczenia 
X01:Pozostałe podmioty</t>
  </si>
  <si>
    <t>IZW002999900:Pozostałe zobowiązania finansowe - pozostałe 
:</t>
  </si>
  <si>
    <t>Total IZW002999900:Pozostałe zobowiązania finansowe - pozostałe 
GK PGE</t>
  </si>
  <si>
    <t>IZW002999900:Pozostałe zobowiązania finansowe - pozostałe 
X01:Pozostałe podmioty</t>
  </si>
  <si>
    <t>Konto</t>
  </si>
  <si>
    <t>2108050000 minus 2108050008</t>
  </si>
  <si>
    <r>
      <t xml:space="preserve">IZW002020000:Zobowiązania z tytułu leasingu finansowego 
B58:BETRANS sp. z o.o.              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>2000034</t>
    </r>
  </si>
  <si>
    <r>
      <t xml:space="preserve">IZW002140000:Zobowiązania z tytułu leasingu MSSF16 
B58:BETRANS sp. z o.o.             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 xml:space="preserve"> 2000034</t>
    </r>
  </si>
  <si>
    <r>
      <t xml:space="preserve">IZW002140000:Zobowiązania z tytułu leasingu MSSF16 
G03:Oddział Kopalnia Węgla Brunatnego Turów                                                             </t>
    </r>
    <r>
      <rPr>
        <b/>
        <sz val="8"/>
        <color rgb="FF000000"/>
        <rFont val="Arial"/>
        <family val="2"/>
        <charset val="238"/>
      </rPr>
      <t xml:space="preserve"> 2000000</t>
    </r>
  </si>
  <si>
    <r>
      <t xml:space="preserve">IZW002140000:Zobowiązania z tytułu leasingu MSSF16 
G05:Oddział Elektrownia Turów      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>2000091</t>
    </r>
  </si>
  <si>
    <r>
      <t xml:space="preserve">IZW002140000:Zobowiązania z tytułu leasingu MSSF16 
G07:Oddział Elektrownia Opole    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 xml:space="preserve"> 2000082</t>
    </r>
  </si>
  <si>
    <t>SF-Z-010 - Inne zobowiązania finansowe</t>
  </si>
  <si>
    <t>IAW002020100:Należności z tytułu leasingu finansowego 
:</t>
  </si>
  <si>
    <t>Total IAW002020100:Należności z tytułu leasingu finansowego 
 - GK PGE</t>
  </si>
  <si>
    <t>IAW002020100:Należności z tytułu leasingu finansowego 
X01:Pozostałe podmioty</t>
  </si>
  <si>
    <t>IAW002021400:Należności z tytułu leasingu MSSF16 
:</t>
  </si>
  <si>
    <t>TOTAL IAW002021400:Należności z tytułu leasingu MSSF16 
 - GK PGE</t>
  </si>
  <si>
    <t>IAW002021400:Należności z tytułu leasingu MSSF16 
X01:Pozostałe podmioty</t>
  </si>
  <si>
    <t>IAW002020200:Papiery dłużne, w tym obligacje 
X01:Pozostałe podmioty</t>
  </si>
  <si>
    <t>IAW002020300:Pożyczki udzielone 
:</t>
  </si>
  <si>
    <t>Total IAW002020300:Pożyczki udzielone 
 - GK PGE</t>
  </si>
  <si>
    <t>IAW002020300:Pożyczki udzielone 
X01:Pozostałe podmioty</t>
  </si>
  <si>
    <t>IAW002021200:Należności z tyt. cash poolingu 
:</t>
  </si>
  <si>
    <t>IAW002021200:Należności z tyt. cash poolingu 
X01:Pozostałe podmioty</t>
  </si>
  <si>
    <t>IAW002020400:Obligacje spółek 
:</t>
  </si>
  <si>
    <t>IAW002020600:Należności z tytułu sprzedaży RAT i WN 
:</t>
  </si>
  <si>
    <t>Total IAW002020600:Należności z tytułu sprzedaży RAT i WN 
 - GK PGE</t>
  </si>
  <si>
    <t>IAW002020600:Należności z tytułu sprzedaży RAT i WN 
X01:Pozostałe podmioty</t>
  </si>
  <si>
    <t>IAW002030000:Inne należności finansowe - wartość netto 
G05:Oddział Elektrownia Turów</t>
  </si>
  <si>
    <t>IAW002030000:Inne należności finansowe - wartość netto 
G07:Oddział Elektrownia Opole</t>
  </si>
  <si>
    <t>IAW002030000:Inne należności finansowe - wartość netto 
H02:Zespół Elektrociepłowni Wrocławskich Kogeneracja S.A.</t>
  </si>
  <si>
    <t>Total IAW002030000:Inne należności finansowe - wartość netto 
 - GK PGE</t>
  </si>
  <si>
    <t>IAW002030000:Inne należności finansowe - wartość netto 
X01:Pozostałe podmioty</t>
  </si>
  <si>
    <t>Total IAW002020900:Kaucje i wadia 
 - GK PGE</t>
  </si>
  <si>
    <t>IAW002020900:Kaucje i wadia 
X01:Pozostałe podmioty</t>
  </si>
  <si>
    <t>IAW002021000:Należności z tytułu nielegalnego poboru energii 
:</t>
  </si>
  <si>
    <t>Total IAW002021000:Należności z tytułu nielegalnego poboru energii 
 - GK PGE</t>
  </si>
  <si>
    <t>IAW002021000:Należności z tytułu nielegalnego poboru energii 
X01:Pozostałe podmioty</t>
  </si>
  <si>
    <t>IAW002022000:Odszkodowania i kary 
:</t>
  </si>
  <si>
    <t>Total IAW002022000:Odszkodowania i kary 
 - GK PGE</t>
  </si>
  <si>
    <t>IAW002022000:Odszkodowania i kary 
X01:Pozostałe podmioty</t>
  </si>
  <si>
    <t>IAW002023000:Zabezpieczenie rynek bilansujący 
:</t>
  </si>
  <si>
    <t>Total IAW002023000:Zabezpieczenie rynek bilansujący 
 - GK PGE</t>
  </si>
  <si>
    <t>IAW002023000:Zabezpieczenie rynek bilansujący 
X01:Pozostałe podmioty</t>
  </si>
  <si>
    <t>Razem IAW002029900:Pozostałe  należności finansowe - pozostałe</t>
  </si>
  <si>
    <t>IAW002029900:Pozostałe  należności finansowe - pozostałe 
:</t>
  </si>
  <si>
    <t>Total IAW002029900:Pozostałe  należności finansowe - pozostałe 
 - GK PGE</t>
  </si>
  <si>
    <t>IAW002029900:Pozostałe  należności finansowe - pozostałe 
X01:Pozostałe podmioty</t>
  </si>
  <si>
    <t>PTE - nadpłata</t>
  </si>
  <si>
    <t>IAWW02020400:Obligacje spółek  - w.netto - Z01:Podmioty z grupy PGE - F999:Bilans zamknięcia</t>
  </si>
  <si>
    <t>2008000000                                 2008010000</t>
  </si>
  <si>
    <t>analiza kont 2108990000 - w przyp.nadpłaty                                           2008990000</t>
  </si>
  <si>
    <t>SF-A-050  Pożyczki i należności</t>
  </si>
  <si>
    <t>Średni pozostały okres</t>
  </si>
  <si>
    <t>amortyzacji w latach</t>
  </si>
  <si>
    <t>Stosowane całkowite okresy</t>
  </si>
  <si>
    <t>Patenty i licencje</t>
  </si>
  <si>
    <t>4308200005</t>
  </si>
  <si>
    <t>4801000000</t>
  </si>
  <si>
    <t>Delegacje krajo</t>
  </si>
  <si>
    <t>4900400000</t>
  </si>
  <si>
    <t>7501090059</t>
  </si>
  <si>
    <t>7650013000</t>
  </si>
  <si>
    <t>7650015009</t>
  </si>
  <si>
    <t>PKO_Spis/zanie.</t>
  </si>
  <si>
    <t>Hxx: PGE Energia Ciepła SA Warszawa</t>
  </si>
  <si>
    <t>2000640</t>
  </si>
  <si>
    <t>IAW002030000:Inne należności finansowe - wartość netto 
   : PGE Energia Ciepła SA - Warszawa</t>
  </si>
  <si>
    <t xml:space="preserve">STS 1049011 odmowy zapłaty </t>
  </si>
  <si>
    <t>Minus STS - kontr.1049011 - przegrupowany do należności</t>
  </si>
  <si>
    <t>7530120059</t>
  </si>
  <si>
    <t>PF Dod RK nal h</t>
  </si>
  <si>
    <t>7640901000</t>
  </si>
  <si>
    <t>PPO_odszkod_flo</t>
  </si>
  <si>
    <t>7691303000</t>
  </si>
  <si>
    <t>PKO_Likw.szk.fl</t>
  </si>
  <si>
    <t>minus szacunek z 16.01.2022 ELT</t>
  </si>
  <si>
    <t>minus szacunek z 16.01.2022 KWB</t>
  </si>
  <si>
    <t>zaniechanie inwestycji</t>
  </si>
  <si>
    <t>2397990000</t>
  </si>
  <si>
    <t>Szac zob prac i</t>
  </si>
  <si>
    <t>Szac zob prac - świadczenie konsolidacyjne</t>
  </si>
  <si>
    <t>2201010000</t>
  </si>
  <si>
    <t>Rozr US poddoch</t>
  </si>
  <si>
    <t>AP_WF-doszac.ko</t>
  </si>
  <si>
    <t>XI. Zobowiązania z tytułu podatku dochodowego</t>
  </si>
  <si>
    <t>Rozrachunki US podatek dochodowy CIT</t>
  </si>
  <si>
    <t>Rozr US poddoch - CIT</t>
  </si>
  <si>
    <t>Zyski/ straty aktuarialne z wyłączeniem stopy dyskonta</t>
  </si>
  <si>
    <t>Zyski/ straty aktuarialne w wyniku zmiany stopy dyskonta</t>
  </si>
  <si>
    <t>2000660</t>
  </si>
  <si>
    <t>210 000 0006</t>
  </si>
  <si>
    <t>B37:  ELBIS Rogowiec</t>
  </si>
  <si>
    <t>Wn</t>
  </si>
  <si>
    <t>Ma</t>
  </si>
  <si>
    <t>błędne przegrupowania umowa 48</t>
  </si>
  <si>
    <t>błędne przegrupowania umowa 52</t>
  </si>
  <si>
    <t>Zobowiązanie z tyt.pożyczki</t>
  </si>
  <si>
    <t>W przychodach ze sprzedaży Spółka rozpoznała przychody, dla których wartość nie została ostatecznie ustalona na koniec okresu sprawozdawczego:</t>
  </si>
  <si>
    <t>1310070001</t>
  </si>
  <si>
    <t>PKOBP -wal pods</t>
  </si>
  <si>
    <t>4114200000</t>
  </si>
  <si>
    <t>Chem.dla demine</t>
  </si>
  <si>
    <t>4890000000</t>
  </si>
  <si>
    <t>7530120050</t>
  </si>
  <si>
    <t>7580120050</t>
  </si>
  <si>
    <t>7691010000</t>
  </si>
  <si>
    <t>PKO_Koszty Postępowania Egzekucyjnego(doch.N)</t>
  </si>
  <si>
    <t>7139090005</t>
  </si>
  <si>
    <t>P.sprzed.usł.do</t>
  </si>
  <si>
    <t xml:space="preserve">Sprz.poz.usług - szacunek </t>
  </si>
  <si>
    <t>NA DZIEŃ 31 GRUDNIA 2023 ROKU</t>
  </si>
  <si>
    <t>Sprawozdanie ze zmian w kapitałach własnych                                          za 2023r.</t>
  </si>
  <si>
    <t>KD Rozr podróże</t>
  </si>
  <si>
    <t>D.w dr.jnp-zapa</t>
  </si>
  <si>
    <t>7641103000</t>
  </si>
  <si>
    <t>PPO_Nadw.AO z i</t>
  </si>
  <si>
    <t>7699910000</t>
  </si>
  <si>
    <t>PKO_Niedobory A</t>
  </si>
  <si>
    <t>EPORE</t>
  </si>
  <si>
    <t>PGE Energia Ciepła Kraków</t>
  </si>
  <si>
    <t>Zespół Elektrowni Wrocławskich</t>
  </si>
  <si>
    <t>PGE Synergia</t>
  </si>
  <si>
    <t>PGE GiEK</t>
  </si>
  <si>
    <r>
      <t xml:space="preserve">Total IAW002021200:Należności z tyt. cash poolingu 
 - GK PGE  </t>
    </r>
    <r>
      <rPr>
        <b/>
        <sz val="11"/>
        <color rgb="FF000000"/>
        <rFont val="Arial"/>
        <family val="2"/>
        <charset val="238"/>
      </rPr>
      <t xml:space="preserve"> PGE SA  C01</t>
    </r>
  </si>
  <si>
    <t>C01   PGE SA</t>
  </si>
  <si>
    <t>7501099000</t>
  </si>
  <si>
    <t>PF Ods poz poz</t>
  </si>
  <si>
    <t>7590640009</t>
  </si>
  <si>
    <t>KF_Str-leas-NKU</t>
  </si>
  <si>
    <t>7650005000</t>
  </si>
  <si>
    <t>ZFŚŚ_wyem_zapom</t>
  </si>
  <si>
    <t>2000094</t>
  </si>
  <si>
    <t>E01:  PGE Energia Odnawialna SA Warszawa</t>
  </si>
  <si>
    <t>zwiększenia</t>
  </si>
  <si>
    <t>6100120000</t>
  </si>
  <si>
    <t>AP_WFstraty pod</t>
  </si>
  <si>
    <t>9999000000</t>
  </si>
  <si>
    <t>Konto techniczn</t>
  </si>
  <si>
    <t>1750000000</t>
  </si>
  <si>
    <t>KT_RK zreal_śr.</t>
  </si>
  <si>
    <t>1750010000</t>
  </si>
  <si>
    <t>KT_RK nzreal_śr</t>
  </si>
  <si>
    <t>2150000009</t>
  </si>
  <si>
    <t>2160000009</t>
  </si>
  <si>
    <t>4301900005</t>
  </si>
  <si>
    <t>4308300005</t>
  </si>
  <si>
    <t>4308300009</t>
  </si>
  <si>
    <t>7139900009</t>
  </si>
  <si>
    <t>7530001050</t>
  </si>
  <si>
    <t>PF Dod RK od śr</t>
  </si>
  <si>
    <t>7580001050</t>
  </si>
  <si>
    <t>KF Uj. RK śr. p</t>
  </si>
  <si>
    <t>P.sprzed.poz.us - KCT</t>
  </si>
  <si>
    <t>Sprz.poz.usług - szacunek - KCT</t>
  </si>
  <si>
    <t>PKO_Kos.zw.ze sprzedażą śr.trw.</t>
  </si>
  <si>
    <t>Zob wobec DKNP DiU - wycena</t>
  </si>
  <si>
    <t>Zob wobec DZNP DiU - wycena</t>
  </si>
  <si>
    <t>Razem zapasy</t>
  </si>
  <si>
    <t>Towary</t>
  </si>
  <si>
    <t>Prawa pochodzenia energii</t>
  </si>
  <si>
    <t>ZPS300000:Półprodukty i produkcja w toku</t>
  </si>
  <si>
    <t>ZPS200000:Produkty gotowe</t>
  </si>
  <si>
    <t>ZPS1MP000:Materiały pozostałe</t>
  </si>
  <si>
    <t>ZPS1MT020 Remontowo - eksploatacyjne</t>
  </si>
  <si>
    <t>ZPS1MT010 Inwestycyjne</t>
  </si>
  <si>
    <t>Materiały techniczne</t>
  </si>
  <si>
    <t>SUR103090 Pozostałe surowce</t>
  </si>
  <si>
    <t>SUR103030 Sorbent</t>
  </si>
  <si>
    <t>SUR103020 Kamień wapienny</t>
  </si>
  <si>
    <t>SUR103010 Mączka wapienna</t>
  </si>
  <si>
    <t>Surowce produkcyjne-pozostałe</t>
  </si>
  <si>
    <t>SUR102090 Paliwa produkcyjne / pozostałe</t>
  </si>
  <si>
    <t>SUR102030 Gaz techniczny</t>
  </si>
  <si>
    <t>SUR102020 Ekoterm</t>
  </si>
  <si>
    <t>SUR102010 Mazut</t>
  </si>
  <si>
    <t>Pozostałe paliwa</t>
  </si>
  <si>
    <t>SUR101050 Biomasa leśna</t>
  </si>
  <si>
    <t>SUR101040 Biomasa rolna</t>
  </si>
  <si>
    <t>SUR101030 Gaz ziemny</t>
  </si>
  <si>
    <t>SUR101020 Węgiel brunatny</t>
  </si>
  <si>
    <t>SUR101010 Węgiel kamienny MIAŁ</t>
  </si>
  <si>
    <t>Paliwa produkcyjne</t>
  </si>
  <si>
    <t>Surowce</t>
  </si>
  <si>
    <t>Materiały</t>
  </si>
  <si>
    <t>AOW101010000
Zapasy - Wartość netto możliwa do uzyskania</t>
  </si>
  <si>
    <t>AOW101030000
Zapasy - Odpis aktualizujący (wartości ujemne)</t>
  </si>
  <si>
    <t>AOW101020000
Zapasy - Koszt historyczny</t>
  </si>
  <si>
    <t>IAW002350000:Inne należności finansowe - odpis aktualizujacy 
F999:Bilans zamknięcia 
X01:Pozostałe podmioty</t>
  </si>
  <si>
    <t>IAW002350000:Inne należności finansowe - odpis aktualizujacy 
P900:Pozostałe zmiany 
X01:Pozostałe podmioty</t>
  </si>
  <si>
    <t>IAW002350000:Inne należności finansowe - odpis aktualizujacy 
P150:Rozwiązanie rezerwy/odpisu w pozostałe przychody operacyjne 
X01:Pozostałe podmioty</t>
  </si>
  <si>
    <t>IAW002350000:Inne należności finansowe - odpis aktualizujacy 
P120:Utworzenie rezerwy/odpisu w pozostałe koszty operacyjne 
X01:Pozostałe podmioty</t>
  </si>
  <si>
    <t>IAW002350000:Inne należności finansowe - odpis aktualizujacy 
F000:Bilans otwarcia 
X01:Pozostałe podmioty</t>
  </si>
  <si>
    <t>Konto sumujące</t>
  </si>
  <si>
    <t>IAW002350000:Inne należności finansowe - odpis aktualizujacy 
F999:Bilans zamknięcia 
TOTAL Jednostki A i B</t>
  </si>
  <si>
    <t>IAW002350000:Inne należności finansowe - odpis aktualizujacy 
F999:Bilans zamknięcia 
:</t>
  </si>
  <si>
    <t>IAW002350000:Inne należności finansowe - odpis aktualizujacy 
: 
:</t>
  </si>
  <si>
    <t>IAW002350000:Inne należności finansowe - odpis aktualizujacy</t>
  </si>
  <si>
    <t>IAW002310000:Inne należności finansowe - wartość brutto 
X01:Pozostałe podmioty</t>
  </si>
  <si>
    <t>IAW002310000:Inne należności finansowe - wartość brutto 
TOTAL Jednostki A i B</t>
  </si>
  <si>
    <t>IAW002310000:Inne należności finansowe - wartość brutto 
H02:Zespół Elektrociepłowni Wrocławskich Kogeneracja S.A.</t>
  </si>
  <si>
    <t>IAW002310000:Inne należności finansowe - wartość brutto 
H01:PGE Energia Ciepła S.A. od 08.2018 bez o/EL Rybnik</t>
  </si>
  <si>
    <t>IAW002310000:Inne należności finansowe - wartość brutto 
G07:Oddział Elektrownia Opole</t>
  </si>
  <si>
    <t>IAW002310000:Inne należności finansowe - wartość brutto</t>
  </si>
  <si>
    <t>IAW002300000:Inne należności finansowe - wartość netto 
X01:Pozostałe podmioty</t>
  </si>
  <si>
    <t>IAW002300000:Inne należności finansowe - wartość netto 
TOTAL Jednostki A i B</t>
  </si>
  <si>
    <t>IAW002300000:Inne należności finansowe - wartość netto</t>
  </si>
  <si>
    <t>Inne należności finansowe</t>
  </si>
  <si>
    <t>Elektrownia Opole 2000082 - błędnie wystawiona f-ra do maja</t>
  </si>
  <si>
    <t>zmniejszenia wiersz 32 (wykorzystanie)</t>
  </si>
  <si>
    <t>Energopomiar Gliwice 2000066</t>
  </si>
  <si>
    <t>Energopomiar Gliwice</t>
  </si>
  <si>
    <t>IZW002040000:Oprocentowane kredyty i pożyczki 
G01 PGE GiEK SA</t>
  </si>
  <si>
    <t>4304130005</t>
  </si>
  <si>
    <t>7530699050</t>
  </si>
  <si>
    <t>PF Dod RK p. zo</t>
  </si>
  <si>
    <t>BO odsetki od pożyczki</t>
  </si>
  <si>
    <t>Energopomiar</t>
  </si>
  <si>
    <t>błąd księgowania  RE</t>
  </si>
  <si>
    <t>7649900000</t>
  </si>
  <si>
    <t>PPO_Przeda.i um</t>
  </si>
  <si>
    <t>7690919100</t>
  </si>
  <si>
    <t>PKO_Kary i grzy</t>
  </si>
  <si>
    <t>7691402000</t>
  </si>
  <si>
    <t>materiały brutto</t>
  </si>
  <si>
    <t>4300240009</t>
  </si>
  <si>
    <t>2204060000</t>
  </si>
  <si>
    <t>Rozr opł kary ś</t>
  </si>
  <si>
    <t>7699907000</t>
  </si>
  <si>
    <t>PKO_Kos.likw/sp</t>
  </si>
  <si>
    <t>8500130000</t>
  </si>
  <si>
    <t>ZFŚŚ_wypr_wypoczynek week</t>
  </si>
  <si>
    <t>ZFSS_wpływy prac-kultura i oświata</t>
  </si>
  <si>
    <t>31 grudnia 2023</t>
  </si>
  <si>
    <t>Straty podatkowe</t>
  </si>
  <si>
    <t>Ewa</t>
  </si>
  <si>
    <t>Siatka aktywów trwałych na bazie zaksięg. amort. - 01 Bilans Stat.</t>
  </si>
  <si>
    <t>WPocz na PRO</t>
  </si>
  <si>
    <t>Amort. pocz.RO</t>
  </si>
  <si>
    <t>WartKsięg PRO</t>
  </si>
  <si>
    <t>Grupa aktywów trw.</t>
  </si>
  <si>
    <t>Przychód</t>
  </si>
  <si>
    <t>Amortyz. roku</t>
  </si>
  <si>
    <t>Rozchód</t>
  </si>
  <si>
    <t>Rozchód amort.</t>
  </si>
  <si>
    <t>bież.wart.ks.</t>
  </si>
  <si>
    <t>Aktualna WPocz</t>
  </si>
  <si>
    <t>Umorzenie</t>
  </si>
  <si>
    <t>1100</t>
  </si>
  <si>
    <t>Budynki i Lokale</t>
  </si>
  <si>
    <t>1200</t>
  </si>
  <si>
    <t>Ob. inż. ląd. i wodn</t>
  </si>
  <si>
    <t>1300</t>
  </si>
  <si>
    <t>Kotły i Masz. energ.</t>
  </si>
  <si>
    <t>1400</t>
  </si>
  <si>
    <t>Masz. Urz. o.zastos.</t>
  </si>
  <si>
    <t>1500</t>
  </si>
  <si>
    <t>Masz. Urz. specjal.</t>
  </si>
  <si>
    <t>1600</t>
  </si>
  <si>
    <t>Urządzenia techn.</t>
  </si>
  <si>
    <t>1700</t>
  </si>
  <si>
    <t>1800</t>
  </si>
  <si>
    <t>Narz. Przyrz. Ruchom</t>
  </si>
  <si>
    <t>2140</t>
  </si>
  <si>
    <t>2160</t>
  </si>
  <si>
    <t>PWUG nabyte</t>
  </si>
  <si>
    <t>6100</t>
  </si>
  <si>
    <t>Bud. i Lokale</t>
  </si>
  <si>
    <t>L106</t>
  </si>
  <si>
    <t>LE: PWUG nabyte</t>
  </si>
  <si>
    <t>L110</t>
  </si>
  <si>
    <t>LE: Budynki i lokale</t>
  </si>
  <si>
    <t>Nr umowy</t>
  </si>
  <si>
    <t xml:space="preserve">nadal w leasingu </t>
  </si>
  <si>
    <t>ROK</t>
  </si>
  <si>
    <t>wart.początkowa</t>
  </si>
  <si>
    <t xml:space="preserve">umorzenie </t>
  </si>
  <si>
    <t>warośc netto</t>
  </si>
  <si>
    <t>ostatnia rata</t>
  </si>
  <si>
    <t>32a/TC/17</t>
  </si>
  <si>
    <t>2017</t>
  </si>
  <si>
    <t>32b/TC/18</t>
  </si>
  <si>
    <t>2018</t>
  </si>
  <si>
    <t>55A/TK/19</t>
  </si>
  <si>
    <t>2020</t>
  </si>
  <si>
    <t>17.01.2025</t>
  </si>
  <si>
    <t xml:space="preserve">razem </t>
  </si>
  <si>
    <t>SF-A-012 w D5</t>
  </si>
  <si>
    <t>spr.saldo śr.trw.w budowie</t>
  </si>
  <si>
    <t>amortyzacja w roku</t>
  </si>
  <si>
    <t>GZ</t>
  </si>
  <si>
    <t>IKW002040100 : 
Kredyty i pożyczki inwestycyjne - Cel kredytu</t>
  </si>
  <si>
    <t>IKW002040200 : Kredyty i pożyczki inwestycyjne - Kwota umowna (PLN)</t>
  </si>
  <si>
    <t>IKW002040300 : 
Kredyty i pożyczki inwestycyjne - Zobowiązanie długoterminowe (PLN)</t>
  </si>
  <si>
    <t>IKW002040400 : 
Kredyty i pożyczki inwestycyjne - Zobowiązanie krótkoterminowe (PLN)</t>
  </si>
  <si>
    <t>IKW002040500 : 
Kredyty i pożyczki inwestycyjne - Niewykorzystane, przyznane środki kredytowe w ramach pozostałych kredytów</t>
  </si>
  <si>
    <t>IKW002040600 : 
Kredyty i pożyczki inwestycyjne - Ostateczny termin spłaty</t>
  </si>
  <si>
    <t>IKW002040700 : 
Kredyty i pożyczki inwestycyjne - Zabezpieczenie</t>
  </si>
  <si>
    <t>PGE GiEK S.A. - Centrala
polski złoty</t>
  </si>
  <si>
    <t>FIL-EN-GR-12:Kontrahenci - LI000:Listing - RAZEM</t>
  </si>
  <si>
    <t>IF-090 | Oprocentowane kredyty bankowe i pożyczki. Kredyty i pożyczki inwestycyjne.</t>
  </si>
  <si>
    <t>k-to 2150000000</t>
  </si>
  <si>
    <t>2100099</t>
  </si>
  <si>
    <t>Zobowiązania z tyt.dostaw i usług pozostałe podmioty powiązane</t>
  </si>
  <si>
    <t>2100045  PKN Orlen S.A.</t>
  </si>
  <si>
    <t>2100099  Tauron Sprzedaż Sp z o.o.</t>
  </si>
  <si>
    <t>to jest w PLN</t>
  </si>
  <si>
    <t>+kaucje - 2158000000 zabezpieczenie umów</t>
  </si>
  <si>
    <t>leasing - samochody</t>
  </si>
  <si>
    <t>MSSF 16 (RE)</t>
  </si>
  <si>
    <t xml:space="preserve">*W zakresie przychodów ze sprzedaży prezentowana wartość transakcji dokonanych z podmiotami powiązanymi to wartość przychodów uzgodnionych na dzień bilansowy (w ramach uzgodnień wzajemnych transakcji), bez uwzględnienia wycen przychodu dokonanych w oparciu o MSSF 15 i szacunków korekt cen transferowych, nieobjętych uzgodnieniami, a dotyczących transakcji realizowanych na rzecz tych podmiotów powiazanych. </t>
  </si>
  <si>
    <t>Hyundai DZG 40257</t>
  </si>
  <si>
    <t>Hyundai EBE US71  DZG 46322</t>
  </si>
  <si>
    <t>KIA CEED DZG 53685</t>
  </si>
  <si>
    <t>2107980000</t>
  </si>
  <si>
    <t>Zob wob. DKP sz</t>
  </si>
  <si>
    <t>Zob wob. DKP szacunki RE</t>
  </si>
  <si>
    <t>Energoserwis Kleszczów</t>
  </si>
  <si>
    <t>PGE Ekoserwis SA</t>
  </si>
  <si>
    <t>Należności z tytułu DiU brutto - pozostałe j.pow.</t>
  </si>
  <si>
    <t>2050000000; 2150000000</t>
  </si>
  <si>
    <t>210 798 0000</t>
  </si>
  <si>
    <t>2000650</t>
  </si>
  <si>
    <t>U01: PGE Ekoserwis SA</t>
  </si>
  <si>
    <t>Ramb</t>
  </si>
  <si>
    <t>B17</t>
  </si>
  <si>
    <t>4305410005</t>
  </si>
  <si>
    <t>Bad.bilansu REZ</t>
  </si>
  <si>
    <t>4427100005</t>
  </si>
  <si>
    <t>4802100000</t>
  </si>
  <si>
    <t>Del. zagr.przej</t>
  </si>
  <si>
    <t>korekta cit 2022</t>
  </si>
  <si>
    <t>CIT zapłacony za 2023r.</t>
  </si>
  <si>
    <t>Rozr.opłaty za korzystanie ze środowiska</t>
  </si>
  <si>
    <t>g) opłaty za korzystanie ze środowiska</t>
  </si>
  <si>
    <t>śr.trw.w budowie</t>
  </si>
  <si>
    <t>ELBIS</t>
  </si>
  <si>
    <t>polisa OC Zarząd - polisa wpłynęła w styczniu 2024 a to są szacunki za X-XII 2023</t>
  </si>
  <si>
    <t>należność za Uniqa od byłego pracownika</t>
  </si>
  <si>
    <t>należność za uniqa od byłego pracownika</t>
  </si>
  <si>
    <t>4305400005</t>
  </si>
  <si>
    <t>Audyty rez</t>
  </si>
  <si>
    <t>W ciągu okresu sprawozdawczego oraz do dnia sporządzenia niniejszego sprawozdania finansowego Spółka nie dokonywała wypłat zaliczek na poczet dywidendy. W 2022r. Spółka poniosła stratę netto 3 721 881,24</t>
  </si>
  <si>
    <t xml:space="preserve">Przychody ze sprzedaży uzyskane w roku 2023 były wyższe o 66 086 971,17  PLN w porównaniu z ich poziomem w roku ubiegłym. Na wyższe przychody miały wpływ większa ilość i zakres zlecanych zadań głównie w lokalizacji ELT , ELO, KWT. W ELT dotyczy to głównie podstawowej umowy serwisowej „BUR Bieżące utrzymanie ruchu i remonty urządzeń” oraz pozostałych zadań inwestycyjnych i remontowych głównie przez zadanie „Prace odtworzeniowo-remontowe w ramach remontu średniego bloku nr 2” </t>
  </si>
  <si>
    <t>2100064  PKN Orlen S.A.</t>
  </si>
  <si>
    <t>B58</t>
  </si>
  <si>
    <t>G03</t>
  </si>
  <si>
    <t>G05</t>
  </si>
  <si>
    <t>B01</t>
  </si>
  <si>
    <t>G07</t>
  </si>
  <si>
    <t>B37</t>
  </si>
  <si>
    <t>B57</t>
  </si>
  <si>
    <t>B59</t>
  </si>
  <si>
    <t>H09</t>
  </si>
  <si>
    <t>E01</t>
  </si>
  <si>
    <t>B27</t>
  </si>
  <si>
    <t>H02</t>
  </si>
  <si>
    <t>U01</t>
  </si>
  <si>
    <t>U02</t>
  </si>
  <si>
    <t>PKO BP</t>
  </si>
  <si>
    <t>Santander</t>
  </si>
  <si>
    <t>Dzierżawy,najmy</t>
  </si>
  <si>
    <t>Budynki,lokale</t>
  </si>
  <si>
    <t>śr.transportu</t>
  </si>
  <si>
    <t>brutto BO</t>
  </si>
  <si>
    <t>w. 4</t>
  </si>
  <si>
    <t>w. 10</t>
  </si>
  <si>
    <t>w.15</t>
  </si>
  <si>
    <t>brutto BZ</t>
  </si>
  <si>
    <t>umorzenia BO</t>
  </si>
  <si>
    <t>w. 34</t>
  </si>
  <si>
    <t>umorz.likwidacja</t>
  </si>
  <si>
    <t>w.48</t>
  </si>
  <si>
    <t>umorzenie BZ</t>
  </si>
  <si>
    <t>netto BZ</t>
  </si>
  <si>
    <t>w. 36</t>
  </si>
  <si>
    <t>f-ra + nota odsetkowa w PLN</t>
  </si>
  <si>
    <t>odpis aktualizujący notę odsetkową</t>
  </si>
  <si>
    <t>Prawa do użytkowania aktywów</t>
  </si>
  <si>
    <t>0-43</t>
  </si>
  <si>
    <t>0-58</t>
  </si>
  <si>
    <t>0-20</t>
  </si>
  <si>
    <t>0-10</t>
  </si>
  <si>
    <t>VAT ogółem</t>
  </si>
  <si>
    <t>z wyceny aktuarialnej - Justyna</t>
  </si>
  <si>
    <t>Wynik na transakcjach finansowych</t>
  </si>
  <si>
    <t xml:space="preserve">EWA </t>
  </si>
  <si>
    <t>na dzień 31.12.2023r.</t>
  </si>
  <si>
    <t>na dzień 31.12.2022r.</t>
  </si>
  <si>
    <t>odmowy zapłaty bez STS - zmniejszenie zobowiązań</t>
  </si>
  <si>
    <t>Rozl.koszt.na PKO</t>
  </si>
  <si>
    <t>Koszty związane ze sprzedażą środków trwałych (dodatkowe poza niezamortyzowaną częścią</t>
  </si>
  <si>
    <t>niepieniężne zwiększenie inwestycji o nowy samochód w leasingu, nowa umowa RE</t>
  </si>
  <si>
    <t>nowa umowa RE</t>
  </si>
  <si>
    <t>zmiana stanu zobowiązań netto</t>
  </si>
  <si>
    <t>zaniechanie inwestycji (likwidacja śr.trw.w budowie)</t>
  </si>
  <si>
    <t xml:space="preserve">080010 St w budowie </t>
  </si>
  <si>
    <t>nowy samochód w leasingu</t>
  </si>
  <si>
    <t>Przedłużenie umowy RE</t>
  </si>
  <si>
    <t>sprawdzenie pozycji niepieniężnych</t>
  </si>
  <si>
    <t>W ciągu okresu sprawozdawczego oraz do dnia sporządzenia niniejszego sprawozdania finansowego Spółka nie dokonywała wypłat zaliczek na poczet dywidendy. Zarząd zamierza zawnioskować do ZZW o przeznaczenie zysku bieżącego roku na pokrycie strat z lat ubiegłych.</t>
  </si>
  <si>
    <t>23.1.1</t>
  </si>
  <si>
    <t>12</t>
  </si>
  <si>
    <t>13</t>
  </si>
  <si>
    <t>14</t>
  </si>
  <si>
    <t>18.1</t>
  </si>
  <si>
    <t>18.2</t>
  </si>
  <si>
    <t>18.5</t>
  </si>
  <si>
    <t>19, 20</t>
  </si>
  <si>
    <t>23.1.2</t>
  </si>
  <si>
    <t>23.1.3</t>
  </si>
  <si>
    <t>22</t>
  </si>
  <si>
    <t>4.2.1</t>
  </si>
  <si>
    <t>9. Prawo do użytkowania składników aktywów</t>
  </si>
  <si>
    <t>Prawo wieczystego użytkowania gruntów</t>
  </si>
  <si>
    <t>Zwiększenia</t>
  </si>
  <si>
    <t>Zmniejszenia</t>
  </si>
  <si>
    <t>Budynki i lokale</t>
  </si>
  <si>
    <t>Pozostałe korekty</t>
  </si>
  <si>
    <t xml:space="preserve">likwidacja / spisanie inwestycji w toku </t>
  </si>
  <si>
    <t>Zobowiązania z tytułu pożyczki</t>
  </si>
  <si>
    <t>Rezerwy na premie i nagrody dla pracowników, na nagrodę konsolidacyjną oraz premie dla Zarządu i na niewykorzystane urlopy</t>
  </si>
  <si>
    <t>nowa umowa dzierżawy - MSSF 16</t>
  </si>
  <si>
    <t>w PLN</t>
  </si>
  <si>
    <t xml:space="preserve">Zestawienie środków trwałych w leasingu do sprawozdania na dzień </t>
  </si>
  <si>
    <t>31 grudnia 2024</t>
  </si>
  <si>
    <t>Rok zakończony 31 grudnia 2024</t>
  </si>
  <si>
    <t>Rok zakończony 31 grudnia 2024</t>
  </si>
  <si>
    <t>NA DZIEŃ 1 STYCZNIA 2023 ROKU</t>
  </si>
  <si>
    <t>NA DZIEŃ 31 GRUDNIA 2024 ROKU</t>
  </si>
  <si>
    <t>RAZEM  POZOSTAŁE KOREKTY</t>
  </si>
  <si>
    <t>NA DZIEŃ 1 STYCZNIA 2024</t>
  </si>
  <si>
    <t>NA DZIEŃ 31 GRUDNIA 2024</t>
  </si>
  <si>
    <t>WARTOŚĆ NETTO NA 31  GRUDNIA 2024</t>
  </si>
  <si>
    <t>likwidacja rozpoczętej inwestycji</t>
  </si>
  <si>
    <t>Stan na dzień 31 grudnia 2024</t>
  </si>
  <si>
    <t>1 STYCZNIA 2024</t>
  </si>
  <si>
    <t>31 GRUDNIA 2024</t>
  </si>
  <si>
    <t>RAZEM KREDYTY BANKOWE, POŻYCZKI, OBLIGACJE I CASH POOLING</t>
  </si>
  <si>
    <t>ROK ZAKOŃCZONY 31 GRUDNIA 2024</t>
  </si>
  <si>
    <t>POZYCJA WALUTOWA NA DZIEŃ 31 GRUDNIA 2024</t>
  </si>
  <si>
    <t>STAN NA 31 GRUDNIA 2024</t>
  </si>
  <si>
    <t>na 31-12-2024</t>
  </si>
  <si>
    <t>31 grudnia 2024 roku</t>
  </si>
  <si>
    <t>Stan na 31 grudnia 2024 roku</t>
  </si>
  <si>
    <t>Stan na dzień 31 grudnia 2024 roku</t>
  </si>
  <si>
    <t>H02: Zespół Elektrociepłowni Wrocławskich Kogeneracja SA</t>
  </si>
  <si>
    <t>4518100000</t>
  </si>
  <si>
    <t>4518200000</t>
  </si>
  <si>
    <t>Opłaty sądowe</t>
  </si>
  <si>
    <t>Opł.notarialne</t>
  </si>
  <si>
    <t>Opłaty skarbowe</t>
  </si>
  <si>
    <t>TO wziąć z CIT (z PPO i PKO)</t>
  </si>
  <si>
    <t>4305400009</t>
  </si>
  <si>
    <t>4308200009</t>
  </si>
  <si>
    <t>4518000009</t>
  </si>
  <si>
    <t>P</t>
  </si>
  <si>
    <t>K</t>
  </si>
  <si>
    <t>WF brutto</t>
  </si>
  <si>
    <t>B63</t>
  </si>
  <si>
    <t>przychody</t>
  </si>
  <si>
    <t>2201010006</t>
  </si>
  <si>
    <t>KD Rozr US  CIT</t>
  </si>
  <si>
    <t>2201010008</t>
  </si>
  <si>
    <t>nadpłata w cit - przeniesienie do należności</t>
  </si>
  <si>
    <t>3000300000 +szcunki</t>
  </si>
  <si>
    <t>zm.stanu</t>
  </si>
  <si>
    <r>
      <t xml:space="preserve">IAW002020900:Kaucje i wadia                                                                                                                                   </t>
    </r>
    <r>
      <rPr>
        <b/>
        <sz val="10"/>
        <color rgb="FF000000"/>
        <rFont val="Arial"/>
        <family val="2"/>
        <charset val="238"/>
      </rPr>
      <t>H01</t>
    </r>
    <r>
      <rPr>
        <sz val="8"/>
        <color rgb="FF000000"/>
        <rFont val="Arial"/>
        <family val="2"/>
        <charset val="238"/>
      </rPr>
      <t xml:space="preserve"> : PGE Energia Ciepła SA Warszawa  </t>
    </r>
    <r>
      <rPr>
        <b/>
        <sz val="11"/>
        <color rgb="FF000000"/>
        <rFont val="Arial"/>
        <family val="2"/>
        <charset val="238"/>
      </rPr>
      <t xml:space="preserve"> 2000640</t>
    </r>
  </si>
  <si>
    <r>
      <t xml:space="preserve">IAW002020900:Kaucje i wadia    </t>
    </r>
    <r>
      <rPr>
        <b/>
        <sz val="11"/>
        <color rgb="FF000000"/>
        <rFont val="Arial"/>
        <family val="2"/>
        <charset val="238"/>
      </rPr>
      <t>200082</t>
    </r>
    <r>
      <rPr>
        <sz val="8"/>
        <color rgb="FF000000"/>
        <rFont val="Arial"/>
        <family val="2"/>
        <charset val="238"/>
      </rPr>
      <t xml:space="preserve">
</t>
    </r>
    <r>
      <rPr>
        <b/>
        <sz val="10"/>
        <color rgb="FF000000"/>
        <rFont val="Arial"/>
        <family val="2"/>
        <charset val="238"/>
      </rPr>
      <t>G07</t>
    </r>
    <r>
      <rPr>
        <sz val="8"/>
        <color rgb="FF000000"/>
        <rFont val="Arial"/>
        <family val="2"/>
        <charset val="238"/>
      </rPr>
      <t>:Oddział Elektrownia Opole</t>
    </r>
  </si>
  <si>
    <r>
      <t xml:space="preserve">IAW002020900:Kaucje i wadia 
</t>
    </r>
    <r>
      <rPr>
        <b/>
        <sz val="10"/>
        <color rgb="FF000000"/>
        <rFont val="Arial"/>
        <family val="2"/>
        <charset val="238"/>
      </rPr>
      <t>H02</t>
    </r>
    <r>
      <rPr>
        <sz val="8"/>
        <color rgb="FF000000"/>
        <rFont val="Arial"/>
        <family val="2"/>
        <charset val="238"/>
      </rPr>
      <t xml:space="preserve">:Zespół Elektrociepłowni Wrocławskich Kogeneracja S.A. </t>
    </r>
    <r>
      <rPr>
        <b/>
        <sz val="11"/>
        <color rgb="FF000000"/>
        <rFont val="Arial"/>
        <family val="2"/>
        <charset val="238"/>
      </rPr>
      <t>2000660</t>
    </r>
  </si>
  <si>
    <t>300 160 0000; 300 170 0000</t>
  </si>
  <si>
    <t>utworzenie OA</t>
  </si>
  <si>
    <t>rozwiązanie OA</t>
  </si>
  <si>
    <t>odsetki od poiżyczki z PGE / GiEK</t>
  </si>
  <si>
    <t>III Należności z tytułu podatku dochodowego</t>
  </si>
  <si>
    <t>KD Zob DKP_Cash</t>
  </si>
  <si>
    <t>2397020000</t>
  </si>
  <si>
    <t>Szac zob inne p</t>
  </si>
  <si>
    <t>2397060000</t>
  </si>
  <si>
    <t>Szac zob podw w</t>
  </si>
  <si>
    <t>4412210005</t>
  </si>
  <si>
    <t>4419000005</t>
  </si>
  <si>
    <t>Wyc.rez_podwyż.</t>
  </si>
  <si>
    <t>4812000005</t>
  </si>
  <si>
    <t>PKOBP - korekta odsetek na koniec m-ca</t>
  </si>
  <si>
    <t>3050400009</t>
  </si>
  <si>
    <t>KT RZ-j.np_STiW</t>
  </si>
  <si>
    <t>3650400000</t>
  </si>
  <si>
    <t>D.w dr.j.np-ST</t>
  </si>
  <si>
    <t>3750400000</t>
  </si>
  <si>
    <t>DnZ j.npow._ ST</t>
  </si>
  <si>
    <t>B28</t>
  </si>
  <si>
    <t>C01</t>
  </si>
  <si>
    <t>O01</t>
  </si>
  <si>
    <t>G01</t>
  </si>
  <si>
    <t>H08</t>
  </si>
  <si>
    <t>świadcz.konsolidac. I szac.podwyżki</t>
  </si>
  <si>
    <t>Rozliczenie kosztów na rzecz inwestycji</t>
  </si>
  <si>
    <t>Rok bieżący</t>
  </si>
  <si>
    <t>Rok ubiegły</t>
  </si>
  <si>
    <t>bilansowe</t>
  </si>
  <si>
    <t>podatkowe</t>
  </si>
  <si>
    <t>Usług prawne re</t>
  </si>
  <si>
    <t>zmiana stanu RZ z tyt. Zakupu ŚT, WN - przegrupowania</t>
  </si>
  <si>
    <t>Wyn.umowy o zar NKUP</t>
  </si>
  <si>
    <t>Um.zlec.i o dzi NKUP</t>
  </si>
  <si>
    <t>Odpis ZFŚS NKUP</t>
  </si>
  <si>
    <t>4422000009</t>
  </si>
  <si>
    <t>Odpis ZFŚS-NKUP</t>
  </si>
  <si>
    <t>4415000009</t>
  </si>
  <si>
    <t>Um.zlec/dzieło_</t>
  </si>
  <si>
    <t>4811000009</t>
  </si>
  <si>
    <t>Wyn.umowy zarz.</t>
  </si>
  <si>
    <t>VIII Pozostałe aktywa długoterminowe</t>
  </si>
  <si>
    <t>1. Zaliczki na środki trwałe</t>
  </si>
  <si>
    <t>Zaliczki przekaz. DKNP RAT</t>
  </si>
  <si>
    <t>zapłacone zaliczki na ŚT - śr.trw.w drodze</t>
  </si>
  <si>
    <t>błędny PZ ELT</t>
  </si>
  <si>
    <t>Pozostałe aktywa długoterminowe</t>
  </si>
  <si>
    <t>B97</t>
  </si>
  <si>
    <t>do 3 m-cy (do 31 III 2025)</t>
  </si>
  <si>
    <t>3-12 m-cy (1IV - 31 XII 2025)</t>
  </si>
  <si>
    <t>pow. 5 lat (od I 2030)</t>
  </si>
  <si>
    <t>Krótkoterminowe na dzień 31 grudnia 2024 roku</t>
  </si>
  <si>
    <t>Długoterminowe na dzień 31 grudnia 2024 roku</t>
  </si>
  <si>
    <t>na dzień 31.12.2024r.</t>
  </si>
  <si>
    <t>Zmiana stanu należności z tytułu podatku dochodowego</t>
  </si>
  <si>
    <t>2001000000</t>
  </si>
  <si>
    <t>Zal przek DKP D</t>
  </si>
  <si>
    <t>4304020000</t>
  </si>
  <si>
    <t>7691040000</t>
  </si>
  <si>
    <t>PKO_Wyn.biegłe.</t>
  </si>
  <si>
    <t>Zaliczki przekazane DKP DiU</t>
  </si>
  <si>
    <t>c) nadpłata CIT - podatkowa grupa</t>
  </si>
  <si>
    <t>kurs eur</t>
  </si>
  <si>
    <t>razem eur w PLN</t>
  </si>
  <si>
    <t>śr.pien.bez VAT</t>
  </si>
  <si>
    <t>poz.podmioty - KASA</t>
  </si>
  <si>
    <t>nal.j.pozost.netto</t>
  </si>
  <si>
    <t xml:space="preserve">Stal Systems </t>
  </si>
  <si>
    <t>leasing MSSF 16 RE</t>
  </si>
  <si>
    <t>spłata zob.z tyt.leas.MSSF 16</t>
  </si>
  <si>
    <t>2061000000</t>
  </si>
  <si>
    <t>Zal przek DZNP</t>
  </si>
  <si>
    <t>9400230211</t>
  </si>
  <si>
    <t>Amortyz.podatWN</t>
  </si>
  <si>
    <r>
      <t xml:space="preserve">G07:Oddział Elektrownia Opole    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 xml:space="preserve"> 2000082</t>
    </r>
  </si>
  <si>
    <t>4305600005</t>
  </si>
  <si>
    <t>wpisać w XII z wyceny aktuarialnej zyski/straty aktuarialne</t>
  </si>
  <si>
    <t>zobowiązanie</t>
  </si>
  <si>
    <t>104 EUR</t>
  </si>
  <si>
    <t>kontr.</t>
  </si>
  <si>
    <t>103,06 PLN</t>
  </si>
  <si>
    <t>razem w PLN</t>
  </si>
  <si>
    <t>0-40</t>
  </si>
  <si>
    <t>7660710009</t>
  </si>
  <si>
    <t>PKO_Rez.spr.sąd</t>
  </si>
  <si>
    <t>8294000000</t>
  </si>
  <si>
    <t>Rez. dł_s.sąd.</t>
  </si>
  <si>
    <t>z CIT</t>
  </si>
  <si>
    <r>
      <t>¡</t>
    </r>
    <r>
      <rPr>
        <sz val="7"/>
        <color theme="1"/>
        <rFont val="Times New Roman"/>
        <family val="1"/>
        <charset val="238"/>
      </rPr>
      <t xml:space="preserve">  </t>
    </r>
    <r>
      <rPr>
        <i/>
        <sz val="9"/>
        <color theme="1"/>
        <rFont val="Calibri"/>
        <family val="2"/>
        <charset val="238"/>
        <scheme val="minor"/>
      </rPr>
      <t xml:space="preserve">za 2024 rok: zwiększenie przychodów z tytułu wycen usług niezakończonych:2 158 000,00 PLN, korekta wyceny usług niezakończonych na dzień 31.12.2024 roku:-3 566 000,00 PLN;  razem efekt dokonanych wycen i ich korekt: -1 408 000,00 PLN,  </t>
    </r>
  </si>
  <si>
    <t>KURS</t>
  </si>
  <si>
    <t>Na dzień 31.12.2024 roku Spółka nie posidała należności w walutach obcych. Natomiast środki pieniężne w walutach obcych stanowiły 3,1% udział w środkach pieniężnych Spółki. Potwierdzeniem nieznacznego wpływu ryzyka walutowego na wyniki finansowe Spółki jest niski poziom dodatnich i ujemnych różnic kursowych wykazywanych w przychodach  i kosztach finansowych. W związku z tym nie wystąpiła potrzeba wykorzystywania metod zarządzania niniejszym ryzykiem.</t>
  </si>
  <si>
    <t>Tabela nr 252/A/NBP/2024 z dnia 2024-12-31</t>
  </si>
  <si>
    <t>EWA</t>
  </si>
  <si>
    <t>plus nadpłata do Starostwa Powiatowego - rejestracja przyczepy</t>
  </si>
  <si>
    <t>minus nadpłata do Starostwa Powiatowego - rejestracja przyczepy</t>
  </si>
  <si>
    <t>MSSF 16 odsetki</t>
  </si>
  <si>
    <t>2000770</t>
  </si>
  <si>
    <t>PGE Energia Ciepła SA Lublin - Elektociepłownia Lublin Wrotków</t>
  </si>
  <si>
    <t>H12</t>
  </si>
  <si>
    <t>PGE Dystrybucja SA oddz. Warszawa</t>
  </si>
  <si>
    <t xml:space="preserve">KNTR0187Poczta Polska </t>
  </si>
  <si>
    <t>2100019</t>
  </si>
  <si>
    <t>2100019 Poczta Polska</t>
  </si>
  <si>
    <t>D08</t>
  </si>
  <si>
    <t>4,6% w roku 2025,
2,50% w roku 2026
 i w kolejnych latach</t>
  </si>
  <si>
    <t>2,98% - Centrala, Oddział Opole, Oddział Bogatynia</t>
  </si>
  <si>
    <t xml:space="preserve">1,96% - Centrala; </t>
  </si>
  <si>
    <t xml:space="preserve">1,83% - Oddział Opole, </t>
  </si>
  <si>
    <t>3,64% - Oddział Bogatynia  </t>
  </si>
  <si>
    <t xml:space="preserve">6,42 - Centrala; </t>
  </si>
  <si>
    <t xml:space="preserve">5,57 - Oddział Opole; </t>
  </si>
  <si>
    <t>4,36 - Oddział Bogatynia   </t>
  </si>
  <si>
    <t xml:space="preserve">pożyczki i należności </t>
  </si>
  <si>
    <t xml:space="preserve">Zysk brutto </t>
  </si>
  <si>
    <r>
      <t>4.1</t>
    </r>
    <r>
      <rPr>
        <b/>
        <sz val="7"/>
        <color rgb="FF006666"/>
        <rFont val="Times New Roman"/>
        <family val="1"/>
        <charset val="238"/>
      </rPr>
      <t xml:space="preserve">                  </t>
    </r>
    <r>
      <rPr>
        <b/>
        <sz val="12"/>
        <color rgb="FF006666"/>
        <rFont val="Calibri"/>
        <family val="2"/>
        <charset val="238"/>
        <scheme val="minor"/>
      </rPr>
      <t>Przychody ze sprzedaży</t>
    </r>
  </si>
  <si>
    <r>
      <t>4.2</t>
    </r>
    <r>
      <rPr>
        <b/>
        <sz val="7"/>
        <color rgb="FF006666"/>
        <rFont val="Times New Roman"/>
        <family val="1"/>
        <charset val="238"/>
      </rPr>
      <t xml:space="preserve">                  </t>
    </r>
    <r>
      <rPr>
        <b/>
        <sz val="12"/>
        <color rgb="FF006666"/>
        <rFont val="Calibri"/>
        <family val="2"/>
        <charset val="238"/>
        <scheme val="minor"/>
      </rPr>
      <t>Koszty w układzie rodzajowym i kalkulacyjnym</t>
    </r>
  </si>
  <si>
    <r>
      <t>4.2.1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 xml:space="preserve">Koszty amortyzacji oraz odpisy aktualizujące </t>
    </r>
  </si>
  <si>
    <r>
      <t>4.2.2</t>
    </r>
    <r>
      <rPr>
        <b/>
        <sz val="7"/>
        <color rgb="FF006666"/>
        <rFont val="Times New Roman"/>
        <family val="1"/>
        <charset val="238"/>
      </rPr>
      <t xml:space="preserve">          </t>
    </r>
    <r>
      <rPr>
        <b/>
        <sz val="12"/>
        <color rgb="FF006666"/>
        <rFont val="Calibri"/>
        <family val="2"/>
        <charset val="238"/>
        <scheme val="minor"/>
      </rPr>
      <t>Zużycie materiałów i energii</t>
    </r>
  </si>
  <si>
    <r>
      <t>4.2.3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>Usługi obce</t>
    </r>
  </si>
  <si>
    <r>
      <t>4.2.4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>Podatki i opłaty</t>
    </r>
  </si>
  <si>
    <r>
      <t>4.2.5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>Koszty świadczeń pracowniczych oraz struktura zatrudnienia</t>
    </r>
  </si>
  <si>
    <r>
      <t>4.2.6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>Pozostałe koszty rodzajowe</t>
    </r>
  </si>
  <si>
    <r>
      <t>4.3</t>
    </r>
    <r>
      <rPr>
        <b/>
        <sz val="7"/>
        <color rgb="FF006666"/>
        <rFont val="Times New Roman"/>
        <family val="1"/>
        <charset val="238"/>
      </rPr>
      <t xml:space="preserve">                  </t>
    </r>
    <r>
      <rPr>
        <b/>
        <sz val="12"/>
        <color rgb="FF006666"/>
        <rFont val="Calibri"/>
        <family val="2"/>
        <charset val="238"/>
        <scheme val="minor"/>
      </rPr>
      <t>Przychody i koszty finansowe</t>
    </r>
  </si>
  <si>
    <r>
      <t>4.4</t>
    </r>
    <r>
      <rPr>
        <b/>
        <sz val="7"/>
        <color rgb="FF006666"/>
        <rFont val="Times New Roman"/>
        <family val="1"/>
        <charset val="238"/>
      </rPr>
      <t xml:space="preserve">                  </t>
    </r>
    <r>
      <rPr>
        <b/>
        <sz val="12"/>
        <color rgb="FF006666"/>
        <rFont val="Calibri"/>
        <family val="2"/>
        <charset val="238"/>
        <scheme val="minor"/>
      </rPr>
      <t>Pozostałe przychody i koszty operacyjne</t>
    </r>
  </si>
  <si>
    <r>
      <t>5.3.1</t>
    </r>
    <r>
      <rPr>
        <b/>
        <sz val="7"/>
        <color rgb="FF006666"/>
        <rFont val="Times New Roman"/>
        <family val="1"/>
        <charset val="238"/>
      </rPr>
      <t xml:space="preserve">         </t>
    </r>
    <r>
      <rPr>
        <b/>
        <sz val="12"/>
        <color rgb="FF006666"/>
        <rFont val="Cambria"/>
        <family val="1"/>
        <charset val="238"/>
      </rPr>
      <t>Aktywa z tytułu podatku odroczonego</t>
    </r>
  </si>
  <si>
    <r>
      <rPr>
        <b/>
        <sz val="12"/>
        <color rgb="FF006666"/>
        <rFont val="Times New Roman"/>
        <family val="1"/>
        <charset val="238"/>
      </rPr>
      <t xml:space="preserve">5.3.2         </t>
    </r>
    <r>
      <rPr>
        <b/>
        <sz val="12"/>
        <color rgb="FF006666"/>
        <rFont val="Cambria"/>
        <family val="1"/>
        <charset val="238"/>
      </rPr>
      <t>Rezerwa z tytułu podatku odroczonego</t>
    </r>
  </si>
  <si>
    <t xml:space="preserve">ROZLICZENIA MIĘDZYOKRESOWE PRZYCHODÓW </t>
  </si>
  <si>
    <r>
      <t>28.2</t>
    </r>
    <r>
      <rPr>
        <b/>
        <sz val="7"/>
        <color rgb="FF006666"/>
        <rFont val="Times New Roman"/>
        <family val="1"/>
        <charset val="238"/>
      </rPr>
      <t xml:space="preserve">                  </t>
    </r>
    <r>
      <rPr>
        <b/>
        <sz val="12"/>
        <color rgb="FF006666"/>
        <rFont val="Calibri"/>
        <family val="2"/>
        <charset val="238"/>
        <scheme val="minor"/>
      </rPr>
      <t>Stan rozrachunków Spółki z podmiotami powiązanymi</t>
    </r>
  </si>
  <si>
    <t>Zatrudnienie w etatach (pracownicy aktywni)</t>
  </si>
  <si>
    <r>
      <t>INNE CAŁKOWITE DOCHODY</t>
    </r>
    <r>
      <rPr>
        <sz val="8"/>
        <color rgb="FF1A7466"/>
        <rFont val="Calibri"/>
        <family val="2"/>
        <charset val="238"/>
        <scheme val="minor"/>
      </rPr>
      <t xml:space="preserve"> </t>
    </r>
  </si>
  <si>
    <r>
      <t>KAPITAŁ WŁASNY</t>
    </r>
    <r>
      <rPr>
        <sz val="8"/>
        <color rgb="FF1A7466"/>
        <rFont val="Calibri"/>
        <family val="2"/>
        <charset val="238"/>
        <scheme val="minor"/>
      </rPr>
      <t xml:space="preserve"> </t>
    </r>
  </si>
  <si>
    <r>
      <t>6.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Rzeczowe aktywa trwałe</t>
    </r>
  </si>
  <si>
    <r>
      <t>7.</t>
    </r>
    <r>
      <rPr>
        <b/>
        <sz val="7"/>
        <color rgb="FF1A7466"/>
        <rFont val="Calibri"/>
        <family val="2"/>
        <charset val="238"/>
        <scheme val="minor"/>
      </rPr>
      <t>                 </t>
    </r>
    <r>
      <rPr>
        <b/>
        <sz val="14"/>
        <color rgb="FF1A7466"/>
        <rFont val="Calibri"/>
        <family val="2"/>
        <charset val="238"/>
        <scheme val="minor"/>
      </rPr>
      <t>Nieruchomości inwestycyjne</t>
    </r>
  </si>
  <si>
    <r>
      <t>8.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Wartości niematerialne</t>
    </r>
  </si>
  <si>
    <r>
      <t>12.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Zapasy</t>
    </r>
  </si>
  <si>
    <r>
      <t>13.2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Pozostałe aktywa krótkoterminowe</t>
    </r>
  </si>
  <si>
    <r>
      <t>14.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Środki pieniężne i ich ekwiwalenty</t>
    </r>
  </si>
  <si>
    <r>
      <t>17.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Majątek socjalny oraz zobowiązania ZFŚS</t>
    </r>
  </si>
  <si>
    <r>
      <t>Odpis na Fundusz w okresie</t>
    </r>
    <r>
      <rPr>
        <b/>
        <sz val="8"/>
        <color rgb="FF1A7466"/>
        <rFont val="Calibri"/>
        <family val="2"/>
        <charset val="238"/>
        <scheme val="minor"/>
      </rPr>
      <t xml:space="preserve"> </t>
    </r>
  </si>
  <si>
    <r>
      <t>18.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Kapitały własne</t>
    </r>
  </si>
  <si>
    <r>
      <t>18.1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Kapitał podstawowy</t>
    </r>
  </si>
  <si>
    <r>
      <t>18.2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Kapitał zapasowy</t>
    </r>
  </si>
  <si>
    <r>
      <t>18.3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Pozostałe kapitały rezerwowe</t>
    </r>
  </si>
  <si>
    <r>
      <t>18.4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Kapitał z wyceny instrumentów finansowych</t>
    </r>
  </si>
  <si>
    <r>
      <t>18.5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Niepodzielony wynik finansowy oraz ograniczenia w wypłacie dywidendy</t>
    </r>
  </si>
  <si>
    <r>
      <t>19.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Rezerwy</t>
    </r>
  </si>
  <si>
    <r>
      <t>20.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 xml:space="preserve">Świadczenia pracownicze </t>
    </r>
  </si>
  <si>
    <r>
      <t>20.1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Świadczenia po okresie zatrudnienia i nagrody jubileuszowe</t>
    </r>
  </si>
  <si>
    <r>
      <t>21.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Rozliczenia międzyokresowe przychodów i dotacje rządowe</t>
    </r>
  </si>
  <si>
    <r>
      <t>21.1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Krótkoterminowe rozliczenia międzyokresowe przychodów i dotacje rządowe</t>
    </r>
  </si>
  <si>
    <r>
      <t>22.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>Pozostałe zobowiązania niefinansowe</t>
    </r>
  </si>
  <si>
    <r>
      <t>23.</t>
    </r>
    <r>
      <rPr>
        <b/>
        <sz val="7"/>
        <color rgb="FF1A7466"/>
        <rFont val="Calibri"/>
        <family val="2"/>
        <charset val="238"/>
        <scheme val="minor"/>
      </rPr>
      <t xml:space="preserve">                     </t>
    </r>
    <r>
      <rPr>
        <b/>
        <sz val="14"/>
        <color rgb="FF1A7466"/>
        <rFont val="Calibri"/>
        <family val="2"/>
        <charset val="238"/>
        <scheme val="minor"/>
      </rPr>
      <t xml:space="preserve"> Instrumenty finansowe</t>
    </r>
  </si>
  <si>
    <r>
      <t>23.1.1</t>
    </r>
    <r>
      <rPr>
        <b/>
        <sz val="7"/>
        <color rgb="FF1A7466"/>
        <rFont val="Calibri"/>
        <family val="2"/>
        <charset val="238"/>
        <scheme val="minor"/>
      </rPr>
      <t xml:space="preserve">         </t>
    </r>
    <r>
      <rPr>
        <b/>
        <sz val="12"/>
        <color rgb="FF1A7466"/>
        <rFont val="Calibri"/>
        <family val="2"/>
        <charset val="238"/>
        <scheme val="minor"/>
      </rPr>
      <t>Należności z tytułu dostaw i usług i pozostałe należności finansowe</t>
    </r>
  </si>
  <si>
    <r>
      <t>23.1.2</t>
    </r>
    <r>
      <rPr>
        <b/>
        <sz val="7"/>
        <color rgb="FF1A7466"/>
        <rFont val="Calibri"/>
        <family val="2"/>
        <charset val="238"/>
        <scheme val="minor"/>
      </rPr>
      <t xml:space="preserve">         </t>
    </r>
    <r>
      <rPr>
        <b/>
        <sz val="12"/>
        <color rgb="FF1A7466"/>
        <rFont val="Calibri"/>
        <family val="2"/>
        <charset val="238"/>
        <scheme val="minor"/>
      </rPr>
      <t xml:space="preserve">Kredyty, pożyczki, obligacje, cash pooling </t>
    </r>
  </si>
  <si>
    <r>
      <t>23.1.3</t>
    </r>
    <r>
      <rPr>
        <b/>
        <sz val="7"/>
        <color rgb="FF1A7466"/>
        <rFont val="Calibri"/>
        <family val="2"/>
        <charset val="238"/>
      </rPr>
      <t xml:space="preserve">         </t>
    </r>
    <r>
      <rPr>
        <b/>
        <sz val="12"/>
        <color rgb="FF1A7466"/>
        <rFont val="Calibri"/>
        <family val="2"/>
        <charset val="238"/>
      </rPr>
      <t>Pozostałe zobowiązania finansowe wyceniane według zamortyzowanego kosztu</t>
    </r>
  </si>
  <si>
    <r>
      <t>23.3</t>
    </r>
    <r>
      <rPr>
        <b/>
        <sz val="7"/>
        <color rgb="FF1A7466"/>
        <rFont val="Times New Roman"/>
        <family val="1"/>
        <charset val="238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Sprawozdanie z całkowitych dochodów</t>
    </r>
  </si>
  <si>
    <r>
      <t>26.1</t>
    </r>
    <r>
      <rPr>
        <b/>
        <sz val="7"/>
        <color rgb="FF1A7466"/>
        <rFont val="Times New Roman"/>
        <family val="1"/>
        <charset val="238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Zobowiązania warunkowe</t>
    </r>
  </si>
  <si>
    <r>
      <t>26.2</t>
    </r>
    <r>
      <rPr>
        <b/>
        <sz val="7"/>
        <color rgb="FF1A7466"/>
        <rFont val="Times New Roman"/>
        <family val="1"/>
        <charset val="238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Należności warunkowe</t>
    </r>
  </si>
  <si>
    <r>
      <t>28.1</t>
    </r>
    <r>
      <rPr>
        <b/>
        <sz val="7"/>
        <color rgb="FF1A7466"/>
        <rFont val="Times New Roman"/>
        <family val="1"/>
        <charset val="238"/>
      </rPr>
      <t xml:space="preserve">                  </t>
    </r>
    <r>
      <rPr>
        <b/>
        <sz val="12"/>
        <color rgb="FF1A7466"/>
        <rFont val="Calibri"/>
        <family val="2"/>
        <charset val="238"/>
        <scheme val="minor"/>
      </rPr>
      <t>Transakcje Spółki z podmiotami powiązanymi</t>
    </r>
  </si>
  <si>
    <t xml:space="preserve">Wyceny przychodu dotyczące transakcji z podmiotami powiązanymi (MSSF 15) </t>
  </si>
  <si>
    <t>W wycenach przychodu dotyczących transakcji z podmiotami powiązanymi (MSSF 15) ujęte zostały szacunki korekt cen transferowych – w</t>
  </si>
  <si>
    <t>części nieobjętej wzajemnymi uzgodnieniami.</t>
  </si>
  <si>
    <t>Rok zakończony 31 grudnia 2025</t>
  </si>
  <si>
    <t>31 grudnia 2025</t>
  </si>
  <si>
    <t>NA DZIEŃ 1 STYCZNIA 2024 ROKU</t>
  </si>
  <si>
    <t>NA DZIEŃ 31 GRUDNIA 2025 ROKU</t>
  </si>
  <si>
    <t>NA DZIEŃ 1 STYCZNIA 2025</t>
  </si>
  <si>
    <t>NA DZIEŃ 31 GRUDNIA 2025</t>
  </si>
  <si>
    <t>WARTOŚĆ NETTO NA 31  GRUDNIA 2025</t>
  </si>
  <si>
    <t>Stan na dzień 31 grudnia 2025</t>
  </si>
  <si>
    <t>Aktywa przypisane do Zakładowego Funduszu Świadczeń Socjalnych i innych funduszy dla załogi wynosiły .................. PLN na dzień 31 grudnia 2025 roku i 1 509 157,52 PLN na 31 grudnia 2024 roku. Aktywa i zobowiązania Zakładowego Funduszu Świadczeń Socjalnych są wykazywane w  niniejszym sprawozdaniu finansowym po skompensowaniu.</t>
  </si>
  <si>
    <t>1 STYCZNIA 2025</t>
  </si>
  <si>
    <t>31 GRUDNIA 2025</t>
  </si>
  <si>
    <t>Analiza wrażliwości rezerw aktuarialnych na dzień 31 grudnia 2025 roku na zmianę kluczowych założeń:</t>
  </si>
  <si>
    <t>ROK ZAKOŃCZONY 31 GRUDNIA 2025</t>
  </si>
  <si>
    <t>POZYCJA WALUTOWA NA DZIEŃ 31 GRUDNIA 2025</t>
  </si>
  <si>
    <t>STAN NA 31 GRUDNIA 2025</t>
  </si>
  <si>
    <t>na 31-12-2025</t>
  </si>
  <si>
    <t>do 3 m-cy (do 31 III 2026)</t>
  </si>
  <si>
    <t>3-12 m-cy (1IV - 31 XII 2026)</t>
  </si>
  <si>
    <t>1-5 lat (1 I2027 - 31IXII 2030)</t>
  </si>
  <si>
    <t>pow. 5 lat (od I 2031)</t>
  </si>
  <si>
    <t>1-5 lat (1 I2026 - 31IXII 2029)</t>
  </si>
  <si>
    <t xml:space="preserve">Na 31.12.2024 roku należności z tytułu dostaw i usług dotyczą głównie należności z tytułu usług wykonanych na rzecz oddziałów PGE GiEK S.A. 99,96%. </t>
  </si>
  <si>
    <t>31 grudnia 2025 roku</t>
  </si>
  <si>
    <r>
      <t>2025 rok</t>
    </r>
    <r>
      <rPr>
        <b/>
        <sz val="8"/>
        <rFont val="Calibri"/>
        <family val="2"/>
        <charset val="238"/>
        <scheme val="minor"/>
      </rPr>
      <t> </t>
    </r>
  </si>
  <si>
    <t>2024 rok </t>
  </si>
  <si>
    <r>
      <t>¡</t>
    </r>
    <r>
      <rPr>
        <sz val="7"/>
        <color theme="1"/>
        <rFont val="Times New Roman"/>
        <family val="1"/>
        <charset val="238"/>
      </rPr>
      <t xml:space="preserve">  </t>
    </r>
    <r>
      <rPr>
        <i/>
        <sz val="9"/>
        <color theme="1"/>
        <rFont val="Calibri"/>
        <family val="2"/>
        <charset val="238"/>
        <scheme val="minor"/>
      </rPr>
      <t xml:space="preserve">za 2025 rok: zwiększenie przychodów z tytułu wycen usług niezakończonych:……………... PLN, korekta wyceny usług niezakończonych na dzień 31.12.2025 roku:…………... PLN;  razem efekt dokonanych wycen i ich korekt: ………………. PLN,  </t>
    </r>
  </si>
  <si>
    <t xml:space="preserve">Przychody ze sprzedaży uzyskane w roku 2024 były niższe o 32 643 813,10  PLN w porównaniu z ich poziomem w roku ubiegłym. Na niższe przychody miały wpływ mniejsze zakresy zleconych prac głównie w lokalizacjach PGE GiEK S.A. Oddział Elektrownia Turów, Oddział Elektrownia Opole oraz Oddział Kopalnia Węgla Brunatnego Turów. </t>
  </si>
  <si>
    <t>Rok zakończony 31 grudnia 2025</t>
  </si>
  <si>
    <t>Stan na 31 grudnia 2025 roku</t>
  </si>
  <si>
    <t>Stan na dzień 31 grudnia 2025 roku</t>
  </si>
  <si>
    <t>Zestawienie środków trwałych w leasingu do sprawozdania na dzień 31.12.2024</t>
  </si>
  <si>
    <t>Przeniesienie salda</t>
  </si>
  <si>
    <t>Salod okr. poprzedn.</t>
  </si>
  <si>
    <t>Skum. saldo PoprzOkr</t>
  </si>
  <si>
    <t>Skum. saldo Winien</t>
  </si>
  <si>
    <t>Skum. saldo Ma</t>
  </si>
  <si>
    <t>Saldo skumulowane</t>
  </si>
  <si>
    <t>1 PLN</t>
  </si>
  <si>
    <t>4803130009</t>
  </si>
  <si>
    <t>4803300009</t>
  </si>
  <si>
    <t>Ubezp.poz.ryzyk</t>
  </si>
  <si>
    <t>KD Zob poz fin</t>
  </si>
  <si>
    <t>KT RZ-j.p_usług</t>
  </si>
  <si>
    <t>D.wdr.jp- usług</t>
  </si>
  <si>
    <t>D.nief.jnp-z.fi</t>
  </si>
  <si>
    <t>Pod. odr_r.b._a</t>
  </si>
  <si>
    <t>Pod. odr_r.b_re</t>
  </si>
  <si>
    <t>zmiana stanu zaliczek przekazanych na środki trawałe w budowie</t>
  </si>
  <si>
    <t>zmiana stanu zaliczek na środki trwałe</t>
  </si>
  <si>
    <t>2100239 Centrozłom Wrocław</t>
  </si>
  <si>
    <r>
      <t>Wszystkie podatkowe grupy kapitałowe oraz podatnicy, których rok podatkowy pokrywa się z rokiem kalendarzowym a przychody w roku 2023</t>
    </r>
    <r>
      <rPr>
        <sz val="8"/>
        <color rgb="FFFF0000"/>
        <rFont val="Calibri"/>
        <family val="2"/>
        <charset val="238"/>
        <scheme val="minor"/>
      </rPr>
      <t xml:space="preserve"> przekroczyły 50 mln euro</t>
    </r>
    <r>
      <rPr>
        <sz val="8"/>
        <rFont val="Calibri"/>
        <family val="2"/>
        <charset val="238"/>
        <scheme val="minor"/>
      </rPr>
      <t xml:space="preserve"> zobowiązane są do końca 2024 r.:
</t>
    </r>
    <r>
      <rPr>
        <sz val="8"/>
        <color rgb="FFFF0000"/>
        <rFont val="Calibri"/>
        <family val="2"/>
        <charset val="238"/>
        <scheme val="minor"/>
      </rPr>
      <t xml:space="preserve">sporządzić informację o realizowanej strategii podatkowej </t>
    </r>
    <r>
      <rPr>
        <sz val="8"/>
        <rFont val="Calibri"/>
        <family val="2"/>
        <charset val="238"/>
        <scheme val="minor"/>
      </rPr>
      <t>za 2023 rok.
zamieścić informację o realizowanej strategii podatkowej na swojej stronie internetowej
przekazać za pomocą środków komunikacji elektronicznej właściwemu naczelnikowi urzędu skarbowego informację o adresie strony internetowej, na której została opublikowana informacja o realizowanej strategii podatkowej.</t>
    </r>
  </si>
  <si>
    <t>Nadwyżka kosztów finansowych nad przychodami finansowymi ogółem</t>
  </si>
  <si>
    <t>D.niefak.-usług</t>
  </si>
  <si>
    <t>Usł.utrzym.czys</t>
  </si>
  <si>
    <t>Opłaty notarial</t>
  </si>
  <si>
    <t>7500001050</t>
  </si>
  <si>
    <t>PF Ods cashpool</t>
  </si>
  <si>
    <t>7500010050</t>
  </si>
  <si>
    <t>PF Ods lok do 3</t>
  </si>
  <si>
    <t>ZFŚS_wp_ods od</t>
  </si>
  <si>
    <t>ZFŚŚ_wypr_ziel</t>
  </si>
  <si>
    <t>ZFŚS_wy_pr_sana</t>
  </si>
  <si>
    <t>ZFŚS_wy_em_sana</t>
  </si>
  <si>
    <t>Napisać o układzie z STS</t>
  </si>
  <si>
    <t>PPO_Roz.OI.nale handlowe</t>
  </si>
  <si>
    <t>PPO_Rozw. OA.nal. Finans.pozostałe.</t>
  </si>
  <si>
    <t>PPO_Sprzedaż RAT</t>
  </si>
  <si>
    <t>Zal otrz OKNP D</t>
  </si>
  <si>
    <t>Poz.usł.transpo</t>
  </si>
  <si>
    <t>Ochrona mienia-</t>
  </si>
  <si>
    <t>Sprz.poz.usług_</t>
  </si>
  <si>
    <t>7530001059</t>
  </si>
  <si>
    <t>PDOP lat ub.</t>
  </si>
  <si>
    <t>Podatk.zwi.kosz</t>
  </si>
  <si>
    <t>nadpłata cit PGK</t>
  </si>
  <si>
    <t>odsetki od leasingu</t>
  </si>
  <si>
    <t>Betrans</t>
  </si>
  <si>
    <t>Poz.usł.eksplo.</t>
  </si>
  <si>
    <t>Rozl.koszt.na P</t>
  </si>
  <si>
    <t>7530199059</t>
  </si>
  <si>
    <t>PF Dod RK nal p</t>
  </si>
  <si>
    <t>7600010000</t>
  </si>
  <si>
    <t>PPO_Przy. z lik</t>
  </si>
  <si>
    <t>9405110003</t>
  </si>
  <si>
    <t>Wart.net.zlikwi</t>
  </si>
  <si>
    <t>9765000074</t>
  </si>
  <si>
    <t>PKO_WN(74-MSSFb</t>
  </si>
  <si>
    <t>9765000076</t>
  </si>
  <si>
    <t>PKO_WN(76-PSRb.</t>
  </si>
  <si>
    <t>PGE Energia Ciepła SA</t>
  </si>
  <si>
    <t>IAW002020900:Kaucje i wadia                                                                                                                                       : PGE Energia Ciepła SA Lublin</t>
  </si>
  <si>
    <t>H12 PGE Energia Ciepła SA Lublin  Wrotków 2000770</t>
  </si>
  <si>
    <r>
      <rPr>
        <b/>
        <sz val="10"/>
        <color rgb="FF000000"/>
        <rFont val="Arial"/>
        <family val="2"/>
        <charset val="238"/>
      </rPr>
      <t>H12</t>
    </r>
    <r>
      <rPr>
        <sz val="8"/>
        <color rgb="FF000000"/>
        <rFont val="Arial"/>
        <family val="2"/>
        <charset val="238"/>
      </rPr>
      <t xml:space="preserve">:PGE Energia Ciepła SA Lublin Wrotków </t>
    </r>
    <r>
      <rPr>
        <b/>
        <sz val="11"/>
        <color rgb="FF000000"/>
        <rFont val="Arial"/>
        <family val="2"/>
        <charset val="238"/>
      </rPr>
      <t xml:space="preserve"> 2000770</t>
    </r>
  </si>
  <si>
    <t>1309070002</t>
  </si>
  <si>
    <t>7580199059</t>
  </si>
  <si>
    <t>KF Uj RK nal p.</t>
  </si>
  <si>
    <t>7610299009</t>
  </si>
  <si>
    <t>PPO_Inne otrzy.</t>
  </si>
  <si>
    <t>8404080000</t>
  </si>
  <si>
    <t>PPO dł_dotacje</t>
  </si>
  <si>
    <t>zwrot nadpłaty za 2024</t>
  </si>
  <si>
    <t>CIT za 2025 - wpłaty</t>
  </si>
  <si>
    <t>minus błędny PZ PGE - usł. ADP</t>
  </si>
  <si>
    <t>r-k szkoleniowy</t>
  </si>
  <si>
    <t>błędny PZ (wystornowany PGEn- usł.wsparcia</t>
  </si>
  <si>
    <t>Nak.inw.koszt u</t>
  </si>
  <si>
    <t>Nal OKNP zabezp</t>
  </si>
  <si>
    <t>2204990000</t>
  </si>
  <si>
    <t>Rozr poz pod op</t>
  </si>
  <si>
    <t>7630799009</t>
  </si>
  <si>
    <t>PPO_Rozwiąz.rez</t>
  </si>
  <si>
    <t xml:space="preserve">1 320,00  w maju przywrócenie zlikwidowanego zestawu komputerowego nr SAT 14000001576, miał być zlikwidowany tylko monitor. Przywrócona wartość dotyczy komputera.
</t>
  </si>
  <si>
    <t>2058000000                         2058010000</t>
  </si>
  <si>
    <r>
      <t xml:space="preserve"> IZW002999900:Pozostałe zobowiązania finansowe - pozostałe 
</t>
    </r>
    <r>
      <rPr>
        <b/>
        <sz val="10"/>
        <color rgb="FF000000"/>
        <rFont val="Arial"/>
        <family val="2"/>
        <charset val="238"/>
      </rPr>
      <t>G05</t>
    </r>
    <r>
      <rPr>
        <sz val="8"/>
        <color rgb="FF000000"/>
        <rFont val="Arial"/>
        <family val="2"/>
        <charset val="238"/>
      </rPr>
      <t xml:space="preserve">:Oddział Elektrownia Turów </t>
    </r>
    <r>
      <rPr>
        <b/>
        <sz val="11"/>
        <color rgb="FF000000"/>
        <rFont val="Arial"/>
        <family val="2"/>
        <charset val="238"/>
      </rPr>
      <t>2000091</t>
    </r>
  </si>
  <si>
    <t>PTE Nowy Świat</t>
  </si>
  <si>
    <t>zm.stanu produktów</t>
  </si>
  <si>
    <t>ATW101010
Grunty</t>
  </si>
  <si>
    <t>ATW101020
Budynki, lokale i obiekty inżynierii lądowej i wodnej</t>
  </si>
  <si>
    <t>ATW101030
Urządzenia techniczne i maszyny</t>
  </si>
  <si>
    <t>ATW101040
Środki transportu</t>
  </si>
  <si>
    <t>ATW101050
Inne rzeczowe aktywa trwale</t>
  </si>
  <si>
    <t>ATW101060
Rzeczowe aktywa trwałe w budowie</t>
  </si>
  <si>
    <t>Razem rzeczowe aktywa trwałe</t>
  </si>
  <si>
    <t>ATW101010000:Rzeczowe aktywa trwałe - wartość brutto - B58:BETRANS sp. z o.o.</t>
  </si>
  <si>
    <t>ATW101010000:Rzeczowe aktywa trwałe - wartość brutto - G03:Oddział Kopalnia Węgla Brunatnego Turów</t>
  </si>
  <si>
    <t>ATW101010000:Rzeczowe aktywa trwałe - wartość brutto - G05:Oddział Elektrownia Turów</t>
  </si>
  <si>
    <t>ATW101010000:Rzeczowe aktywa trwałe - wartość brutto - X01:Pozostałe podmioty</t>
  </si>
  <si>
    <t>Razem   ATW101010000:Rzeczowe aktywa trwałe - wartość brutto 
F000:Bilans otwarcia</t>
  </si>
  <si>
    <t>ATW101010000:Rzeczowe aktywa trwałe - wartość brutto 
O010:Korekta bilansu otwarcia</t>
  </si>
  <si>
    <t>tylko spółki PGE EC</t>
  </si>
  <si>
    <t>ATW101010000:Rzeczowe aktywa trwałe - wartość brutto - :</t>
  </si>
  <si>
    <t>Razem   ATW101010000:Rzeczowe aktywa trwałe - wartość brutto 
O110:Zakup</t>
  </si>
  <si>
    <t>ATW101010000:Rzeczowe aktywa trwałe - wartość brutto 
O120:Rozliczenie aktywów w budowie</t>
  </si>
  <si>
    <t>musi się zerować</t>
  </si>
  <si>
    <t>Razem  ATW101010000:Rzeczowe aktywa trwałe - wartość brutto - O310:Sprzedaż, zbycie</t>
  </si>
  <si>
    <t>ATW101010000:Rzeczowe aktywa trwałe - wartość brutto 
O300:Przemieszczenia między grupami</t>
  </si>
  <si>
    <t>ATW101010000:Rzeczowe aktywa trwałe - wartość brutto 
O320:Darowizny i nieodpłatne przekazania</t>
  </si>
  <si>
    <t>ATW101010000:Rzeczowe aktywa trwałe - wartość brutto 
O330:Likwidacja</t>
  </si>
  <si>
    <t>ATW101010000:Rzeczowe aktywa trwałe - wartość brutto 
O340:Transfer do dział. zaniechanej / Przezn. do sprzedaży [pakiet]</t>
  </si>
  <si>
    <t>ATW101010000:Rzeczowe aktywa trwałe - wartość brutto 
O220:Rekultywacja - aktywowanie kosztów przyrostu</t>
  </si>
  <si>
    <t>ATW101010000:Rzeczowe aktywa trwałe - wartość brutto 
O210:Rekultywacja - efekt zmiana założeń</t>
  </si>
  <si>
    <t>ATW101010000:Rzeczowe aktywa trwałe - wartość brutto 
O360:Kolizje</t>
  </si>
  <si>
    <t>ATW101010000:Rzeczowe aktywa trwałe - wartość brutto 
O390:Zmniejszenia - spisanie zadań zaniechanych</t>
  </si>
  <si>
    <t>ATW101010000:Rzeczowe aktywa trwałe - wartość brutto 
F070:Połączenie jednostek</t>
  </si>
  <si>
    <t>ATW101010000:Rzeczowe aktywa trwałe - wartość brutto 
F095:Transfer do działalności zaniechanej</t>
  </si>
  <si>
    <t>ATW101010000:Rzeczowe aktywa trwałe - wartość brutto 
O370:Zwiększenia - pozostałe</t>
  </si>
  <si>
    <t>ATW101010000:Rzeczowe aktywa trwałe - wartość brutto 
O380:Zmniejszenia - pozostałe</t>
  </si>
  <si>
    <t>ATW101010000:Rzeczowe aktywa trwałe - wartość brutto 
O700:Przemieszczenia pomiędzy oddziałami</t>
  </si>
  <si>
    <t>ATW101010000:Rzeczowe aktywa trwałe - wartość brutto 
O800:reklasyfikacja MSSF16   RAT/WN &gt; prawo do użytkowania składników aktywów</t>
  </si>
  <si>
    <t>ATW101010000:Rzeczowe aktywa trwałe - wartość brutto 
F999:Bilans zamknięcia</t>
  </si>
  <si>
    <t>ATW101050000:Rzeczowe aktywa trwałe - umorzenie - B58:BETRANS sp. z o.o.</t>
  </si>
  <si>
    <t>ATW101050000:Rzeczowe aktywa trwałe - umorzenie - G05:Oddział Elektrownia Turów</t>
  </si>
  <si>
    <t>ATW101050000:Rzeczowe aktywa trwałe - umorzenie - X01:Pozostałe podmioty</t>
  </si>
  <si>
    <t>Razem   ATW101050000:Rzeczowe aktywa trwałe - umorzenie 
F000:Bilans otwarcia</t>
  </si>
  <si>
    <t>ATW101050000:Rzeczowe aktywa trwałe - umorzenie 
O010:Korekta bilansu otwarcia</t>
  </si>
  <si>
    <t>ATW101050000:Rzeczowe aktywa trwałe - umorzenie 
O500:Amortyzacja ujęta w kosztach rodzajowych</t>
  </si>
  <si>
    <t>ATW101050000:Rzeczowe aktywa trwałe - umorzenie 
O560:Wartość netto likwidacji ujęta w kosztach rodzajowych</t>
  </si>
  <si>
    <t>ATW101050000:Rzeczowe aktywa trwałe - umorzenie 
O510:Amortyzacja ujęta w pozostałych kosztach operacyjnych</t>
  </si>
  <si>
    <t>ATW101050000:Rzeczowe aktywa trwałe - umorzenie 
O520:Zwiększenie odpisów aktualizujących w kosztach rodzajowych</t>
  </si>
  <si>
    <t>ATW101050000:Rzeczowe aktywa trwałe - umorzenie 
O530:Zwiększenie odpisów aktualizujących w pozostałych kosztach operacyjnych</t>
  </si>
  <si>
    <t>ATW101050000:Rzeczowe aktywa trwałe - umorzenie 
O540:Rozwiązanie odpisów aktualizujących w kosztach rodzajowych</t>
  </si>
  <si>
    <t>ATW101050000:Rzeczowe aktywa trwałe - umorzenie 
O550:Wykorzystanie odpisów aktualizujących</t>
  </si>
  <si>
    <t>ATW101050000:Rzeczowe aktywa trwałe - umorzenie 
O900:Rozwiązanie odpisów aktualizujących w pozostałych przychodach operacyjnych</t>
  </si>
  <si>
    <t>ATW101050000:Rzeczowe aktywa trwałe - umorzenie - :</t>
  </si>
  <si>
    <t>Razem  ATW101050000:Rzeczowe aktywa trwałe - umorzenie 
O310:Sprzedaż, zbycie</t>
  </si>
  <si>
    <t>ATW101050000:Rzeczowe aktywa trwałe - umorzenie 
O300:Przemieszczenia między grupami</t>
  </si>
  <si>
    <t>ATW101050000:Rzeczowe aktywa trwałe - umorzenie 
O320:Darowizny i nieodpłatne przekazania</t>
  </si>
  <si>
    <t>ATW101050000:Rzeczowe aktywa trwałe - umorzenie 
O330:Likwidacja</t>
  </si>
  <si>
    <t>ATW101050000:Rzeczowe aktywa trwałe - umorzenie 
O340:Transfer do dział. zaniechanej / Przezn. do sprzedaży [pakiet]</t>
  </si>
  <si>
    <t>ATW101050000:Rzeczowe aktywa trwałe - umorzenie 
O360:Kolizje</t>
  </si>
  <si>
    <t>ATW101050000:Rzeczowe aktywa trwałe - umorzenie 
O390:Zmniejszenia - spisanie zadań zaniechanych</t>
  </si>
  <si>
    <t>ATW101050000:Rzeczowe aktywa trwałe - umorzenie 
F070:Połączenie jednostek</t>
  </si>
  <si>
    <t>ATW101050000:Rzeczowe aktywa trwałe - umorzenie 
F095:Transfer do działalności zaniechanej</t>
  </si>
  <si>
    <t>ATW101050000:Rzeczowe aktywa trwałe - umorzenie 
O370:Zwiększenia - pozostałe</t>
  </si>
  <si>
    <t>ATW101050000:Rzeczowe aktywa trwałe - umorzenie 
O380:Zmniejszenia - pozostałe</t>
  </si>
  <si>
    <t>ATW101050000:Rzeczowe aktywa trwałe - umorzenie 
O700:Przemieszczenia pomiędzy oddziałami</t>
  </si>
  <si>
    <t>ATW101050000:Rzeczowe aktywa trwałe - umorzenie 
O800:reklasyfikacja MSSF16   RAT/WN &gt; prawo do użytkowania składników aktywów</t>
  </si>
  <si>
    <t>ATW101050000:Rzeczowe aktywa trwałe - umorzenie 
F999:Bilans zamknięcia</t>
  </si>
  <si>
    <t>ATW101100000:Rzeczowe aktywa trwałe - wartość netto 
F000: Bilans otwarcia</t>
  </si>
  <si>
    <t>O200: w tym rezerwa rekultywacyjna na BO</t>
  </si>
  <si>
    <t>ATW101100000:Rzeczowe aktywa trwałe - wartość netto  
F999: Bilans zamknięcia</t>
  </si>
  <si>
    <t>O201: w tym rezerwa rekultywacyjna na BZ</t>
  </si>
  <si>
    <t>1700510000</t>
  </si>
  <si>
    <t>TR rozliczenie</t>
  </si>
  <si>
    <t>7691399009</t>
  </si>
  <si>
    <t>9999004003</t>
  </si>
  <si>
    <t>Le:K-to tech.AA</t>
  </si>
  <si>
    <t>9999004008</t>
  </si>
  <si>
    <t>9999004011</t>
  </si>
  <si>
    <t>9999004012</t>
  </si>
  <si>
    <t>9999004013</t>
  </si>
  <si>
    <t>PDOP rok bieżąc</t>
  </si>
  <si>
    <t xml:space="preserve">    :Oddział Elektrownia Dolna Odra Nowe Czarnowo 76</t>
  </si>
  <si>
    <t>2000081</t>
  </si>
  <si>
    <t>G06</t>
  </si>
  <si>
    <t>ELT G05</t>
  </si>
  <si>
    <r>
      <t xml:space="preserve">IZW002140000:Zobowiązania z tytułu leasingu MSSF16 
H12:PGE Energia Ciepła SA Lublin                                                                                </t>
    </r>
    <r>
      <rPr>
        <b/>
        <sz val="8"/>
        <color rgb="FF000000"/>
        <rFont val="Arial"/>
        <family val="2"/>
        <charset val="238"/>
      </rPr>
      <t>2000770</t>
    </r>
  </si>
  <si>
    <t>ZFŚŚ_wypr_in im</t>
  </si>
  <si>
    <t>KT RZ-j.p_mater</t>
  </si>
  <si>
    <t>D.niefak.nal.fi</t>
  </si>
  <si>
    <r>
      <rPr>
        <b/>
        <sz val="10"/>
        <color rgb="FF000000"/>
        <rFont val="Arial"/>
        <family val="2"/>
        <charset val="238"/>
      </rPr>
      <t>G05</t>
    </r>
    <r>
      <rPr>
        <sz val="8"/>
        <color rgb="FF000000"/>
        <rFont val="Arial"/>
        <family val="2"/>
        <charset val="238"/>
      </rPr>
      <t xml:space="preserve"> Oddział Elektrownia Turów </t>
    </r>
    <r>
      <rPr>
        <b/>
        <sz val="11"/>
        <color rgb="FF000000"/>
        <rFont val="Arial"/>
        <family val="2"/>
        <charset val="238"/>
      </rPr>
      <t xml:space="preserve"> 2000091</t>
    </r>
  </si>
  <si>
    <t>G05 Oddział Elektrownia Turów  2000091</t>
  </si>
  <si>
    <t>7690920000</t>
  </si>
  <si>
    <t>PKO_Rekomp.odzy</t>
  </si>
  <si>
    <t>Winien   1-  9</t>
  </si>
  <si>
    <t>Ma   1-  9</t>
  </si>
  <si>
    <t>4121000009</t>
  </si>
  <si>
    <t>ZFSS_wppr_dof w</t>
  </si>
  <si>
    <t>ATW114000000:Prawa do użytkowania składników aktywów</t>
  </si>
  <si>
    <t>brak korekty na +</t>
  </si>
  <si>
    <t>305990000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</si>
</sst>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6">
    <numFmt numFmtId="6" formatCode="#,##0\ &quot;zł&quot;;[Red]\-#,##0\ &quot;zł&quot;"/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dd\.mm\.yyyy;@"/>
    <numFmt numFmtId="165" formatCode="_-* #,##0.00\ _z_ł_-;\-* #,##0.00\ _z_ł_-;_-* &quot;-&quot;??\ _z_ł_-;_-@_-"/>
    <numFmt numFmtId="166" formatCode="_(* #,##0.00_);_(* \(#,##0.00\);_(* &quot; - &quot;_);_(@_)"/>
    <numFmt numFmtId="167" formatCode="_(* #,##0_);_(* \(#,##0\);_(* &quot; - &quot;_);_(@_)"/>
    <numFmt numFmtId="168" formatCode="[$-415]mmmm\ yy;@"/>
    <numFmt numFmtId="169" formatCode="_-* #,##0.00\ [$€-1]_-;\-* #,##0.00\ [$€-1]_-;_-* &quot;-&quot;??\ [$€-1]_-"/>
    <numFmt numFmtId="170" formatCode="_-* #,##0\ &quot;DM&quot;_-;\-* #,##0\ &quot;DM&quot;_-;_-* &quot;-&quot;\ &quot;DM&quot;_-;_-@_-"/>
    <numFmt numFmtId="171" formatCode="#,##0.0;\(#,##0.0\)"/>
    <numFmt numFmtId="172" formatCode="&quot;$&quot;\ #,##0.00_);[Red]\(&quot;$&quot;\ #,##0.00\)"/>
    <numFmt numFmtId="173" formatCode="_(&quot;$&quot;\ * #,##0_);_(&quot;$&quot;\ * \(#,##0\);_(&quot;$&quot;\ * &quot;-&quot;_);_(@_)"/>
    <numFmt numFmtId="174" formatCode="0.000"/>
    <numFmt numFmtId="175" formatCode="_(&quot;$&quot;\ * #,##0.00_);_(&quot;$&quot;\ * \(#,##0.00\);_(&quot;$&quot;\ * &quot;-&quot;??_);_(@_)"/>
    <numFmt numFmtId="176" formatCode="m/yy"/>
    <numFmt numFmtId="177" formatCode="mm/yy"/>
    <numFmt numFmtId="178" formatCode="#,##0.0"/>
    <numFmt numFmtId="179" formatCode="#,##0.0_);[Red]\(#,##0.0\)"/>
    <numFmt numFmtId="180" formatCode="#,##0.00_ ;\-#,##0.00\ "/>
    <numFmt numFmtId="181" formatCode="#,##0.00&quot;Ł&quot;_);\(#,##0.00&quot;Ł&quot;\)"/>
    <numFmt numFmtId="182" formatCode="d/m/yy"/>
    <numFmt numFmtId="183" formatCode="_-* #,##0\ _D_M_-;\-* #,##0\ _D_M_-;_-* &quot;-&quot;\ _D_M_-;_-@_-"/>
    <numFmt numFmtId="184" formatCode="_-* #,##0.00\ _z_3_-;\-* #,##0.00\ _z_3_-;_-* &quot;-&quot;??\ _z_3_-;_-@_-"/>
    <numFmt numFmtId="185" formatCode="_-* #,##0\ _S_k_-;\-* #,##0\ _S_k_-;_-* &quot;-&quot;\ _S_k_-;_-@_-"/>
    <numFmt numFmtId="186" formatCode="_-* #,##0.00\ _S_k_-;\-* #,##0.00\ _S_k_-;_-* &quot;-&quot;??\ _S_k_-;_-@_-"/>
    <numFmt numFmtId="187" formatCode="_-[$€]* #,##0.00_-;\-[$€]* #,##0.00_-;_-[$€]* &quot;-&quot;??_-;_-@_-"/>
    <numFmt numFmtId="188" formatCode="&quot; &quot;#,##0.00&quot;      &quot;;&quot;-&quot;#,##0.00&quot;      &quot;;&quot; -&quot;#&quot;      &quot;;&quot; &quot;@&quot; &quot;"/>
    <numFmt numFmtId="189" formatCode="#,##0;\(#,##0\)"/>
    <numFmt numFmtId="190" formatCode="#,##0.000"/>
    <numFmt numFmtId="191" formatCode="0.0&quot; X EBIT&quot;"/>
    <numFmt numFmtId="192" formatCode="0.0%;[Red]\(0.0%\)"/>
    <numFmt numFmtId="193" formatCode="_-* #,##0.00\ &quot;kr&quot;_-;\-* #,##0.00\ &quot;kr&quot;_-;_-* &quot;-&quot;??\ &quot;kr&quot;_-;_-@_-"/>
    <numFmt numFmtId="194" formatCode="General_)"/>
    <numFmt numFmtId="195" formatCode="#,##0;[Red]&quot;-&quot;#,##0"/>
    <numFmt numFmtId="196" formatCode="_-* #,##0.00\ &quot;Sk&quot;_-;\-* #,##0.00\ &quot;Sk&quot;_-;_-* &quot;-&quot;??\ &quot;Sk&quot;_-;_-@_-"/>
    <numFmt numFmtId="197" formatCode="\+0%"/>
    <numFmt numFmtId="198" formatCode="0.00_)"/>
    <numFmt numFmtId="199" formatCode="#,##0.0%"/>
    <numFmt numFmtId="200" formatCode="0%_);\(0%\)"/>
    <numFmt numFmtId="201" formatCode="m/d"/>
    <numFmt numFmtId="202" formatCode="#,##0.000;\(#,##0.000\)"/>
    <numFmt numFmtId="203" formatCode="_-* #,##0.00\ _m_k_-;\-* #,##0.00\ _m_k_-;_-* &quot;-&quot;??\ _m_k_-;_-@_-"/>
    <numFmt numFmtId="204" formatCode="#,##0.0000;\(#,##0.0000\)"/>
    <numFmt numFmtId="205" formatCode="#.0,"/>
    <numFmt numFmtId="206" formatCode="_-* #,##0\ _m_k_-;\-* #,##0\ _m_k_-;_-* &quot;-&quot;\ _m_k_-;_-@_-"/>
    <numFmt numFmtId="207" formatCode="_-* #,##0\ &quot;mk&quot;_-;\-* #,##0\ &quot;mk&quot;_-;_-* &quot;-&quot;\ &quot;mk&quot;_-;_-@_-"/>
    <numFmt numFmtId="208" formatCode="#,##0.00&quot; &quot;[$zł-415];[Red]&quot;-&quot;#,##0.00&quot; &quot;[$zł-415]"/>
    <numFmt numFmtId="209" formatCode="#,##0.0_ ;[Red]\-#,##0.0\ "/>
    <numFmt numFmtId="210" formatCode="#,##0&quot;Ł&quot;_);\(#,##0&quot;Ł&quot;\)"/>
    <numFmt numFmtId="211" formatCode="_-* #,##0\ _k_r_-;\-* #,##0\ _k_r_-;_-* &quot;-&quot;\ _k_r_-;_-@_-"/>
    <numFmt numFmtId="212" formatCode="_-* #,##0.00\ _k_r_-;\-* #,##0.00\ _k_r_-;_-* &quot;-&quot;??\ _k_r_-;_-@_-"/>
    <numFmt numFmtId="213" formatCode="&quot;L.&quot;\ #,##0;[Red]\-&quot;L.&quot;\ #,##0"/>
    <numFmt numFmtId="214" formatCode="&quot;$&quot;#,##0_);[Red]\(&quot;$&quot;#,##0\)"/>
    <numFmt numFmtId="215" formatCode="_ * #,##0.00_)&quot;kr&quot;_ ;_ * \(#,##0.00\)&quot;kr&quot;_ ;_ * &quot;-&quot;??_)&quot;kr&quot;_ ;_ @_ "/>
    <numFmt numFmtId="216" formatCode="_-* #,##0.00\ &quot;mk&quot;_-;\-* #,##0.00\ &quot;mk&quot;_-;_-* &quot;-&quot;??\ &quot;mk&quot;_-;_-@_-"/>
    <numFmt numFmtId="217" formatCode="_-* #,##0.00\ &quot;DM&quot;_-;\-* #,##0.00\ &quot;DM&quot;_-;_-* &quot;-&quot;??\ &quot;DM&quot;_-;_-@_-"/>
    <numFmt numFmtId="218" formatCode="yyyy"/>
    <numFmt numFmtId="219" formatCode="yyyy\-mm\-dd;@"/>
    <numFmt numFmtId="220" formatCode="0.0%"/>
    <numFmt numFmtId="221" formatCode="###,###,##0.00"/>
    <numFmt numFmtId="222" formatCode="###,###,##0"/>
    <numFmt numFmtId="223" formatCode="0.0000"/>
    <numFmt numFmtId="224" formatCode="#,##0.0000"/>
    <numFmt numFmtId="225" formatCode="0.000%"/>
    <numFmt numFmtId="226" formatCode="0.00000"/>
  </numFmts>
  <fonts count="320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b/>
      <sz val="8"/>
      <color rgb="FF231F20"/>
      <name val="Calibri"/>
      <family val="2"/>
      <charset val="238"/>
      <scheme val="minor"/>
    </font>
    <font>
      <i/>
      <sz val="8"/>
      <color rgb="FF231F20"/>
      <name val="Calibri"/>
      <family val="2"/>
      <charset val="238"/>
      <scheme val="minor"/>
    </font>
    <font>
      <b/>
      <sz val="8"/>
      <color rgb="FF092D74"/>
      <name val="Calibri"/>
      <family val="2"/>
      <charset val="238"/>
      <scheme val="minor"/>
    </font>
    <font>
      <i/>
      <u/>
      <sz val="7.5"/>
      <color rgb="FF231F20"/>
      <name val="Calibri"/>
      <family val="2"/>
      <charset val="238"/>
      <scheme val="minor"/>
    </font>
    <font>
      <sz val="8"/>
      <color rgb="FF231F20"/>
      <name val="Calibri"/>
      <family val="2"/>
      <charset val="238"/>
      <scheme val="minor"/>
    </font>
    <font>
      <i/>
      <sz val="7.5"/>
      <color rgb="FF231F2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color rgb="FF004687"/>
      <name val="Calibri"/>
      <family val="2"/>
      <charset val="238"/>
      <scheme val="minor"/>
    </font>
    <font>
      <sz val="8"/>
      <color rgb="FF092D74"/>
      <name val="Calibri"/>
      <family val="2"/>
      <charset val="238"/>
      <scheme val="minor"/>
    </font>
    <font>
      <b/>
      <sz val="8"/>
      <color rgb="FFEF7F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i/>
      <u/>
      <sz val="7"/>
      <color rgb="FF092D74"/>
      <name val="Calibri"/>
      <family val="2"/>
      <charset val="238"/>
      <scheme val="minor"/>
    </font>
    <font>
      <b/>
      <i/>
      <sz val="7"/>
      <color rgb="FF092D74"/>
      <name val="Calibri"/>
      <family val="2"/>
      <charset val="238"/>
      <scheme val="minor"/>
    </font>
    <font>
      <b/>
      <i/>
      <sz val="7"/>
      <color rgb="FFEF7F0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i/>
      <sz val="7"/>
      <color rgb="FF231F20"/>
      <name val="Calibri"/>
      <family val="2"/>
      <charset val="238"/>
      <scheme val="minor"/>
    </font>
    <font>
      <b/>
      <sz val="14"/>
      <color rgb="FF092D74"/>
      <name val="Calibri"/>
      <family val="2"/>
      <charset val="238"/>
      <scheme val="minor"/>
    </font>
    <font>
      <sz val="8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i/>
      <sz val="10"/>
      <color rgb="FF0070C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Times New Roman"/>
      <family val="1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9"/>
      <color rgb="FF092D74"/>
      <name val="Calibri"/>
      <family val="2"/>
      <charset val="238"/>
      <scheme val="minor"/>
    </font>
    <font>
      <sz val="10.5"/>
      <color rgb="FF231F2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i/>
      <u/>
      <sz val="7"/>
      <color rgb="FF231F2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sz val="9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theme="1"/>
      <name val="Arial"/>
      <family val="2"/>
      <charset val="238"/>
    </font>
    <font>
      <i/>
      <sz val="10"/>
      <name val="Arial"/>
      <family val="2"/>
      <charset val="238"/>
    </font>
    <font>
      <b/>
      <sz val="18"/>
      <color theme="3"/>
      <name val="Calibri Light"/>
      <family val="2"/>
      <charset val="238"/>
      <scheme val="major"/>
    </font>
    <font>
      <sz val="10"/>
      <name val="Helv"/>
    </font>
    <font>
      <sz val="10"/>
      <name val="Courier"/>
      <family val="1"/>
      <charset val="238"/>
    </font>
    <font>
      <sz val="10"/>
      <name val="Courier"/>
      <family val="3"/>
    </font>
    <font>
      <sz val="12"/>
      <name val="Arial CE"/>
      <charset val="238"/>
    </font>
    <font>
      <sz val="11"/>
      <color indexed="8"/>
      <name val="Calibri"/>
      <family val="2"/>
      <charset val="238"/>
    </font>
    <font>
      <sz val="12"/>
      <color indexed="8"/>
      <name val="Times New Roman"/>
      <family val="2"/>
      <charset val="238"/>
    </font>
    <font>
      <sz val="11"/>
      <color indexed="9"/>
      <name val="Calibri"/>
      <family val="2"/>
      <charset val="238"/>
    </font>
    <font>
      <sz val="12"/>
      <color indexed="9"/>
      <name val="Times New Roman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theme="0"/>
      <name val="Czcionka tekstu podstawowego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2"/>
      <name val="Times New Roman"/>
      <family val="1"/>
      <charset val="238"/>
    </font>
    <font>
      <sz val="10"/>
      <name val="Times New Roman"/>
      <family val="1"/>
      <charset val="238"/>
    </font>
    <font>
      <sz val="11"/>
      <color indexed="20"/>
      <name val="Calibri"/>
      <family val="2"/>
      <charset val="238"/>
    </font>
    <font>
      <sz val="12"/>
      <color indexed="20"/>
      <name val="Times New Roman"/>
      <family val="2"/>
      <charset val="238"/>
    </font>
    <font>
      <sz val="9"/>
      <name val="Times New Roman"/>
      <family val="1"/>
      <charset val="238"/>
    </font>
    <font>
      <b/>
      <sz val="11"/>
      <color indexed="52"/>
      <name val="Calibri"/>
      <family val="2"/>
      <charset val="238"/>
    </font>
    <font>
      <b/>
      <sz val="12"/>
      <color indexed="52"/>
      <name val="Times New Roman"/>
      <family val="2"/>
      <charset val="238"/>
    </font>
    <font>
      <b/>
      <sz val="11"/>
      <color indexed="10"/>
      <name val="Czcionka tekstu podstawowego"/>
      <family val="2"/>
      <charset val="238"/>
    </font>
    <font>
      <b/>
      <sz val="11"/>
      <color indexed="9"/>
      <name val="Calibri"/>
      <family val="2"/>
      <charset val="238"/>
    </font>
    <font>
      <b/>
      <sz val="12"/>
      <color indexed="9"/>
      <name val="Times New Roman"/>
      <family val="2"/>
      <charset val="238"/>
    </font>
    <font>
      <sz val="10"/>
      <name val="MS Sans Serif"/>
      <family val="2"/>
      <charset val="238"/>
    </font>
    <font>
      <sz val="10"/>
      <color indexed="22"/>
      <name val="Arial"/>
      <family val="2"/>
      <charset val="238"/>
    </font>
    <font>
      <sz val="11"/>
      <color indexed="62"/>
      <name val="Czcionka tekstu podstawowego"/>
      <family val="2"/>
      <charset val="238"/>
    </font>
    <font>
      <sz val="10"/>
      <color indexed="62"/>
      <name val="Arial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0"/>
      <color indexed="63"/>
      <name val="Arial"/>
      <family val="2"/>
      <charset val="238"/>
    </font>
    <font>
      <b/>
      <sz val="12"/>
      <name val="Arial Narrow"/>
      <family val="2"/>
    </font>
    <font>
      <sz val="11"/>
      <color indexed="17"/>
      <name val="Czcionka tekstu podstawowego"/>
      <family val="2"/>
      <charset val="238"/>
    </font>
    <font>
      <sz val="12"/>
      <color rgb="FF006100"/>
      <name val="Czcionka tekstu podstawowego"/>
      <family val="2"/>
      <charset val="238"/>
    </font>
    <font>
      <sz val="10"/>
      <color indexed="17"/>
      <name val="Arial"/>
      <family val="2"/>
      <charset val="238"/>
    </font>
    <font>
      <sz val="10"/>
      <color theme="1"/>
      <name val="Arial"/>
      <family val="2"/>
      <charset val="238"/>
    </font>
    <font>
      <sz val="12"/>
      <name val="Tms Rmn"/>
    </font>
    <font>
      <b/>
      <sz val="11"/>
      <color indexed="8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  <charset val="238"/>
    </font>
    <font>
      <i/>
      <sz val="11"/>
      <color indexed="23"/>
      <name val="Calibri"/>
      <family val="2"/>
      <charset val="238"/>
    </font>
    <font>
      <i/>
      <sz val="12"/>
      <color indexed="23"/>
      <name val="Times New Roman"/>
      <family val="2"/>
      <charset val="238"/>
    </font>
    <font>
      <u/>
      <sz val="10"/>
      <color indexed="36"/>
      <name val="Arial CE"/>
      <charset val="238"/>
    </font>
    <font>
      <sz val="11"/>
      <color indexed="17"/>
      <name val="Calibri"/>
      <family val="2"/>
      <charset val="238"/>
    </font>
    <font>
      <sz val="12"/>
      <color indexed="17"/>
      <name val="Times New Roman"/>
      <family val="2"/>
      <charset val="238"/>
    </font>
    <font>
      <sz val="8"/>
      <name val="Arial Narrow"/>
      <family val="2"/>
    </font>
    <font>
      <b/>
      <sz val="15"/>
      <color indexed="56"/>
      <name val="Calibri"/>
      <family val="2"/>
      <charset val="238"/>
    </font>
    <font>
      <b/>
      <sz val="15"/>
      <color indexed="56"/>
      <name val="Times New Roman"/>
      <family val="2"/>
      <charset val="238"/>
    </font>
    <font>
      <b/>
      <sz val="15"/>
      <color indexed="62"/>
      <name val="Times New Roman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indexed="56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56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i/>
      <sz val="16"/>
      <color rgb="FF000000"/>
      <name val="Arial"/>
      <family val="2"/>
      <charset val="238"/>
    </font>
    <font>
      <u/>
      <sz val="10"/>
      <color indexed="12"/>
      <name val="Arial"/>
      <family val="2"/>
      <charset val="238"/>
    </font>
    <font>
      <u/>
      <sz val="6"/>
      <color indexed="12"/>
      <name val="Arial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indexed="62"/>
      <name val="Calibri"/>
      <family val="2"/>
      <charset val="238"/>
    </font>
    <font>
      <sz val="12"/>
      <color indexed="62"/>
      <name val="Times New Roman"/>
      <family val="2"/>
      <charset val="238"/>
    </font>
    <font>
      <sz val="8"/>
      <name val="Arial"/>
      <family val="2"/>
    </font>
    <font>
      <sz val="11"/>
      <color indexed="52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rgb="FFFA7D00"/>
      <name val="Czcionka tekstu podstawowego"/>
      <family val="2"/>
      <charset val="238"/>
    </font>
    <font>
      <sz val="10"/>
      <color indexed="52"/>
      <name val="Arial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b/>
      <sz val="10"/>
      <color indexed="9"/>
      <name val="Arial"/>
      <family val="2"/>
      <charset val="238"/>
    </font>
    <font>
      <sz val="11"/>
      <color indexed="52"/>
      <name val="Calibri"/>
      <family val="2"/>
      <charset val="238"/>
    </font>
    <font>
      <sz val="12"/>
      <color indexed="52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sz val="8"/>
      <name val="Swiss"/>
      <charset val="238"/>
    </font>
    <font>
      <b/>
      <sz val="15"/>
      <color indexed="56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6"/>
      <name val="Arial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indexed="60"/>
      <name val="Calibri"/>
      <family val="2"/>
      <charset val="238"/>
    </font>
    <font>
      <sz val="12"/>
      <color indexed="60"/>
      <name val="Times New Roman"/>
      <family val="2"/>
      <charset val="238"/>
    </font>
    <font>
      <sz val="12"/>
      <color indexed="19"/>
      <name val="Times New Roman"/>
      <family val="2"/>
      <charset val="238"/>
    </font>
    <font>
      <sz val="11"/>
      <color indexed="60"/>
      <name val="Czcionka tekstu podstawowego"/>
      <family val="2"/>
      <charset val="238"/>
    </font>
    <font>
      <sz val="11"/>
      <color indexed="19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0"/>
      <color indexed="60"/>
      <name val="Arial"/>
      <family val="2"/>
      <charset val="238"/>
    </font>
    <font>
      <sz val="12"/>
      <name val="Tms Rmn"/>
      <charset val="238"/>
    </font>
    <font>
      <sz val="12"/>
      <name val="Helv"/>
      <charset val="238"/>
    </font>
    <font>
      <b/>
      <i/>
      <sz val="16"/>
      <name val="Helv"/>
      <charset val="238"/>
    </font>
    <font>
      <sz val="10"/>
      <name val="Arial"/>
      <family val="2"/>
    </font>
    <font>
      <sz val="9"/>
      <color indexed="12"/>
      <name val="Arial"/>
      <family val="2"/>
      <charset val="238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charset val="238"/>
    </font>
    <font>
      <sz val="12"/>
      <color theme="1"/>
      <name val="Czcionka tekstu podstawowego"/>
      <family val="2"/>
      <charset val="238"/>
    </font>
    <font>
      <sz val="10"/>
      <color rgb="FF000000"/>
      <name val="Arial"/>
      <family val="2"/>
      <charset val="238"/>
    </font>
    <font>
      <sz val="9"/>
      <name val="Arial"/>
      <family val="2"/>
    </font>
    <font>
      <sz val="10"/>
      <name val="Arial CE"/>
    </font>
    <font>
      <b/>
      <sz val="11"/>
      <color indexed="52"/>
      <name val="Czcionka tekstu podstawowego"/>
      <family val="2"/>
      <charset val="238"/>
    </font>
    <font>
      <b/>
      <sz val="10"/>
      <color indexed="52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2"/>
      <color indexed="63"/>
      <name val="Times New Roman"/>
      <family val="2"/>
      <charset val="238"/>
    </font>
    <font>
      <sz val="11"/>
      <color theme="1"/>
      <name val="Calibri Light"/>
      <family val="2"/>
      <charset val="238"/>
      <scheme val="major"/>
    </font>
    <font>
      <b/>
      <sz val="14"/>
      <name val="Times New Roman"/>
      <family val="1"/>
      <charset val="238"/>
    </font>
    <font>
      <b/>
      <i/>
      <u/>
      <sz val="11"/>
      <color rgb="FF000000"/>
      <name val="Arial"/>
      <family val="2"/>
      <charset val="238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u/>
      <sz val="10"/>
      <name val="Calibri"/>
      <family val="2"/>
      <charset val="238"/>
      <scheme val="minor"/>
    </font>
    <font>
      <sz val="10"/>
      <name val="Calibri"/>
      <family val="2"/>
      <charset val="238"/>
    </font>
    <font>
      <sz val="11"/>
      <color theme="1"/>
      <name val="Calibri"/>
      <family val="2"/>
      <charset val="238"/>
    </font>
    <font>
      <u/>
      <sz val="10"/>
      <name val="Arial"/>
      <family val="2"/>
      <charset val="238"/>
    </font>
    <font>
      <sz val="10"/>
      <name val="Helv"/>
      <charset val="204"/>
    </font>
    <font>
      <i/>
      <sz val="12"/>
      <color indexed="12"/>
      <name val="Times New Roman"/>
      <family val="1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i/>
      <sz val="10"/>
      <color indexed="23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38"/>
    </font>
    <font>
      <b/>
      <sz val="18"/>
      <color indexed="62"/>
      <name val="Cambria"/>
      <family val="2"/>
      <charset val="238"/>
    </font>
    <font>
      <b/>
      <sz val="14"/>
      <name val="Arial"/>
      <family val="2"/>
    </font>
    <font>
      <b/>
      <sz val="11"/>
      <color indexed="8"/>
      <name val="Calibri"/>
      <family val="2"/>
      <charset val="238"/>
    </font>
    <font>
      <b/>
      <sz val="12"/>
      <color indexed="8"/>
      <name val="Times New Roman"/>
      <family val="2"/>
      <charset val="238"/>
    </font>
    <font>
      <sz val="11"/>
      <color indexed="10"/>
      <name val="Calibri"/>
      <family val="2"/>
      <charset val="238"/>
    </font>
    <font>
      <b/>
      <i/>
      <sz val="12"/>
      <name val="Times New Roman"/>
      <family val="1"/>
      <charset val="238"/>
    </font>
    <font>
      <b/>
      <sz val="10"/>
      <name val="Times New Roman"/>
      <family val="1"/>
    </font>
    <font>
      <sz val="11"/>
      <color indexed="2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sz val="10"/>
      <color indexed="20"/>
      <name val="Arial"/>
      <family val="2"/>
      <charset val="238"/>
    </font>
    <font>
      <i/>
      <sz val="7"/>
      <name val="Calibri"/>
      <family val="2"/>
      <charset val="238"/>
      <scheme val="minor"/>
    </font>
    <font>
      <b/>
      <i/>
      <sz val="7"/>
      <name val="Calibri"/>
      <family val="2"/>
      <charset val="238"/>
      <scheme val="minor"/>
    </font>
    <font>
      <i/>
      <sz val="8"/>
      <color rgb="FF092D74"/>
      <name val="Calibri"/>
      <family val="2"/>
      <charset val="238"/>
      <scheme val="minor"/>
    </font>
    <font>
      <sz val="8"/>
      <color rgb="FF000000"/>
      <name val="Arial"/>
      <family val="2"/>
      <charset val="238"/>
    </font>
    <font>
      <sz val="9"/>
      <color rgb="FF231F20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sz val="7.5"/>
      <color rgb="FF231F20"/>
      <name val="Calibri"/>
      <family val="2"/>
      <charset val="238"/>
      <scheme val="minor"/>
    </font>
    <font>
      <sz val="7.5"/>
      <color rgb="FF092D74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7.5"/>
      <color rgb="FF231F20"/>
      <name val="Calibri"/>
      <family val="2"/>
      <charset val="238"/>
      <scheme val="minor"/>
    </font>
    <font>
      <sz val="7.5"/>
      <name val="Calibri"/>
      <family val="2"/>
      <charset val="238"/>
      <scheme val="minor"/>
    </font>
    <font>
      <i/>
      <sz val="9"/>
      <color rgb="FF231F20"/>
      <name val="Calibri"/>
      <family val="2"/>
      <charset val="238"/>
      <scheme val="minor"/>
    </font>
    <font>
      <b/>
      <sz val="9"/>
      <color rgb="FF231F20"/>
      <name val="Calibri"/>
      <family val="2"/>
      <charset val="238"/>
      <scheme val="minor"/>
    </font>
    <font>
      <i/>
      <sz val="7.5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7"/>
      <color rgb="FF231F20"/>
      <name val="Calibri"/>
      <family val="2"/>
      <charset val="238"/>
      <scheme val="minor"/>
    </font>
    <font>
      <sz val="7"/>
      <color rgb="FF231F20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sz val="9"/>
      <color theme="1"/>
      <name val="Wingdings 2"/>
      <family val="1"/>
      <charset val="2"/>
    </font>
    <font>
      <sz val="7"/>
      <color theme="1"/>
      <name val="Times New Roman"/>
      <family val="1"/>
      <charset val="238"/>
    </font>
    <font>
      <b/>
      <sz val="9"/>
      <color rgb="FF000000"/>
      <name val="Arial"/>
      <family val="2"/>
      <charset val="238"/>
    </font>
    <font>
      <i/>
      <sz val="9"/>
      <color rgb="FFFF0000"/>
      <name val="Arial"/>
      <family val="2"/>
      <charset val="238"/>
    </font>
    <font>
      <sz val="8"/>
      <color rgb="FF000000"/>
      <name val="Calibri"/>
      <family val="2"/>
      <charset val="238"/>
    </font>
    <font>
      <b/>
      <sz val="8"/>
      <color rgb="FF000000"/>
      <name val="Arial"/>
      <family val="2"/>
      <charset val="238"/>
    </font>
    <font>
      <i/>
      <sz val="8"/>
      <color rgb="FF0000FF"/>
      <name val="Arial"/>
      <family val="2"/>
      <charset val="238"/>
    </font>
    <font>
      <b/>
      <sz val="9"/>
      <color rgb="FF800080"/>
      <name val="Arial"/>
      <family val="2"/>
      <charset val="238"/>
    </font>
    <font>
      <sz val="8"/>
      <color rgb="FF000080"/>
      <name val="Arial"/>
      <family val="2"/>
      <charset val="238"/>
    </font>
    <font>
      <b/>
      <sz val="8"/>
      <color rgb="FF000080"/>
      <name val="Arial"/>
      <family val="2"/>
      <charset val="238"/>
    </font>
    <font>
      <b/>
      <sz val="8"/>
      <color rgb="FFFF0000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8"/>
      <color rgb="FF0000FF"/>
      <name val="Arial"/>
      <family val="2"/>
      <charset val="238"/>
    </font>
    <font>
      <i/>
      <sz val="9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i/>
      <sz val="8"/>
      <color rgb="FF000000"/>
      <name val="Arial"/>
      <family val="2"/>
      <charset val="238"/>
    </font>
    <font>
      <b/>
      <sz val="9"/>
      <color rgb="FF800080"/>
      <name val="Arial"/>
      <family val="2"/>
      <charset val="238"/>
    </font>
    <font>
      <sz val="9"/>
      <color rgb="FF000080"/>
      <name val="Arial"/>
      <family val="2"/>
      <charset val="238"/>
    </font>
    <font>
      <b/>
      <sz val="9"/>
      <color rgb="FF000080"/>
      <name val="Arial"/>
      <family val="2"/>
      <charset val="238"/>
    </font>
    <font>
      <b/>
      <sz val="8"/>
      <color rgb="FFFF0000"/>
      <name val="Arial"/>
      <family val="2"/>
      <charset val="238"/>
    </font>
    <font>
      <i/>
      <sz val="8"/>
      <color rgb="FF000000"/>
      <name val="Calibri"/>
      <family val="2"/>
      <charset val="238"/>
    </font>
    <font>
      <b/>
      <sz val="9"/>
      <color rgb="FFFF0000"/>
      <name val="Arial"/>
      <family val="2"/>
      <charset val="238"/>
    </font>
    <font>
      <sz val="9"/>
      <name val="Arial"/>
      <family val="2"/>
      <charset val="238"/>
    </font>
    <font>
      <sz val="9"/>
      <color rgb="FF000080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Calibri"/>
      <family val="2"/>
      <charset val="238"/>
    </font>
    <font>
      <sz val="8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0000"/>
      <name val="Calibri"/>
      <family val="2"/>
      <charset val="238"/>
    </font>
    <font>
      <i/>
      <sz val="9"/>
      <color rgb="FFFF0000"/>
      <name val="Calibri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9"/>
      <color rgb="FF000000"/>
      <name val="Tahoma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666666"/>
      <name val="Arial"/>
      <family val="2"/>
      <charset val="238"/>
    </font>
    <font>
      <sz val="7"/>
      <name val="Arial"/>
      <family val="2"/>
      <charset val="238"/>
    </font>
    <font>
      <sz val="7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b/>
      <sz val="7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theme="1"/>
      <name val="Arial"/>
      <family val="2"/>
      <charset val="238"/>
    </font>
    <font>
      <sz val="10"/>
      <color indexed="81"/>
      <name val="Tahoma"/>
      <family val="2"/>
      <charset val="238"/>
    </font>
    <font>
      <b/>
      <sz val="10"/>
      <color indexed="81"/>
      <name val="Tahoma"/>
      <family val="2"/>
      <charset val="238"/>
    </font>
    <font>
      <b/>
      <sz val="8"/>
      <color rgb="FF006666"/>
      <name val="Calibri"/>
      <family val="2"/>
      <charset val="238"/>
      <scheme val="minor"/>
    </font>
    <font>
      <i/>
      <sz val="7.5"/>
      <color rgb="FF006666"/>
      <name val="Calibri"/>
      <family val="2"/>
      <charset val="238"/>
      <scheme val="minor"/>
    </font>
    <font>
      <sz val="11"/>
      <color rgb="FF006666"/>
      <name val="Calibri"/>
      <family val="2"/>
      <charset val="238"/>
      <scheme val="minor"/>
    </font>
    <font>
      <sz val="8"/>
      <color rgb="FF006666"/>
      <name val="Calibri"/>
      <family val="2"/>
      <charset val="238"/>
      <scheme val="minor"/>
    </font>
    <font>
      <b/>
      <sz val="12"/>
      <color rgb="FF006666"/>
      <name val="Calibri"/>
      <family val="2"/>
      <charset val="238"/>
      <scheme val="minor"/>
    </font>
    <font>
      <b/>
      <sz val="7"/>
      <color rgb="FF006666"/>
      <name val="Times New Roman"/>
      <family val="1"/>
      <charset val="238"/>
    </font>
    <font>
      <i/>
      <sz val="7"/>
      <color rgb="FF006666"/>
      <name val="Calibri"/>
      <family val="2"/>
      <charset val="238"/>
      <scheme val="minor"/>
    </font>
    <font>
      <i/>
      <sz val="8"/>
      <color rgb="FF006666"/>
      <name val="Calibri"/>
      <family val="2"/>
      <charset val="238"/>
      <scheme val="minor"/>
    </font>
    <font>
      <b/>
      <sz val="12"/>
      <color rgb="FF006666"/>
      <name val="Cambria"/>
      <family val="1"/>
      <charset val="238"/>
    </font>
    <font>
      <b/>
      <sz val="11"/>
      <color rgb="FF006666"/>
      <name val="Calibri"/>
      <family val="2"/>
      <charset val="238"/>
      <scheme val="minor"/>
    </font>
    <font>
      <b/>
      <sz val="12"/>
      <color rgb="FF006666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4"/>
      <color rgb="FF1A7466"/>
      <name val="Calibri"/>
      <family val="2"/>
      <charset val="238"/>
      <scheme val="minor"/>
    </font>
    <font>
      <sz val="11"/>
      <color rgb="FF1A7466"/>
      <name val="Calibri"/>
      <family val="2"/>
      <charset val="238"/>
      <scheme val="minor"/>
    </font>
    <font>
      <b/>
      <sz val="8"/>
      <color rgb="FF1A7466"/>
      <name val="Calibri"/>
      <family val="2"/>
      <charset val="238"/>
      <scheme val="minor"/>
    </font>
    <font>
      <i/>
      <sz val="8"/>
      <color rgb="FF1A7466"/>
      <name val="Calibri"/>
      <family val="2"/>
      <charset val="238"/>
      <scheme val="minor"/>
    </font>
    <font>
      <i/>
      <u/>
      <sz val="7.5"/>
      <color rgb="FF1A7466"/>
      <name val="Calibri"/>
      <family val="2"/>
      <charset val="238"/>
      <scheme val="minor"/>
    </font>
    <font>
      <i/>
      <sz val="7.5"/>
      <color rgb="FF1A7466"/>
      <name val="Calibri"/>
      <family val="2"/>
      <charset val="238"/>
      <scheme val="minor"/>
    </font>
    <font>
      <sz val="8"/>
      <color rgb="FF1A7466"/>
      <name val="Calibri"/>
      <family val="2"/>
      <charset val="238"/>
      <scheme val="minor"/>
    </font>
    <font>
      <b/>
      <i/>
      <u/>
      <sz val="7"/>
      <color rgb="FF1A7466"/>
      <name val="Calibri"/>
      <family val="2"/>
      <charset val="238"/>
      <scheme val="minor"/>
    </font>
    <font>
      <b/>
      <i/>
      <sz val="7"/>
      <color rgb="FF1A7466"/>
      <name val="Calibri"/>
      <family val="2"/>
      <charset val="238"/>
      <scheme val="minor"/>
    </font>
    <font>
      <i/>
      <u/>
      <sz val="7"/>
      <color rgb="FF1A7466"/>
      <name val="Calibri"/>
      <family val="2"/>
      <charset val="238"/>
      <scheme val="minor"/>
    </font>
    <font>
      <b/>
      <sz val="7"/>
      <color rgb="FF1A7466"/>
      <name val="Calibri"/>
      <family val="2"/>
      <charset val="238"/>
      <scheme val="minor"/>
    </font>
    <font>
      <sz val="9"/>
      <color rgb="FF1A7466"/>
      <name val="Calibri"/>
      <family val="2"/>
      <charset val="238"/>
      <scheme val="minor"/>
    </font>
    <font>
      <b/>
      <sz val="11"/>
      <color rgb="FF1A7466"/>
      <name val="Calibri"/>
      <family val="2"/>
      <charset val="238"/>
      <scheme val="minor"/>
    </font>
    <font>
      <b/>
      <sz val="12"/>
      <color rgb="FF1A7466"/>
      <name val="Calibri"/>
      <family val="2"/>
      <charset val="238"/>
      <scheme val="minor"/>
    </font>
    <font>
      <b/>
      <sz val="9"/>
      <color rgb="FF1A7466"/>
      <name val="Calibri"/>
      <family val="2"/>
      <charset val="238"/>
      <scheme val="minor"/>
    </font>
    <font>
      <i/>
      <sz val="9"/>
      <color rgb="FF1A7466"/>
      <name val="Calibri"/>
      <family val="2"/>
      <charset val="238"/>
      <scheme val="minor"/>
    </font>
    <font>
      <b/>
      <sz val="7.5"/>
      <color rgb="FF1A7466"/>
      <name val="Calibri"/>
      <family val="2"/>
      <charset val="238"/>
      <scheme val="minor"/>
    </font>
    <font>
      <sz val="7.5"/>
      <color rgb="FF1A7466"/>
      <name val="Calibri"/>
      <family val="2"/>
      <charset val="238"/>
      <scheme val="minor"/>
    </font>
    <font>
      <i/>
      <u/>
      <sz val="12"/>
      <color rgb="FF1A7466"/>
      <name val="Calibri"/>
      <family val="2"/>
      <charset val="238"/>
      <scheme val="minor"/>
    </font>
    <font>
      <b/>
      <sz val="12"/>
      <color rgb="FF1A7466"/>
      <name val="Calibri"/>
      <family val="2"/>
      <charset val="238"/>
    </font>
    <font>
      <b/>
      <sz val="7"/>
      <color rgb="FF1A7466"/>
      <name val="Calibri"/>
      <family val="2"/>
      <charset val="238"/>
    </font>
    <font>
      <b/>
      <sz val="7"/>
      <color rgb="FF1A7466"/>
      <name val="Times New Roman"/>
      <family val="1"/>
      <charset val="238"/>
    </font>
    <font>
      <sz val="8"/>
      <color rgb="FF1A7466"/>
      <name val="Arial"/>
      <family val="2"/>
      <charset val="238"/>
    </font>
    <font>
      <sz val="8"/>
      <color rgb="FFFF0000"/>
      <name val="Calibri"/>
      <family val="2"/>
      <charset val="238"/>
      <scheme val="minor"/>
    </font>
    <font>
      <b/>
      <sz val="8"/>
      <color rgb="FF0070C0"/>
      <name val="Calibri"/>
      <family val="2"/>
      <charset val="238"/>
      <scheme val="minor"/>
    </font>
    <font>
      <b/>
      <sz val="9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FF0000"/>
      <name val="Calibri"/>
      <family val="2"/>
      <charset val="238"/>
    </font>
    <font>
      <i/>
      <sz val="9"/>
      <color rgb="FF000000"/>
      <name val="Arial"/>
      <family val="2"/>
      <charset val="238"/>
    </font>
  </fonts>
  <fills count="145">
    <fill>
      <patternFill patternType="none"/>
    </fill>
    <fill>
      <patternFill patternType="gray125"/>
    </fill>
    <fill>
      <patternFill patternType="solid">
        <fgColor indexed="1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1E2E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2E2E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51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9"/>
        <bgColor indexed="9"/>
      </patternFill>
    </fill>
    <fill>
      <patternFill patternType="solid">
        <fgColor theme="3" tint="0.79998168889431442"/>
        <bgColor indexed="9"/>
      </patternFill>
    </fill>
    <fill>
      <patternFill patternType="solid">
        <fgColor indexed="58"/>
        <bgColor indexed="9"/>
      </patternFill>
    </fill>
    <fill>
      <patternFill patternType="solid">
        <fgColor indexed="29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indexed="44"/>
        <bgColor indexed="9"/>
      </patternFill>
    </fill>
    <fill>
      <patternFill patternType="solid">
        <fgColor indexed="42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indexed="3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7C7C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8F8F8"/>
        <bgColor indexed="64"/>
      </patternFill>
    </fill>
  </fills>
  <borders count="1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medium">
        <color rgb="FF092D74"/>
      </top>
      <bottom style="medium">
        <color rgb="FF092D74"/>
      </bottom>
      <diagonal/>
    </border>
    <border>
      <left/>
      <right/>
      <top/>
      <bottom style="double">
        <color rgb="FF092D74"/>
      </bottom>
      <diagonal/>
    </border>
    <border>
      <left/>
      <right/>
      <top/>
      <bottom style="medium">
        <color rgb="FF092D74"/>
      </bottom>
      <diagonal/>
    </border>
    <border>
      <left/>
      <right/>
      <top style="medium">
        <color rgb="FF092D7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rgb="FFE1E2E5"/>
      </bottom>
      <diagonal/>
    </border>
    <border>
      <left style="medium">
        <color rgb="FF092D74"/>
      </left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ck">
        <color rgb="FF00000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C0C0C0"/>
      </left>
      <right style="thin">
        <color rgb="FFC0C0C0"/>
      </right>
      <top/>
      <bottom style="thick">
        <color rgb="FF000000"/>
      </bottom>
      <diagonal/>
    </border>
    <border>
      <left/>
      <right style="thin">
        <color rgb="FFC0C0C0"/>
      </right>
      <top/>
      <bottom style="thick">
        <color rgb="FF000000"/>
      </bottom>
      <diagonal/>
    </border>
    <border>
      <left/>
      <right/>
      <top style="thin">
        <color rgb="FF0000CC"/>
      </top>
      <bottom style="thin">
        <color rgb="FF0000CC"/>
      </bottom>
      <diagonal/>
    </border>
    <border>
      <left/>
      <right/>
      <top style="thin">
        <color rgb="FF000099"/>
      </top>
      <bottom style="thin">
        <color rgb="FF000099"/>
      </bottom>
      <diagonal/>
    </border>
    <border>
      <left/>
      <right style="thin">
        <color rgb="FFC0C0C0"/>
      </right>
      <top style="thin">
        <color rgb="FF0000CC"/>
      </top>
      <bottom style="thin">
        <color rgb="FF0000CC"/>
      </bottom>
      <diagonal/>
    </border>
    <border>
      <left style="thin">
        <color rgb="FFC0C0C0"/>
      </left>
      <right style="thin">
        <color rgb="FFC0C0C0"/>
      </right>
      <top style="thin">
        <color rgb="FF0000CC"/>
      </top>
      <bottom style="thin">
        <color rgb="FF0000CC"/>
      </bottom>
      <diagonal/>
    </border>
    <border>
      <left/>
      <right/>
      <top/>
      <bottom style="thin">
        <color rgb="FF000099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C0C0C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000000"/>
      </top>
      <bottom style="thin">
        <color rgb="FF000000"/>
      </bottom>
      <diagonal/>
    </border>
    <border>
      <left/>
      <right style="thin">
        <color rgb="FFC0C0C0"/>
      </right>
      <top style="thin">
        <color rgb="FFC0C0C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000000"/>
      </bottom>
      <diagonal/>
    </border>
    <border>
      <left/>
      <right/>
      <top/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DDDDDD"/>
      </right>
      <top style="thin">
        <color rgb="FFC0C0C0"/>
      </top>
      <bottom style="thick">
        <color rgb="FF000000"/>
      </bottom>
      <diagonal/>
    </border>
    <border>
      <left/>
      <right/>
      <top style="thin">
        <color rgb="FFC0C0C0"/>
      </top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000000"/>
      </bottom>
      <diagonal/>
    </border>
    <border>
      <left/>
      <right style="thin">
        <color rgb="FFC0C0C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rgb="FF006666"/>
      </bottom>
      <diagonal/>
    </border>
    <border>
      <left/>
      <right/>
      <top/>
      <bottom style="medium">
        <color rgb="FF006666"/>
      </bottom>
      <diagonal/>
    </border>
    <border>
      <left/>
      <right/>
      <top style="medium">
        <color rgb="FF006666"/>
      </top>
      <bottom/>
      <diagonal/>
    </border>
    <border>
      <left/>
      <right/>
      <top style="double">
        <color rgb="FF006666"/>
      </top>
      <bottom style="double">
        <color rgb="FF006666"/>
      </bottom>
      <diagonal/>
    </border>
    <border>
      <left/>
      <right/>
      <top style="thin">
        <color rgb="FF006666"/>
      </top>
      <bottom style="thin">
        <color rgb="FF006666"/>
      </bottom>
      <diagonal/>
    </border>
    <border>
      <left/>
      <right/>
      <top style="double">
        <color rgb="FF006666"/>
      </top>
      <bottom/>
      <diagonal/>
    </border>
    <border>
      <left/>
      <right/>
      <top style="medium">
        <color rgb="FF1A7466"/>
      </top>
      <bottom style="medium">
        <color rgb="FF1A7466"/>
      </bottom>
      <diagonal/>
    </border>
    <border>
      <left/>
      <right/>
      <top/>
      <bottom style="double">
        <color rgb="FF1A7466"/>
      </bottom>
      <diagonal/>
    </border>
    <border>
      <left/>
      <right/>
      <top style="medium">
        <color rgb="FF1A7466"/>
      </top>
      <bottom/>
      <diagonal/>
    </border>
    <border>
      <left/>
      <right/>
      <top/>
      <bottom style="medium">
        <color rgb="FF1A7466"/>
      </bottom>
      <diagonal/>
    </border>
    <border>
      <left/>
      <right/>
      <top style="double">
        <color rgb="FF1A7466"/>
      </top>
      <bottom style="double">
        <color rgb="FF1A7466"/>
      </bottom>
      <diagonal/>
    </border>
    <border>
      <left/>
      <right/>
      <top style="medium">
        <color rgb="FFE1E2E5"/>
      </top>
      <bottom style="double">
        <color rgb="FF1A7466"/>
      </bottom>
      <diagonal/>
    </border>
    <border>
      <left/>
      <right/>
      <top style="double">
        <color rgb="FF1A7466"/>
      </top>
      <bottom/>
      <diagonal/>
    </border>
    <border>
      <left style="thin">
        <color rgb="FF660066"/>
      </left>
      <right/>
      <top style="thin">
        <color rgb="FF660066"/>
      </top>
      <bottom style="thin">
        <color rgb="FF660066"/>
      </bottom>
      <diagonal/>
    </border>
    <border>
      <left/>
      <right style="thin">
        <color rgb="FF660066"/>
      </right>
      <top style="thin">
        <color rgb="FF660066"/>
      </top>
      <bottom style="thin">
        <color rgb="FF660066"/>
      </bottom>
      <diagonal/>
    </border>
    <border>
      <left/>
      <right style="thin">
        <color rgb="FFC0C0C0"/>
      </right>
      <top/>
      <bottom style="thin">
        <color rgb="FF000099"/>
      </bottom>
      <diagonal/>
    </border>
    <border>
      <left/>
      <right/>
      <top/>
      <bottom style="thin">
        <color rgb="FF336600"/>
      </bottom>
      <diagonal/>
    </border>
    <border>
      <left/>
      <right/>
      <top/>
      <bottom style="thin">
        <color rgb="FF990000"/>
      </bottom>
      <diagonal/>
    </border>
    <border>
      <left style="thin">
        <color rgb="FFC0C0C0"/>
      </left>
      <right style="thin">
        <color rgb="FFC0C0C0"/>
      </right>
      <top/>
      <bottom style="thin">
        <color rgb="FF660033"/>
      </bottom>
      <diagonal/>
    </border>
    <border>
      <left/>
      <right style="thin">
        <color rgb="FFC0C0C0"/>
      </right>
      <top/>
      <bottom style="thin">
        <color rgb="FF660033"/>
      </bottom>
      <diagonal/>
    </border>
    <border>
      <left style="thin">
        <color rgb="FFC0C0C0"/>
      </left>
      <right style="thin">
        <color rgb="FFC0C0C0"/>
      </right>
      <top/>
      <bottom style="thin">
        <color rgb="FF000099"/>
      </bottom>
      <diagonal/>
    </border>
    <border>
      <left style="thin">
        <color rgb="FFC0C0C0"/>
      </left>
      <right/>
      <top style="thin">
        <color rgb="FF000099"/>
      </top>
      <bottom style="thin">
        <color rgb="FF000099"/>
      </bottom>
      <diagonal/>
    </border>
    <border>
      <left style="thin">
        <color rgb="FFC0C0C0"/>
      </left>
      <right/>
      <top/>
      <bottom/>
      <diagonal/>
    </border>
  </borders>
  <cellStyleXfs count="42998">
    <xf numFmtId="0" fontId="0" fillId="0" borderId="0"/>
    <xf numFmtId="0" fontId="2" fillId="0" borderId="0"/>
    <xf numFmtId="0" fontId="1" fillId="0" borderId="0"/>
    <xf numFmtId="0" fontId="3" fillId="0" borderId="0"/>
    <xf numFmtId="0" fontId="6" fillId="0" borderId="0"/>
    <xf numFmtId="0" fontId="25" fillId="0" borderId="0"/>
    <xf numFmtId="0" fontId="1" fillId="0" borderId="0"/>
    <xf numFmtId="0" fontId="26" fillId="0" borderId="0"/>
    <xf numFmtId="0" fontId="27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7" fontId="34" fillId="0" borderId="0" applyFill="0" applyBorder="0">
      <alignment horizontal="right" vertical="top"/>
    </xf>
    <xf numFmtId="165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5" fillId="0" borderId="0"/>
    <xf numFmtId="49" fontId="61" fillId="0" borderId="23" applyAlignment="0">
      <alignment horizontal="left" indent="2"/>
    </xf>
    <xf numFmtId="0" fontId="3" fillId="0" borderId="0"/>
    <xf numFmtId="0" fontId="3" fillId="0" borderId="0"/>
    <xf numFmtId="0" fontId="58" fillId="0" borderId="0"/>
    <xf numFmtId="0" fontId="1" fillId="0" borderId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2" fillId="0" borderId="0">
      <alignment vertical="top"/>
    </xf>
    <xf numFmtId="0" fontId="2" fillId="0" borderId="0"/>
    <xf numFmtId="0" fontId="3" fillId="0" borderId="0"/>
    <xf numFmtId="0" fontId="3" fillId="0" borderId="0"/>
    <xf numFmtId="168" fontId="3" fillId="0" borderId="0"/>
    <xf numFmtId="0" fontId="2" fillId="0" borderId="0"/>
    <xf numFmtId="168" fontId="3" fillId="0" borderId="0"/>
    <xf numFmtId="0" fontId="2" fillId="0" borderId="0"/>
    <xf numFmtId="168" fontId="3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0" fontId="2" fillId="0" borderId="0"/>
    <xf numFmtId="169" fontId="2" fillId="0" borderId="0"/>
    <xf numFmtId="16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66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67" fillId="0" borderId="0"/>
    <xf numFmtId="0" fontId="67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8" fillId="0" borderId="0"/>
    <xf numFmtId="0" fontId="68" fillId="0" borderId="0"/>
    <xf numFmtId="169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6" fillId="0" borderId="0"/>
    <xf numFmtId="0" fontId="68" fillId="0" borderId="0"/>
    <xf numFmtId="0" fontId="2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68" fontId="3" fillId="0" borderId="0"/>
    <xf numFmtId="168" fontId="3" fillId="0" borderId="0"/>
    <xf numFmtId="168" fontId="3" fillId="0" borderId="0"/>
    <xf numFmtId="0" fontId="70" fillId="61" borderId="0" applyNumberFormat="0" applyBorder="0" applyAlignment="0" applyProtection="0"/>
    <xf numFmtId="0" fontId="71" fillId="61" borderId="0" applyNumberFormat="0" applyBorder="0" applyAlignment="0" applyProtection="0"/>
    <xf numFmtId="0" fontId="71" fillId="62" borderId="0" applyNumberFormat="0" applyBorder="0" applyAlignment="0" applyProtection="0"/>
    <xf numFmtId="0" fontId="70" fillId="61" borderId="0" applyNumberFormat="0" applyBorder="0" applyAlignment="0" applyProtection="0"/>
    <xf numFmtId="0" fontId="70" fillId="63" borderId="0" applyNumberFormat="0" applyBorder="0" applyAlignment="0" applyProtection="0"/>
    <xf numFmtId="0" fontId="71" fillId="63" borderId="0" applyNumberFormat="0" applyBorder="0" applyAlignment="0" applyProtection="0"/>
    <xf numFmtId="0" fontId="71" fillId="64" borderId="0" applyNumberFormat="0" applyBorder="0" applyAlignment="0" applyProtection="0"/>
    <xf numFmtId="0" fontId="70" fillId="63" borderId="0" applyNumberFormat="0" applyBorder="0" applyAlignment="0" applyProtection="0"/>
    <xf numFmtId="0" fontId="70" fillId="65" borderId="0" applyNumberFormat="0" applyBorder="0" applyAlignment="0" applyProtection="0"/>
    <xf numFmtId="0" fontId="71" fillId="65" borderId="0" applyNumberFormat="0" applyBorder="0" applyAlignment="0" applyProtection="0"/>
    <xf numFmtId="0" fontId="71" fillId="66" borderId="0" applyNumberFormat="0" applyBorder="0" applyAlignment="0" applyProtection="0"/>
    <xf numFmtId="0" fontId="70" fillId="65" borderId="0" applyNumberFormat="0" applyBorder="0" applyAlignment="0" applyProtection="0"/>
    <xf numFmtId="0" fontId="70" fillId="67" borderId="0" applyNumberFormat="0" applyBorder="0" applyAlignment="0" applyProtection="0"/>
    <xf numFmtId="0" fontId="71" fillId="67" borderId="0" applyNumberFormat="0" applyBorder="0" applyAlignment="0" applyProtection="0"/>
    <xf numFmtId="0" fontId="71" fillId="68" borderId="0" applyNumberFormat="0" applyBorder="0" applyAlignment="0" applyProtection="0"/>
    <xf numFmtId="0" fontId="70" fillId="67" borderId="0" applyNumberFormat="0" applyBorder="0" applyAlignment="0" applyProtection="0"/>
    <xf numFmtId="0" fontId="70" fillId="69" borderId="0" applyNumberFormat="0" applyBorder="0" applyAlignment="0" applyProtection="0"/>
    <xf numFmtId="0" fontId="71" fillId="69" borderId="0" applyNumberFormat="0" applyBorder="0" applyAlignment="0" applyProtection="0"/>
    <xf numFmtId="0" fontId="70" fillId="69" borderId="0" applyNumberFormat="0" applyBorder="0" applyAlignment="0" applyProtection="0"/>
    <xf numFmtId="0" fontId="70" fillId="68" borderId="0" applyNumberFormat="0" applyBorder="0" applyAlignment="0" applyProtection="0"/>
    <xf numFmtId="0" fontId="71" fillId="68" borderId="0" applyNumberFormat="0" applyBorder="0" applyAlignment="0" applyProtection="0"/>
    <xf numFmtId="0" fontId="71" fillId="66" borderId="0" applyNumberFormat="0" applyBorder="0" applyAlignment="0" applyProtection="0"/>
    <xf numFmtId="0" fontId="70" fillId="68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168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168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168" fontId="26" fillId="61" borderId="0" applyNumberFormat="0" applyBorder="0" applyAlignment="0" applyProtection="0"/>
    <xf numFmtId="0" fontId="26" fillId="62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168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168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6" fillId="62" borderId="0" applyNumberFormat="0" applyBorder="0" applyAlignment="0" applyProtection="0"/>
    <xf numFmtId="168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61" borderId="0" applyNumberFormat="0" applyBorder="0" applyAlignment="0" applyProtection="0"/>
    <xf numFmtId="0" fontId="62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1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8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8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168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8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168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168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6" fillId="63" borderId="0" applyNumberFormat="0" applyBorder="0" applyAlignment="0" applyProtection="0"/>
    <xf numFmtId="0" fontId="62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68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68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168" fontId="26" fillId="65" borderId="0" applyNumberFormat="0" applyBorder="0" applyAlignment="0" applyProtection="0"/>
    <xf numFmtId="0" fontId="26" fillId="66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68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168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6" fillId="66" borderId="0" applyNumberFormat="0" applyBorder="0" applyAlignment="0" applyProtection="0"/>
    <xf numFmtId="168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6" fillId="65" borderId="0" applyNumberFormat="0" applyBorder="0" applyAlignment="0" applyProtection="0"/>
    <xf numFmtId="0" fontId="62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168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6" fillId="67" borderId="0" applyNumberFormat="0" applyBorder="0" applyAlignment="0" applyProtection="0"/>
    <xf numFmtId="0" fontId="62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168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6" fillId="69" borderId="0" applyNumberFormat="0" applyBorder="0" applyAlignment="0" applyProtection="0"/>
    <xf numFmtId="0" fontId="62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8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168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168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6" fillId="66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168" fontId="26" fillId="68" borderId="0" applyNumberFormat="0" applyBorder="0" applyAlignment="0" applyProtection="0"/>
    <xf numFmtId="0" fontId="26" fillId="66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168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168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6" fillId="66" borderId="0" applyNumberFormat="0" applyBorder="0" applyAlignment="0" applyProtection="0"/>
    <xf numFmtId="168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5" fillId="57" borderId="0" applyNumberFormat="0" applyBorder="0" applyAlignment="0" applyProtection="0"/>
    <xf numFmtId="0" fontId="26" fillId="68" borderId="0" applyNumberFormat="0" applyBorder="0" applyAlignment="0" applyProtection="0"/>
    <xf numFmtId="0" fontId="62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70" fillId="62" borderId="0" applyNumberFormat="0" applyBorder="0" applyAlignment="0" applyProtection="0"/>
    <xf numFmtId="0" fontId="71" fillId="62" borderId="0" applyNumberFormat="0" applyBorder="0" applyAlignment="0" applyProtection="0"/>
    <xf numFmtId="0" fontId="71" fillId="69" borderId="0" applyNumberFormat="0" applyBorder="0" applyAlignment="0" applyProtection="0"/>
    <xf numFmtId="0" fontId="70" fillId="62" borderId="0" applyNumberFormat="0" applyBorder="0" applyAlignment="0" applyProtection="0"/>
    <xf numFmtId="0" fontId="70" fillId="64" borderId="0" applyNumberFormat="0" applyBorder="0" applyAlignment="0" applyProtection="0"/>
    <xf numFmtId="0" fontId="71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70" borderId="0" applyNumberFormat="0" applyBorder="0" applyAlignment="0" applyProtection="0"/>
    <xf numFmtId="0" fontId="71" fillId="70" borderId="0" applyNumberFormat="0" applyBorder="0" applyAlignment="0" applyProtection="0"/>
    <xf numFmtId="0" fontId="71" fillId="71" borderId="0" applyNumberFormat="0" applyBorder="0" applyAlignment="0" applyProtection="0"/>
    <xf numFmtId="0" fontId="70" fillId="70" borderId="0" applyNumberFormat="0" applyBorder="0" applyAlignment="0" applyProtection="0"/>
    <xf numFmtId="0" fontId="70" fillId="67" borderId="0" applyNumberFormat="0" applyBorder="0" applyAlignment="0" applyProtection="0"/>
    <xf numFmtId="0" fontId="71" fillId="67" borderId="0" applyNumberFormat="0" applyBorder="0" applyAlignment="0" applyProtection="0"/>
    <xf numFmtId="0" fontId="71" fillId="63" borderId="0" applyNumberFormat="0" applyBorder="0" applyAlignment="0" applyProtection="0"/>
    <xf numFmtId="0" fontId="70" fillId="67" borderId="0" applyNumberFormat="0" applyBorder="0" applyAlignment="0" applyProtection="0"/>
    <xf numFmtId="0" fontId="70" fillId="62" borderId="0" applyNumberFormat="0" applyBorder="0" applyAlignment="0" applyProtection="0"/>
    <xf numFmtId="0" fontId="71" fillId="62" borderId="0" applyNumberFormat="0" applyBorder="0" applyAlignment="0" applyProtection="0"/>
    <xf numFmtId="0" fontId="71" fillId="69" borderId="0" applyNumberFormat="0" applyBorder="0" applyAlignment="0" applyProtection="0"/>
    <xf numFmtId="0" fontId="70" fillId="62" borderId="0" applyNumberFormat="0" applyBorder="0" applyAlignment="0" applyProtection="0"/>
    <xf numFmtId="0" fontId="70" fillId="72" borderId="0" applyNumberFormat="0" applyBorder="0" applyAlignment="0" applyProtection="0"/>
    <xf numFmtId="0" fontId="71" fillId="72" borderId="0" applyNumberFormat="0" applyBorder="0" applyAlignment="0" applyProtection="0"/>
    <xf numFmtId="0" fontId="71" fillId="66" borderId="0" applyNumberFormat="0" applyBorder="0" applyAlignment="0" applyProtection="0"/>
    <xf numFmtId="0" fontId="70" fillId="7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168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6" fillId="62" borderId="0" applyNumberFormat="0" applyBorder="0" applyAlignment="0" applyProtection="0"/>
    <xf numFmtId="0" fontId="62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168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6" fillId="64" borderId="0" applyNumberFormat="0" applyBorder="0" applyAlignment="0" applyProtection="0"/>
    <xf numFmtId="0" fontId="62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68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68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168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68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168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168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70" borderId="0" applyNumberFormat="0" applyBorder="0" applyAlignment="0" applyProtection="0"/>
    <xf numFmtId="0" fontId="62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7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6" fillId="63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168" fontId="26" fillId="67" borderId="0" applyNumberFormat="0" applyBorder="0" applyAlignment="0" applyProtection="0"/>
    <xf numFmtId="0" fontId="26" fillId="6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6" fillId="63" borderId="0" applyNumberFormat="0" applyBorder="0" applyAlignment="0" applyProtection="0"/>
    <xf numFmtId="168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67" borderId="0" applyNumberFormat="0" applyBorder="0" applyAlignment="0" applyProtection="0"/>
    <xf numFmtId="0" fontId="62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168" fontId="26" fillId="62" borderId="0" applyNumberFormat="0" applyBorder="0" applyAlignment="0" applyProtection="0"/>
    <xf numFmtId="0" fontId="26" fillId="6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6" fillId="69" borderId="0" applyNumberFormat="0" applyBorder="0" applyAlignment="0" applyProtection="0"/>
    <xf numFmtId="168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6" fillId="62" borderId="0" applyNumberFormat="0" applyBorder="0" applyAlignment="0" applyProtection="0"/>
    <xf numFmtId="0" fontId="62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6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6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8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8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168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8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168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168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5" fillId="58" borderId="0" applyNumberFormat="0" applyBorder="0" applyAlignment="0" applyProtection="0"/>
    <xf numFmtId="0" fontId="26" fillId="72" borderId="0" applyNumberFormat="0" applyBorder="0" applyAlignment="0" applyProtection="0"/>
    <xf numFmtId="0" fontId="62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26" fillId="72" borderId="0" applyNumberFormat="0" applyBorder="0" applyAlignment="0" applyProtection="0"/>
    <xf numFmtId="0" fontId="72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69" borderId="0" applyNumberFormat="0" applyBorder="0" applyAlignment="0" applyProtection="0"/>
    <xf numFmtId="0" fontId="72" fillId="73" borderId="0" applyNumberFormat="0" applyBorder="0" applyAlignment="0" applyProtection="0"/>
    <xf numFmtId="0" fontId="72" fillId="64" borderId="0" applyNumberFormat="0" applyBorder="0" applyAlignment="0" applyProtection="0"/>
    <xf numFmtId="0" fontId="73" fillId="64" borderId="0" applyNumberFormat="0" applyBorder="0" applyAlignment="0" applyProtection="0"/>
    <xf numFmtId="0" fontId="73" fillId="74" borderId="0" applyNumberFormat="0" applyBorder="0" applyAlignment="0" applyProtection="0"/>
    <xf numFmtId="0" fontId="72" fillId="64" borderId="0" applyNumberFormat="0" applyBorder="0" applyAlignment="0" applyProtection="0"/>
    <xf numFmtId="0" fontId="72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2" borderId="0" applyNumberFormat="0" applyBorder="0" applyAlignment="0" applyProtection="0"/>
    <xf numFmtId="0" fontId="72" fillId="70" borderId="0" applyNumberFormat="0" applyBorder="0" applyAlignment="0" applyProtection="0"/>
    <xf numFmtId="0" fontId="72" fillId="75" borderId="0" applyNumberFormat="0" applyBorder="0" applyAlignment="0" applyProtection="0"/>
    <xf numFmtId="0" fontId="73" fillId="75" borderId="0" applyNumberFormat="0" applyBorder="0" applyAlignment="0" applyProtection="0"/>
    <xf numFmtId="0" fontId="73" fillId="63" borderId="0" applyNumberFormat="0" applyBorder="0" applyAlignment="0" applyProtection="0"/>
    <xf numFmtId="0" fontId="72" fillId="75" borderId="0" applyNumberFormat="0" applyBorder="0" applyAlignment="0" applyProtection="0"/>
    <xf numFmtId="0" fontId="72" fillId="76" borderId="0" applyNumberFormat="0" applyBorder="0" applyAlignment="0" applyProtection="0"/>
    <xf numFmtId="0" fontId="73" fillId="76" borderId="0" applyNumberFormat="0" applyBorder="0" applyAlignment="0" applyProtection="0"/>
    <xf numFmtId="0" fontId="73" fillId="69" borderId="0" applyNumberFormat="0" applyBorder="0" applyAlignment="0" applyProtection="0"/>
    <xf numFmtId="0" fontId="72" fillId="76" borderId="0" applyNumberFormat="0" applyBorder="0" applyAlignment="0" applyProtection="0"/>
    <xf numFmtId="0" fontId="72" fillId="77" borderId="0" applyNumberFormat="0" applyBorder="0" applyAlignment="0" applyProtection="0"/>
    <xf numFmtId="0" fontId="73" fillId="77" borderId="0" applyNumberFormat="0" applyBorder="0" applyAlignment="0" applyProtection="0"/>
    <xf numFmtId="0" fontId="73" fillId="64" borderId="0" applyNumberFormat="0" applyBorder="0" applyAlignment="0" applyProtection="0"/>
    <xf numFmtId="0" fontId="72" fillId="77" borderId="0" applyNumberFormat="0" applyBorder="0" applyAlignment="0" applyProtection="0"/>
    <xf numFmtId="0" fontId="74" fillId="73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5" fillId="3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69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6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73" borderId="0" applyNumberFormat="0" applyBorder="0" applyAlignment="0" applyProtection="0"/>
    <xf numFmtId="0" fontId="74" fillId="64" borderId="0" applyNumberFormat="0" applyBorder="0" applyAlignment="0" applyProtection="0"/>
    <xf numFmtId="0" fontId="74" fillId="74" borderId="0" applyNumberFormat="0" applyBorder="0" applyAlignment="0" applyProtection="0"/>
    <xf numFmtId="0" fontId="74" fillId="64" borderId="0" applyNumberFormat="0" applyBorder="0" applyAlignment="0" applyProtection="0"/>
    <xf numFmtId="0" fontId="75" fillId="43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7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6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70" borderId="0" applyNumberFormat="0" applyBorder="0" applyAlignment="0" applyProtection="0"/>
    <xf numFmtId="0" fontId="74" fillId="72" borderId="0" applyNumberFormat="0" applyBorder="0" applyAlignment="0" applyProtection="0"/>
    <xf numFmtId="0" fontId="74" fillId="70" borderId="0" applyNumberFormat="0" applyBorder="0" applyAlignment="0" applyProtection="0"/>
    <xf numFmtId="0" fontId="75" fillId="47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2" borderId="0" applyNumberFormat="0" applyBorder="0" applyAlignment="0" applyProtection="0"/>
    <xf numFmtId="0" fontId="74" fillId="72" borderId="0" applyNumberFormat="0" applyBorder="0" applyAlignment="0" applyProtection="0"/>
    <xf numFmtId="0" fontId="74" fillId="72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2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6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0" borderId="0" applyNumberFormat="0" applyBorder="0" applyAlignment="0" applyProtection="0"/>
    <xf numFmtId="0" fontId="74" fillId="75" borderId="0" applyNumberFormat="0" applyBorder="0" applyAlignment="0" applyProtection="0"/>
    <xf numFmtId="0" fontId="74" fillId="63" borderId="0" applyNumberFormat="0" applyBorder="0" applyAlignment="0" applyProtection="0"/>
    <xf numFmtId="0" fontId="74" fillId="75" borderId="0" applyNumberFormat="0" applyBorder="0" applyAlignment="0" applyProtection="0"/>
    <xf numFmtId="0" fontId="75" fillId="51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63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63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6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6" borderId="0" applyNumberFormat="0" applyBorder="0" applyAlignment="0" applyProtection="0"/>
    <xf numFmtId="0" fontId="74" fillId="69" borderId="0" applyNumberFormat="0" applyBorder="0" applyAlignment="0" applyProtection="0"/>
    <xf numFmtId="0" fontId="74" fillId="76" borderId="0" applyNumberFormat="0" applyBorder="0" applyAlignment="0" applyProtection="0"/>
    <xf numFmtId="0" fontId="75" fillId="55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69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69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6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7" borderId="0" applyNumberFormat="0" applyBorder="0" applyAlignment="0" applyProtection="0"/>
    <xf numFmtId="0" fontId="74" fillId="64" borderId="0" applyNumberFormat="0" applyBorder="0" applyAlignment="0" applyProtection="0"/>
    <xf numFmtId="0" fontId="74" fillId="77" borderId="0" applyNumberFormat="0" applyBorder="0" applyAlignment="0" applyProtection="0"/>
    <xf numFmtId="0" fontId="75" fillId="59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64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64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76" fillId="77" borderId="0" applyNumberFormat="0" applyBorder="0" applyAlignment="0" applyProtection="0"/>
    <xf numFmtId="0" fontId="74" fillId="77" borderId="0" applyNumberFormat="0" applyBorder="0" applyAlignment="0" applyProtection="0"/>
    <xf numFmtId="0" fontId="74" fillId="77" borderId="0" applyNumberFormat="0" applyBorder="0" applyAlignment="0" applyProtection="0"/>
    <xf numFmtId="0" fontId="68" fillId="0" borderId="0"/>
    <xf numFmtId="0" fontId="67" fillId="0" borderId="0"/>
    <xf numFmtId="0" fontId="67" fillId="0" borderId="0"/>
    <xf numFmtId="0" fontId="68" fillId="0" borderId="0"/>
    <xf numFmtId="0" fontId="67" fillId="0" borderId="0"/>
    <xf numFmtId="0" fontId="3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168" fontId="2" fillId="0" borderId="0"/>
    <xf numFmtId="0" fontId="72" fillId="78" borderId="0" applyNumberFormat="0" applyBorder="0" applyAlignment="0" applyProtection="0"/>
    <xf numFmtId="0" fontId="77" fillId="79" borderId="0" applyNumberFormat="0" applyBorder="0" applyAlignment="0" applyProtection="0"/>
    <xf numFmtId="0" fontId="77" fillId="80" borderId="0" applyNumberFormat="0" applyBorder="0" applyAlignment="0" applyProtection="0"/>
    <xf numFmtId="0" fontId="78" fillId="81" borderId="0" applyNumberFormat="0" applyBorder="0" applyAlignment="0" applyProtection="0"/>
    <xf numFmtId="0" fontId="73" fillId="78" borderId="0" applyNumberFormat="0" applyBorder="0" applyAlignment="0" applyProtection="0"/>
    <xf numFmtId="0" fontId="73" fillId="82" borderId="0" applyNumberFormat="0" applyBorder="0" applyAlignment="0" applyProtection="0"/>
    <xf numFmtId="0" fontId="73" fillId="82" borderId="0" applyNumberFormat="0" applyBorder="0" applyAlignment="0" applyProtection="0"/>
    <xf numFmtId="0" fontId="73" fillId="82" borderId="0" applyNumberFormat="0" applyBorder="0" applyAlignment="0" applyProtection="0"/>
    <xf numFmtId="0" fontId="72" fillId="78" borderId="0" applyNumberFormat="0" applyBorder="0" applyAlignment="0" applyProtection="0"/>
    <xf numFmtId="168" fontId="74" fillId="82" borderId="0" applyNumberFormat="0" applyBorder="0" applyAlignment="0" applyProtection="0"/>
    <xf numFmtId="0" fontId="72" fillId="83" borderId="0" applyNumberFormat="0" applyBorder="0" applyAlignment="0" applyProtection="0"/>
    <xf numFmtId="0" fontId="77" fillId="84" borderId="0" applyNumberFormat="0" applyBorder="0" applyAlignment="0" applyProtection="0"/>
    <xf numFmtId="0" fontId="77" fillId="85" borderId="0" applyNumberFormat="0" applyBorder="0" applyAlignment="0" applyProtection="0"/>
    <xf numFmtId="0" fontId="78" fillId="86" borderId="0" applyNumberFormat="0" applyBorder="0" applyAlignment="0" applyProtection="0"/>
    <xf numFmtId="0" fontId="73" fillId="83" borderId="0" applyNumberFormat="0" applyBorder="0" applyAlignment="0" applyProtection="0"/>
    <xf numFmtId="0" fontId="73" fillId="74" borderId="0" applyNumberFormat="0" applyBorder="0" applyAlignment="0" applyProtection="0"/>
    <xf numFmtId="0" fontId="73" fillId="74" borderId="0" applyNumberFormat="0" applyBorder="0" applyAlignment="0" applyProtection="0"/>
    <xf numFmtId="0" fontId="73" fillId="74" borderId="0" applyNumberFormat="0" applyBorder="0" applyAlignment="0" applyProtection="0"/>
    <xf numFmtId="0" fontId="72" fillId="83" borderId="0" applyNumberFormat="0" applyBorder="0" applyAlignment="0" applyProtection="0"/>
    <xf numFmtId="168" fontId="74" fillId="74" borderId="0" applyNumberFormat="0" applyBorder="0" applyAlignment="0" applyProtection="0"/>
    <xf numFmtId="0" fontId="72" fillId="87" borderId="0" applyNumberFormat="0" applyBorder="0" applyAlignment="0" applyProtection="0"/>
    <xf numFmtId="0" fontId="77" fillId="88" borderId="0" applyNumberFormat="0" applyBorder="0" applyAlignment="0" applyProtection="0"/>
    <xf numFmtId="0" fontId="77" fillId="89" borderId="0" applyNumberFormat="0" applyBorder="0" applyAlignment="0" applyProtection="0"/>
    <xf numFmtId="0" fontId="78" fillId="90" borderId="0" applyNumberFormat="0" applyBorder="0" applyAlignment="0" applyProtection="0"/>
    <xf numFmtId="0" fontId="73" fillId="87" borderId="0" applyNumberFormat="0" applyBorder="0" applyAlignment="0" applyProtection="0"/>
    <xf numFmtId="0" fontId="73" fillId="72" borderId="0" applyNumberFormat="0" applyBorder="0" applyAlignment="0" applyProtection="0"/>
    <xf numFmtId="0" fontId="73" fillId="72" borderId="0" applyNumberFormat="0" applyBorder="0" applyAlignment="0" applyProtection="0"/>
    <xf numFmtId="0" fontId="73" fillId="72" borderId="0" applyNumberFormat="0" applyBorder="0" applyAlignment="0" applyProtection="0"/>
    <xf numFmtId="0" fontId="72" fillId="87" borderId="0" applyNumberFormat="0" applyBorder="0" applyAlignment="0" applyProtection="0"/>
    <xf numFmtId="168" fontId="74" fillId="72" borderId="0" applyNumberFormat="0" applyBorder="0" applyAlignment="0" applyProtection="0"/>
    <xf numFmtId="0" fontId="72" fillId="75" borderId="0" applyNumberFormat="0" applyBorder="0" applyAlignment="0" applyProtection="0"/>
    <xf numFmtId="0" fontId="77" fillId="84" borderId="0" applyNumberFormat="0" applyBorder="0" applyAlignment="0" applyProtection="0"/>
    <xf numFmtId="0" fontId="77" fillId="91" borderId="0" applyNumberFormat="0" applyBorder="0" applyAlignment="0" applyProtection="0"/>
    <xf numFmtId="0" fontId="78" fillId="85" borderId="0" applyNumberFormat="0" applyBorder="0" applyAlignment="0" applyProtection="0"/>
    <xf numFmtId="0" fontId="73" fillId="75" borderId="0" applyNumberFormat="0" applyBorder="0" applyAlignment="0" applyProtection="0"/>
    <xf numFmtId="0" fontId="73" fillId="92" borderId="0" applyNumberFormat="0" applyBorder="0" applyAlignment="0" applyProtection="0"/>
    <xf numFmtId="0" fontId="73" fillId="92" borderId="0" applyNumberFormat="0" applyBorder="0" applyAlignment="0" applyProtection="0"/>
    <xf numFmtId="0" fontId="73" fillId="92" borderId="0" applyNumberFormat="0" applyBorder="0" applyAlignment="0" applyProtection="0"/>
    <xf numFmtId="0" fontId="72" fillId="75" borderId="0" applyNumberFormat="0" applyBorder="0" applyAlignment="0" applyProtection="0"/>
    <xf numFmtId="168" fontId="74" fillId="92" borderId="0" applyNumberFormat="0" applyBorder="0" applyAlignment="0" applyProtection="0"/>
    <xf numFmtId="0" fontId="72" fillId="76" borderId="0" applyNumberFormat="0" applyBorder="0" applyAlignment="0" applyProtection="0"/>
    <xf numFmtId="0" fontId="77" fillId="93" borderId="0" applyNumberFormat="0" applyBorder="0" applyAlignment="0" applyProtection="0"/>
    <xf numFmtId="0" fontId="77" fillId="94" borderId="0" applyNumberFormat="0" applyBorder="0" applyAlignment="0" applyProtection="0"/>
    <xf numFmtId="0" fontId="78" fillId="81" borderId="0" applyNumberFormat="0" applyBorder="0" applyAlignment="0" applyProtection="0"/>
    <xf numFmtId="0" fontId="73" fillId="76" borderId="0" applyNumberFormat="0" applyBorder="0" applyAlignment="0" applyProtection="0"/>
    <xf numFmtId="0" fontId="72" fillId="76" borderId="0" applyNumberFormat="0" applyBorder="0" applyAlignment="0" applyProtection="0"/>
    <xf numFmtId="0" fontId="72" fillId="76" borderId="0" applyNumberFormat="0" applyBorder="0" applyAlignment="0" applyProtection="0"/>
    <xf numFmtId="168" fontId="74" fillId="76" borderId="0" applyNumberFormat="0" applyBorder="0" applyAlignment="0" applyProtection="0"/>
    <xf numFmtId="0" fontId="72" fillId="74" borderId="0" applyNumberFormat="0" applyBorder="0" applyAlignment="0" applyProtection="0"/>
    <xf numFmtId="0" fontId="77" fillId="95" borderId="0" applyNumberFormat="0" applyBorder="0" applyAlignment="0" applyProtection="0"/>
    <xf numFmtId="0" fontId="77" fillId="96" borderId="0" applyNumberFormat="0" applyBorder="0" applyAlignment="0" applyProtection="0"/>
    <xf numFmtId="0" fontId="78" fillId="97" borderId="0" applyNumberFormat="0" applyBorder="0" applyAlignment="0" applyProtection="0"/>
    <xf numFmtId="0" fontId="73" fillId="74" borderId="0" applyNumberFormat="0" applyBorder="0" applyAlignment="0" applyProtection="0"/>
    <xf numFmtId="0" fontId="73" fillId="83" borderId="0" applyNumberFormat="0" applyBorder="0" applyAlignment="0" applyProtection="0"/>
    <xf numFmtId="0" fontId="73" fillId="83" borderId="0" applyNumberFormat="0" applyBorder="0" applyAlignment="0" applyProtection="0"/>
    <xf numFmtId="0" fontId="73" fillId="83" borderId="0" applyNumberFormat="0" applyBorder="0" applyAlignment="0" applyProtection="0"/>
    <xf numFmtId="0" fontId="72" fillId="74" borderId="0" applyNumberFormat="0" applyBorder="0" applyAlignment="0" applyProtection="0"/>
    <xf numFmtId="168" fontId="74" fillId="83" borderId="0" applyNumberFormat="0" applyBorder="0" applyAlignment="0" applyProtection="0"/>
    <xf numFmtId="0" fontId="79" fillId="0" borderId="21"/>
    <xf numFmtId="0" fontId="80" fillId="0" borderId="20" applyBorder="0"/>
    <xf numFmtId="168" fontId="80" fillId="0" borderId="20" applyBorder="0"/>
    <xf numFmtId="168" fontId="80" fillId="0" borderId="20" applyBorder="0"/>
    <xf numFmtId="168" fontId="80" fillId="0" borderId="20" applyBorder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78" borderId="0" applyNumberFormat="0" applyBorder="0" applyAlignment="0" applyProtection="0"/>
    <xf numFmtId="0" fontId="75" fillId="36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82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2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6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78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5" fillId="40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6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7" borderId="0" applyNumberFormat="0" applyBorder="0" applyAlignment="0" applyProtection="0"/>
    <xf numFmtId="0" fontId="74" fillId="72" borderId="0" applyNumberFormat="0" applyBorder="0" applyAlignment="0" applyProtection="0"/>
    <xf numFmtId="0" fontId="74" fillId="87" borderId="0" applyNumberFormat="0" applyBorder="0" applyAlignment="0" applyProtection="0"/>
    <xf numFmtId="0" fontId="75" fillId="44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72" borderId="0" applyNumberFormat="0" applyBorder="0" applyAlignment="0" applyProtection="0"/>
    <xf numFmtId="0" fontId="74" fillId="72" borderId="0" applyNumberFormat="0" applyBorder="0" applyAlignment="0" applyProtection="0"/>
    <xf numFmtId="0" fontId="74" fillId="72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72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6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87" borderId="0" applyNumberFormat="0" applyBorder="0" applyAlignment="0" applyProtection="0"/>
    <xf numFmtId="0" fontId="74" fillId="75" borderId="0" applyNumberFormat="0" applyBorder="0" applyAlignment="0" applyProtection="0"/>
    <xf numFmtId="0" fontId="74" fillId="92" borderId="0" applyNumberFormat="0" applyBorder="0" applyAlignment="0" applyProtection="0"/>
    <xf numFmtId="0" fontId="74" fillId="75" borderId="0" applyNumberFormat="0" applyBorder="0" applyAlignment="0" applyProtection="0"/>
    <xf numFmtId="0" fontId="75" fillId="48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92" borderId="0" applyNumberFormat="0" applyBorder="0" applyAlignment="0" applyProtection="0"/>
    <xf numFmtId="0" fontId="74" fillId="92" borderId="0" applyNumberFormat="0" applyBorder="0" applyAlignment="0" applyProtection="0"/>
    <xf numFmtId="0" fontId="74" fillId="92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92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6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5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5" fillId="52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6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6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5" fillId="56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83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6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81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7" borderId="0" applyNumberFormat="0" applyBorder="0" applyAlignment="0" applyProtection="0"/>
    <xf numFmtId="0" fontId="81" fillId="63" borderId="0" applyNumberFormat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2" fillId="0" borderId="0" applyFill="0" applyBorder="0" applyAlignment="0"/>
    <xf numFmtId="173" fontId="2" fillId="0" borderId="0" applyFill="0" applyBorder="0" applyAlignment="0"/>
    <xf numFmtId="174" fontId="83" fillId="0" borderId="0" applyFill="0" applyBorder="0" applyAlignment="0"/>
    <xf numFmtId="175" fontId="2" fillId="0" borderId="0" applyFill="0" applyBorder="0" applyAlignment="0"/>
    <xf numFmtId="176" fontId="2" fillId="0" borderId="0" applyFill="0" applyBorder="0" applyAlignment="0"/>
    <xf numFmtId="172" fontId="2" fillId="0" borderId="0" applyFill="0" applyBorder="0" applyAlignment="0"/>
    <xf numFmtId="177" fontId="2" fillId="0" borderId="0" applyFill="0" applyBorder="0" applyAlignment="0"/>
    <xf numFmtId="173" fontId="2" fillId="0" borderId="0" applyFill="0" applyBorder="0" applyAlignment="0"/>
    <xf numFmtId="0" fontId="84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168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168" fontId="85" fillId="98" borderId="24" applyNumberFormat="0" applyAlignment="0" applyProtection="0"/>
    <xf numFmtId="168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5" fillId="98" borderId="24" applyNumberFormat="0" applyAlignment="0" applyProtection="0"/>
    <xf numFmtId="0" fontId="85" fillId="98" borderId="24" applyNumberFormat="0" applyAlignment="0" applyProtection="0"/>
    <xf numFmtId="0" fontId="85" fillId="98" borderId="24" applyNumberFormat="0" applyAlignment="0" applyProtection="0"/>
    <xf numFmtId="168" fontId="86" fillId="99" borderId="24" applyNumberFormat="0" applyAlignment="0" applyProtection="0"/>
    <xf numFmtId="0" fontId="87" fillId="100" borderId="25" applyNumberFormat="0" applyAlignment="0" applyProtection="0"/>
    <xf numFmtId="0" fontId="88" fillId="100" borderId="25" applyNumberFormat="0" applyAlignment="0" applyProtection="0"/>
    <xf numFmtId="0" fontId="87" fillId="100" borderId="25" applyNumberFormat="0" applyAlignment="0" applyProtection="0"/>
    <xf numFmtId="0" fontId="49" fillId="101" borderId="26" applyFont="0" applyFill="0" applyBorder="0"/>
    <xf numFmtId="0" fontId="49" fillId="101" borderId="26" applyFont="0" applyFill="0" applyBorder="0"/>
    <xf numFmtId="0" fontId="48" fillId="0" borderId="22"/>
    <xf numFmtId="168" fontId="48" fillId="0" borderId="22"/>
    <xf numFmtId="0" fontId="48" fillId="0" borderId="22"/>
    <xf numFmtId="0" fontId="48" fillId="0" borderId="22"/>
    <xf numFmtId="168" fontId="48" fillId="0" borderId="22"/>
    <xf numFmtId="178" fontId="3" fillId="0" borderId="0" applyFill="0" applyBorder="0" applyAlignment="0" applyProtection="0"/>
    <xf numFmtId="179" fontId="80" fillId="0" borderId="0"/>
    <xf numFmtId="38" fontId="89" fillId="0" borderId="0" applyFont="0" applyFill="0" applyBorder="0" applyAlignment="0" applyProtection="0"/>
    <xf numFmtId="172" fontId="2" fillId="0" borderId="0" applyFont="0" applyFill="0" applyBorder="0" applyAlignment="0" applyProtection="0"/>
    <xf numFmtId="180" fontId="3" fillId="0" borderId="0"/>
    <xf numFmtId="180" fontId="3" fillId="0" borderId="0"/>
    <xf numFmtId="180" fontId="3" fillId="0" borderId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78" fontId="3" fillId="0" borderId="0" applyFill="0" applyBorder="0" applyAlignment="0" applyProtection="0"/>
    <xf numFmtId="181" fontId="2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3" fontId="90" fillId="0" borderId="0" applyFont="0" applyFill="0" applyBorder="0" applyAlignment="0" applyProtection="0"/>
    <xf numFmtId="6" fontId="89" fillId="0" borderId="0" applyFont="0" applyFill="0" applyBorder="0" applyAlignment="0" applyProtection="0"/>
    <xf numFmtId="17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3" fontId="2" fillId="0" borderId="0" applyBorder="0"/>
    <xf numFmtId="178" fontId="2" fillId="0" borderId="0" applyBorder="0"/>
    <xf numFmtId="4" fontId="2" fillId="0" borderId="0"/>
    <xf numFmtId="0" fontId="91" fillId="68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168" fontId="91" fillId="71" borderId="24" applyNumberFormat="0" applyAlignment="0" applyProtection="0"/>
    <xf numFmtId="168" fontId="91" fillId="71" borderId="24" applyNumberFormat="0" applyAlignment="0" applyProtection="0"/>
    <xf numFmtId="0" fontId="91" fillId="71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168" fontId="91" fillId="68" borderId="24" applyNumberFormat="0" applyAlignment="0" applyProtection="0"/>
    <xf numFmtId="0" fontId="91" fillId="68" borderId="24" applyNumberFormat="0" applyAlignment="0" applyProtection="0"/>
    <xf numFmtId="0" fontId="91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168" fontId="92" fillId="68" borderId="24" applyNumberFormat="0" applyAlignment="0" applyProtection="0"/>
    <xf numFmtId="168" fontId="92" fillId="68" borderId="24" applyNumberFormat="0" applyAlignment="0" applyProtection="0"/>
    <xf numFmtId="0" fontId="91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168" fontId="92" fillId="68" borderId="24" applyNumberFormat="0" applyAlignment="0" applyProtection="0"/>
    <xf numFmtId="168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168" fontId="92" fillId="68" borderId="24" applyNumberFormat="0" applyAlignment="0" applyProtection="0"/>
    <xf numFmtId="0" fontId="92" fillId="68" borderId="24" applyNumberFormat="0" applyAlignment="0" applyProtection="0"/>
    <xf numFmtId="0" fontId="92" fillId="68" borderId="24" applyNumberFormat="0" applyAlignment="0" applyProtection="0"/>
    <xf numFmtId="0" fontId="91" fillId="68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0" fontId="91" fillId="71" borderId="24" applyNumberFormat="0" applyAlignment="0" applyProtection="0"/>
    <xf numFmtId="0" fontId="93" fillId="98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68" fontId="93" fillId="99" borderId="27" applyNumberFormat="0" applyAlignment="0" applyProtection="0"/>
    <xf numFmtId="168" fontId="93" fillId="99" borderId="27" applyNumberFormat="0" applyAlignment="0" applyProtection="0"/>
    <xf numFmtId="0" fontId="93" fillId="99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168" fontId="93" fillId="98" borderId="27" applyNumberFormat="0" applyAlignment="0" applyProtection="0"/>
    <xf numFmtId="0" fontId="93" fillId="98" borderId="27" applyNumberFormat="0" applyAlignment="0" applyProtection="0"/>
    <xf numFmtId="0" fontId="93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168" fontId="94" fillId="98" borderId="27" applyNumberFormat="0" applyAlignment="0" applyProtection="0"/>
    <xf numFmtId="168" fontId="94" fillId="98" borderId="27" applyNumberFormat="0" applyAlignment="0" applyProtection="0"/>
    <xf numFmtId="0" fontId="93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168" fontId="94" fillId="98" borderId="27" applyNumberFormat="0" applyAlignment="0" applyProtection="0"/>
    <xf numFmtId="168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168" fontId="94" fillId="98" borderId="27" applyNumberFormat="0" applyAlignment="0" applyProtection="0"/>
    <xf numFmtId="0" fontId="94" fillId="98" borderId="27" applyNumberFormat="0" applyAlignment="0" applyProtection="0"/>
    <xf numFmtId="0" fontId="94" fillId="98" borderId="27" applyNumberFormat="0" applyAlignment="0" applyProtection="0"/>
    <xf numFmtId="0" fontId="93" fillId="98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0" fontId="93" fillId="99" borderId="27" applyNumberFormat="0" applyAlignment="0" applyProtection="0"/>
    <xf numFmtId="14" fontId="62" fillId="0" borderId="0" applyFill="0" applyBorder="0" applyAlignment="0"/>
    <xf numFmtId="0" fontId="95" fillId="102" borderId="0" applyNumberFormat="0" applyFont="0" applyFill="0" applyBorder="0" applyAlignment="0"/>
    <xf numFmtId="182" fontId="2" fillId="0" borderId="28">
      <alignment vertical="center"/>
    </xf>
    <xf numFmtId="183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0" fontId="96" fillId="65" borderId="0" applyNumberFormat="0" applyBorder="0" applyAlignment="0" applyProtection="0"/>
    <xf numFmtId="0" fontId="96" fillId="69" borderId="0" applyNumberFormat="0" applyBorder="0" applyAlignment="0" applyProtection="0"/>
    <xf numFmtId="0" fontId="96" fillId="65" borderId="0" applyNumberFormat="0" applyBorder="0" applyAlignment="0" applyProtection="0"/>
    <xf numFmtId="0" fontId="97" fillId="31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9" borderId="0" applyNumberFormat="0" applyBorder="0" applyAlignment="0" applyProtection="0"/>
    <xf numFmtId="0" fontId="96" fillId="69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6" fillId="69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98" fillId="65" borderId="0" applyNumberFormat="0" applyBorder="0" applyAlignment="0" applyProtection="0"/>
    <xf numFmtId="0" fontId="96" fillId="65" borderId="0" applyNumberFormat="0" applyBorder="0" applyAlignment="0" applyProtection="0"/>
    <xf numFmtId="0" fontId="53" fillId="31" borderId="0" applyNumberFormat="0" applyBorder="0" applyAlignment="0" applyProtection="0"/>
    <xf numFmtId="0" fontId="96" fillId="65" borderId="0" applyNumberFormat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9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8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101" fillId="103" borderId="0" applyNumberFormat="0" applyBorder="0" applyAlignment="0" applyProtection="0"/>
    <xf numFmtId="0" fontId="101" fillId="104" borderId="0" applyNumberFormat="0" applyBorder="0" applyAlignment="0" applyProtection="0"/>
    <xf numFmtId="0" fontId="101" fillId="105" borderId="0" applyNumberFormat="0" applyBorder="0" applyAlignment="0" applyProtection="0"/>
    <xf numFmtId="178" fontId="102" fillId="0" borderId="0" applyFont="0" applyFill="0" applyBorder="0" applyAlignment="0" applyProtection="0"/>
    <xf numFmtId="172" fontId="2" fillId="0" borderId="0" applyFill="0" applyBorder="0" applyAlignment="0"/>
    <xf numFmtId="173" fontId="2" fillId="0" borderId="0" applyFill="0" applyBorder="0" applyAlignment="0"/>
    <xf numFmtId="172" fontId="2" fillId="0" borderId="0" applyFill="0" applyBorder="0" applyAlignment="0"/>
    <xf numFmtId="177" fontId="2" fillId="0" borderId="0" applyFill="0" applyBorder="0" applyAlignment="0"/>
    <xf numFmtId="173" fontId="2" fillId="0" borderId="0" applyFill="0" applyBorder="0" applyAlignment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87" fontId="3" fillId="0" borderId="0" applyFont="0" applyFill="0" applyBorder="0" applyAlignment="0" applyProtection="0"/>
    <xf numFmtId="169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188" fontId="103" fillId="0" borderId="0" applyFont="0" applyBorder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65" borderId="0" applyNumberFormat="0" applyBorder="0" applyAlignment="0" applyProtection="0"/>
    <xf numFmtId="0" fontId="108" fillId="65" borderId="0" applyNumberFormat="0" applyBorder="0" applyAlignment="0" applyProtection="0"/>
    <xf numFmtId="0" fontId="108" fillId="69" borderId="0" applyNumberFormat="0" applyBorder="0" applyAlignment="0" applyProtection="0"/>
    <xf numFmtId="0" fontId="107" fillId="65" borderId="0" applyNumberFormat="0" applyBorder="0" applyAlignment="0" applyProtection="0"/>
    <xf numFmtId="38" fontId="48" fillId="106" borderId="0" applyNumberFormat="0" applyBorder="0" applyAlignment="0" applyProtection="0"/>
    <xf numFmtId="189" fontId="109" fillId="0" borderId="0" applyFont="0" applyFill="0" applyBorder="0" applyAlignment="0" applyProtection="0"/>
    <xf numFmtId="0" fontId="56" fillId="0" borderId="29" applyNumberFormat="0" applyAlignment="0" applyProtection="0">
      <alignment horizontal="left" vertical="center"/>
    </xf>
    <xf numFmtId="0" fontId="56" fillId="0" borderId="29" applyNumberFormat="0" applyAlignment="0" applyProtection="0">
      <alignment horizontal="left" vertical="center"/>
    </xf>
    <xf numFmtId="0" fontId="56" fillId="0" borderId="10">
      <alignment horizontal="left" vertical="center"/>
    </xf>
    <xf numFmtId="0" fontId="56" fillId="0" borderId="10">
      <alignment horizontal="left" vertical="center"/>
    </xf>
    <xf numFmtId="14" fontId="102" fillId="107" borderId="30">
      <alignment horizontal="center" vertical="center" wrapText="1"/>
    </xf>
    <xf numFmtId="0" fontId="110" fillId="0" borderId="31" applyNumberFormat="0" applyFill="0" applyAlignment="0" applyProtection="0"/>
    <xf numFmtId="0" fontId="111" fillId="0" borderId="31" applyNumberFormat="0" applyFill="0" applyAlignment="0" applyProtection="0"/>
    <xf numFmtId="0" fontId="112" fillId="0" borderId="32" applyNumberFormat="0" applyFill="0" applyAlignment="0" applyProtection="0"/>
    <xf numFmtId="0" fontId="110" fillId="0" borderId="31" applyNumberFormat="0" applyFill="0" applyAlignment="0" applyProtection="0"/>
    <xf numFmtId="0" fontId="113" fillId="0" borderId="33" applyNumberFormat="0" applyFill="0" applyAlignment="0" applyProtection="0"/>
    <xf numFmtId="0" fontId="114" fillId="0" borderId="33" applyNumberFormat="0" applyFill="0" applyAlignment="0" applyProtection="0"/>
    <xf numFmtId="0" fontId="115" fillId="0" borderId="34" applyNumberFormat="0" applyFill="0" applyAlignment="0" applyProtection="0"/>
    <xf numFmtId="0" fontId="113" fillId="0" borderId="33" applyNumberFormat="0" applyFill="0" applyAlignment="0" applyProtection="0"/>
    <xf numFmtId="0" fontId="116" fillId="0" borderId="35" applyNumberFormat="0" applyFill="0" applyAlignment="0" applyProtection="0"/>
    <xf numFmtId="0" fontId="117" fillId="0" borderId="35" applyNumberFormat="0" applyFill="0" applyAlignment="0" applyProtection="0"/>
    <xf numFmtId="0" fontId="118" fillId="0" borderId="36" applyNumberFormat="0" applyFill="0" applyAlignment="0" applyProtection="0"/>
    <xf numFmtId="0" fontId="117" fillId="0" borderId="35" applyNumberFormat="0" applyFill="0" applyAlignment="0" applyProtection="0"/>
    <xf numFmtId="0" fontId="117" fillId="0" borderId="35" applyNumberFormat="0" applyFill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9" fillId="0" borderId="0" applyNumberFormat="0" applyBorder="0" applyProtection="0">
      <alignment horizontal="center" textRotation="9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187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3" fontId="2" fillId="108" borderId="0" applyBorder="0">
      <protection locked="0"/>
    </xf>
    <xf numFmtId="178" fontId="2" fillId="108" borderId="0">
      <protection locked="0"/>
    </xf>
    <xf numFmtId="4" fontId="2" fillId="108" borderId="0" applyBorder="0">
      <protection locked="0"/>
    </xf>
    <xf numFmtId="190" fontId="2" fillId="108" borderId="0">
      <protection locked="0"/>
    </xf>
    <xf numFmtId="0" fontId="125" fillId="68" borderId="24" applyNumberFormat="0" applyAlignment="0" applyProtection="0"/>
    <xf numFmtId="10" fontId="48" fillId="109" borderId="1" applyNumberFormat="0" applyBorder="0" applyAlignment="0" applyProtection="0"/>
    <xf numFmtId="0" fontId="126" fillId="68" borderId="24" applyNumberFormat="0" applyAlignment="0" applyProtection="0"/>
    <xf numFmtId="0" fontId="126" fillId="68" borderId="24" applyNumberFormat="0" applyAlignment="0" applyProtection="0"/>
    <xf numFmtId="191" fontId="3" fillId="110" borderId="0"/>
    <xf numFmtId="191" fontId="3" fillId="110" borderId="0"/>
    <xf numFmtId="0" fontId="126" fillId="71" borderId="24" applyNumberFormat="0" applyAlignment="0" applyProtection="0"/>
    <xf numFmtId="0" fontId="126" fillId="71" borderId="24" applyNumberFormat="0" applyAlignment="0" applyProtection="0"/>
    <xf numFmtId="0" fontId="126" fillId="71" borderId="24" applyNumberFormat="0" applyAlignment="0" applyProtection="0"/>
    <xf numFmtId="0" fontId="126" fillId="71" borderId="24" applyNumberFormat="0" applyAlignment="0" applyProtection="0"/>
    <xf numFmtId="179" fontId="127" fillId="109" borderId="0">
      <protection locked="0"/>
    </xf>
    <xf numFmtId="192" fontId="127" fillId="109" borderId="0" applyFont="0" applyBorder="0" applyAlignment="0">
      <protection locked="0"/>
    </xf>
    <xf numFmtId="191" fontId="3" fillId="110" borderId="0"/>
    <xf numFmtId="0" fontId="128" fillId="0" borderId="37" applyNumberFormat="0" applyFill="0" applyAlignment="0" applyProtection="0"/>
    <xf numFmtId="0" fontId="129" fillId="0" borderId="38" applyNumberFormat="0" applyFill="0" applyAlignment="0" applyProtection="0"/>
    <xf numFmtId="0" fontId="128" fillId="0" borderId="37" applyNumberFormat="0" applyFill="0" applyAlignment="0" applyProtection="0"/>
    <xf numFmtId="0" fontId="130" fillId="0" borderId="1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9" fillId="0" borderId="38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29" fillId="0" borderId="38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31" fillId="0" borderId="37" applyNumberFormat="0" applyFill="0" applyAlignment="0" applyProtection="0"/>
    <xf numFmtId="0" fontId="128" fillId="0" borderId="37" applyNumberFormat="0" applyFill="0" applyAlignment="0" applyProtection="0"/>
    <xf numFmtId="0" fontId="128" fillId="0" borderId="37" applyNumberFormat="0" applyFill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3" fillId="34" borderId="18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0" fontId="134" fillId="100" borderId="25" applyNumberFormat="0" applyAlignment="0" applyProtection="0"/>
    <xf numFmtId="0" fontId="132" fillId="100" borderId="25" applyNumberFormat="0" applyAlignment="0" applyProtection="0"/>
    <xf numFmtId="0" fontId="132" fillId="100" borderId="25" applyNumberFormat="0" applyAlignment="0" applyProtection="0"/>
    <xf numFmtId="172" fontId="2" fillId="0" borderId="0" applyFill="0" applyBorder="0" applyAlignment="0"/>
    <xf numFmtId="173" fontId="2" fillId="0" borderId="0" applyFill="0" applyBorder="0" applyAlignment="0"/>
    <xf numFmtId="172" fontId="2" fillId="0" borderId="0" applyFill="0" applyBorder="0" applyAlignment="0"/>
    <xf numFmtId="177" fontId="2" fillId="0" borderId="0" applyFill="0" applyBorder="0" applyAlignment="0"/>
    <xf numFmtId="173" fontId="2" fillId="0" borderId="0" applyFill="0" applyBorder="0" applyAlignment="0"/>
    <xf numFmtId="0" fontId="135" fillId="0" borderId="37" applyNumberFormat="0" applyFill="0" applyAlignment="0" applyProtection="0"/>
    <xf numFmtId="0" fontId="136" fillId="0" borderId="37" applyNumberFormat="0" applyFill="0" applyAlignment="0" applyProtection="0"/>
    <xf numFmtId="0" fontId="137" fillId="0" borderId="38" applyNumberFormat="0" applyFill="0" applyAlignment="0" applyProtection="0"/>
    <xf numFmtId="0" fontId="135" fillId="0" borderId="37" applyNumberFormat="0" applyFill="0" applyAlignment="0" applyProtection="0"/>
    <xf numFmtId="187" fontId="2" fillId="0" borderId="0"/>
    <xf numFmtId="0" fontId="2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4" fontId="138" fillId="0" borderId="0"/>
    <xf numFmtId="38" fontId="89" fillId="0" borderId="0" applyFont="0" applyFill="0" applyBorder="0" applyAlignment="0" applyProtection="0"/>
    <xf numFmtId="195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195" fontId="89" fillId="0" borderId="0" applyFont="0" applyFill="0" applyBorder="0" applyAlignment="0" applyProtection="0"/>
    <xf numFmtId="190" fontId="80" fillId="0" borderId="0"/>
    <xf numFmtId="196" fontId="2" fillId="0" borderId="0" applyFont="0" applyFill="0" applyBorder="0" applyAlignment="0" applyProtection="0"/>
    <xf numFmtId="0" fontId="139" fillId="0" borderId="31" applyNumberFormat="0" applyFill="0" applyAlignment="0" applyProtection="0"/>
    <xf numFmtId="0" fontId="140" fillId="0" borderId="32" applyNumberFormat="0" applyFill="0" applyAlignment="0" applyProtection="0"/>
    <xf numFmtId="0" fontId="139" fillId="0" borderId="31" applyNumberFormat="0" applyFill="0" applyAlignment="0" applyProtection="0"/>
    <xf numFmtId="0" fontId="141" fillId="0" borderId="15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40" fillId="0" borderId="32" applyNumberFormat="0" applyFill="0" applyAlignment="0" applyProtection="0"/>
    <xf numFmtId="0" fontId="140" fillId="0" borderId="32" applyNumberFormat="0" applyFill="0" applyAlignment="0" applyProtection="0"/>
    <xf numFmtId="0" fontId="140" fillId="0" borderId="32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40" fillId="0" borderId="32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42" fillId="0" borderId="31" applyNumberFormat="0" applyFill="0" applyAlignment="0" applyProtection="0"/>
    <xf numFmtId="0" fontId="139" fillId="0" borderId="31" applyNumberFormat="0" applyFill="0" applyAlignment="0" applyProtection="0"/>
    <xf numFmtId="0" fontId="139" fillId="0" borderId="31" applyNumberFormat="0" applyFill="0" applyAlignment="0" applyProtection="0"/>
    <xf numFmtId="0" fontId="143" fillId="0" borderId="33" applyNumberFormat="0" applyFill="0" applyAlignment="0" applyProtection="0"/>
    <xf numFmtId="0" fontId="144" fillId="0" borderId="34" applyNumberFormat="0" applyFill="0" applyAlignment="0" applyProtection="0"/>
    <xf numFmtId="0" fontId="143" fillId="0" borderId="33" applyNumberFormat="0" applyFill="0" applyAlignment="0" applyProtection="0"/>
    <xf numFmtId="0" fontId="145" fillId="0" borderId="16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4" fillId="0" borderId="34" applyNumberFormat="0" applyFill="0" applyAlignment="0" applyProtection="0"/>
    <xf numFmtId="0" fontId="144" fillId="0" borderId="34" applyNumberFormat="0" applyFill="0" applyAlignment="0" applyProtection="0"/>
    <xf numFmtId="0" fontId="144" fillId="0" borderId="34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4" fillId="0" borderId="34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6" fillId="0" borderId="33" applyNumberFormat="0" applyFill="0" applyAlignment="0" applyProtection="0"/>
    <xf numFmtId="0" fontId="143" fillId="0" borderId="33" applyNumberFormat="0" applyFill="0" applyAlignment="0" applyProtection="0"/>
    <xf numFmtId="0" fontId="143" fillId="0" borderId="33" applyNumberFormat="0" applyFill="0" applyAlignment="0" applyProtection="0"/>
    <xf numFmtId="0" fontId="147" fillId="0" borderId="35" applyNumberFormat="0" applyFill="0" applyAlignment="0" applyProtection="0"/>
    <xf numFmtId="0" fontId="148" fillId="0" borderId="36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148" fillId="0" borderId="36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35" applyNumberFormat="0" applyFill="0" applyAlignment="0" applyProtection="0"/>
    <xf numFmtId="0" fontId="149" fillId="0" borderId="35" applyNumberFormat="0" applyFill="0" applyAlignment="0" applyProtection="0"/>
    <xf numFmtId="0" fontId="147" fillId="0" borderId="35" applyNumberFormat="0" applyFill="0" applyAlignment="0" applyProtection="0"/>
    <xf numFmtId="0" fontId="149" fillId="0" borderId="35" applyNumberFormat="0" applyFill="0" applyAlignment="0" applyProtection="0"/>
    <xf numFmtId="0" fontId="147" fillId="0" borderId="35" applyNumberFormat="0" applyFill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51" fillId="71" borderId="0" applyNumberFormat="0" applyBorder="0" applyAlignment="0" applyProtection="0"/>
    <xf numFmtId="0" fontId="152" fillId="71" borderId="0" applyNumberFormat="0" applyBorder="0" applyAlignment="0" applyProtection="0"/>
    <xf numFmtId="0" fontId="153" fillId="71" borderId="0" applyNumberFormat="0" applyBorder="0" applyAlignment="0" applyProtection="0"/>
    <xf numFmtId="0" fontId="151" fillId="71" borderId="0" applyNumberFormat="0" applyBorder="0" applyAlignment="0" applyProtection="0"/>
    <xf numFmtId="0" fontId="154" fillId="71" borderId="0" applyNumberFormat="0" applyBorder="0" applyAlignment="0" applyProtection="0"/>
    <xf numFmtId="0" fontId="155" fillId="71" borderId="0" applyNumberFormat="0" applyBorder="0" applyAlignment="0" applyProtection="0"/>
    <xf numFmtId="0" fontId="154" fillId="71" borderId="0" applyNumberFormat="0" applyBorder="0" applyAlignment="0" applyProtection="0"/>
    <xf numFmtId="0" fontId="156" fillId="33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5" fillId="71" borderId="0" applyNumberFormat="0" applyBorder="0" applyAlignment="0" applyProtection="0"/>
    <xf numFmtId="0" fontId="155" fillId="71" borderId="0" applyNumberFormat="0" applyBorder="0" applyAlignment="0" applyProtection="0"/>
    <xf numFmtId="0" fontId="155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5" fillId="71" borderId="0" applyNumberFormat="0" applyBorder="0" applyAlignment="0" applyProtection="0"/>
    <xf numFmtId="0" fontId="154" fillId="71" borderId="0" applyNumberFormat="0" applyBorder="0" applyAlignment="0" applyProtection="0"/>
    <xf numFmtId="0" fontId="154" fillId="71" borderId="0" applyNumberFormat="0" applyBorder="0" applyAlignment="0" applyProtection="0"/>
    <xf numFmtId="0" fontId="157" fillId="71" borderId="0" applyNumberFormat="0" applyBorder="0" applyAlignment="0" applyProtection="0"/>
    <xf numFmtId="0" fontId="154" fillId="71" borderId="0" applyNumberFormat="0" applyBorder="0" applyAlignment="0" applyProtection="0"/>
    <xf numFmtId="0" fontId="54" fillId="33" borderId="0" applyNumberFormat="0" applyBorder="0" applyAlignment="0" applyProtection="0"/>
    <xf numFmtId="0" fontId="154" fillId="71" borderId="0" applyNumberFormat="0" applyBorder="0" applyAlignment="0" applyProtection="0"/>
    <xf numFmtId="197" fontId="3" fillId="0" borderId="0"/>
    <xf numFmtId="197" fontId="3" fillId="0" borderId="0"/>
    <xf numFmtId="197" fontId="3" fillId="0" borderId="0"/>
    <xf numFmtId="0" fontId="67" fillId="0" borderId="0"/>
    <xf numFmtId="0" fontId="68" fillId="0" borderId="0"/>
    <xf numFmtId="0" fontId="68" fillId="0" borderId="0"/>
    <xf numFmtId="0" fontId="2" fillId="0" borderId="0" applyNumberFormat="0" applyFill="0" applyBorder="0" applyAlignment="0" applyProtection="0"/>
    <xf numFmtId="0" fontId="158" fillId="0" borderId="0"/>
    <xf numFmtId="198" fontId="159" fillId="0" borderId="0"/>
    <xf numFmtId="0" fontId="158" fillId="0" borderId="0"/>
    <xf numFmtId="198" fontId="159" fillId="0" borderId="0"/>
    <xf numFmtId="0" fontId="158" fillId="0" borderId="0"/>
    <xf numFmtId="198" fontId="159" fillId="0" borderId="0"/>
    <xf numFmtId="0" fontId="158" fillId="0" borderId="0"/>
    <xf numFmtId="198" fontId="159" fillId="0" borderId="0"/>
    <xf numFmtId="0" fontId="158" fillId="0" borderId="0"/>
    <xf numFmtId="198" fontId="159" fillId="0" borderId="0"/>
    <xf numFmtId="0" fontId="158" fillId="0" borderId="0"/>
    <xf numFmtId="198" fontId="159" fillId="0" borderId="0"/>
    <xf numFmtId="0" fontId="158" fillId="0" borderId="0"/>
    <xf numFmtId="198" fontId="159" fillId="0" borderId="0"/>
    <xf numFmtId="198" fontId="160" fillId="0" borderId="0"/>
    <xf numFmtId="0" fontId="161" fillId="0" borderId="0"/>
    <xf numFmtId="0" fontId="26" fillId="0" borderId="0"/>
    <xf numFmtId="0" fontId="3" fillId="0" borderId="0"/>
    <xf numFmtId="0" fontId="3" fillId="0" borderId="0"/>
    <xf numFmtId="0" fontId="3" fillId="0" borderId="0"/>
    <xf numFmtId="171" fontId="109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2" fillId="0" borderId="0"/>
    <xf numFmtId="16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0" fillId="0" borderId="0"/>
    <xf numFmtId="0" fontId="2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68" fontId="3" fillId="0" borderId="0"/>
    <xf numFmtId="0" fontId="1" fillId="0" borderId="0"/>
    <xf numFmtId="0" fontId="1" fillId="0" borderId="0"/>
    <xf numFmtId="16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64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64" fillId="0" borderId="0"/>
    <xf numFmtId="0" fontId="2" fillId="0" borderId="0"/>
    <xf numFmtId="0" fontId="164" fillId="0" borderId="0"/>
    <xf numFmtId="0" fontId="70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65" fillId="0" borderId="0"/>
    <xf numFmtId="0" fontId="25" fillId="0" borderId="0"/>
    <xf numFmtId="0" fontId="165" fillId="0" borderId="0"/>
    <xf numFmtId="0" fontId="165" fillId="0" borderId="0"/>
    <xf numFmtId="0" fontId="1" fillId="0" borderId="0"/>
    <xf numFmtId="0" fontId="1" fillId="0" borderId="0"/>
    <xf numFmtId="0" fontId="165" fillId="0" borderId="0"/>
    <xf numFmtId="0" fontId="165" fillId="0" borderId="0"/>
    <xf numFmtId="0" fontId="99" fillId="0" borderId="0"/>
    <xf numFmtId="0" fontId="165" fillId="0" borderId="0"/>
    <xf numFmtId="0" fontId="165" fillId="0" borderId="0"/>
    <xf numFmtId="0" fontId="3" fillId="0" borderId="0"/>
    <xf numFmtId="0" fontId="165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168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168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6" fillId="0" borderId="0"/>
    <xf numFmtId="0" fontId="165" fillId="0" borderId="0"/>
    <xf numFmtId="0" fontId="3" fillId="0" borderId="0"/>
    <xf numFmtId="14" fontId="2" fillId="0" borderId="0" applyProtection="0">
      <alignment vertical="center"/>
    </xf>
    <xf numFmtId="0" fontId="3" fillId="0" borderId="0"/>
    <xf numFmtId="0" fontId="63" fillId="0" borderId="0"/>
    <xf numFmtId="0" fontId="3" fillId="0" borderId="0"/>
    <xf numFmtId="0" fontId="3" fillId="0" borderId="0"/>
    <xf numFmtId="0" fontId="163" fillId="0" borderId="0"/>
    <xf numFmtId="0" fontId="25" fillId="0" borderId="0"/>
    <xf numFmtId="0" fontId="1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99" fillId="0" borderId="0"/>
    <xf numFmtId="0" fontId="99" fillId="0" borderId="0"/>
    <xf numFmtId="0" fontId="9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0"/>
    <xf numFmtId="0" fontId="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9" fillId="0" borderId="0"/>
    <xf numFmtId="0" fontId="3" fillId="0" borderId="0"/>
    <xf numFmtId="0" fontId="69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168" fontId="3" fillId="0" borderId="0"/>
    <xf numFmtId="0" fontId="3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163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3" fillId="0" borderId="0"/>
    <xf numFmtId="0" fontId="2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25" fillId="0" borderId="0"/>
    <xf numFmtId="0" fontId="25" fillId="0" borderId="0"/>
    <xf numFmtId="0" fontId="3" fillId="0" borderId="0"/>
    <xf numFmtId="0" fontId="1" fillId="0" borderId="0"/>
    <xf numFmtId="0" fontId="63" fillId="0" borderId="0"/>
    <xf numFmtId="0" fontId="63" fillId="0" borderId="0"/>
    <xf numFmtId="0" fontId="63" fillId="0" borderId="0"/>
    <xf numFmtId="0" fontId="25" fillId="0" borderId="0"/>
    <xf numFmtId="0" fontId="1" fillId="0" borderId="0"/>
    <xf numFmtId="0" fontId="166" fillId="0" borderId="0" applyNumberFormat="0" applyFont="0" applyBorder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3" fillId="0" borderId="0"/>
    <xf numFmtId="0" fontId="2" fillId="0" borderId="0"/>
    <xf numFmtId="168" fontId="3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2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0"/>
    <xf numFmtId="0" fontId="9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8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5" fillId="0" borderId="0"/>
    <xf numFmtId="0" fontId="25" fillId="0" borderId="0"/>
    <xf numFmtId="16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8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9" fillId="0" borderId="0"/>
    <xf numFmtId="0" fontId="69" fillId="0" borderId="0"/>
    <xf numFmtId="168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0" fontId="69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68" fontId="70" fillId="0" borderId="0"/>
    <xf numFmtId="0" fontId="1" fillId="0" borderId="0"/>
    <xf numFmtId="0" fontId="165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3" fillId="0" borderId="0"/>
    <xf numFmtId="0" fontId="2" fillId="0" borderId="0"/>
    <xf numFmtId="0" fontId="99" fillId="0" borderId="0"/>
    <xf numFmtId="0" fontId="3" fillId="0" borderId="0"/>
    <xf numFmtId="0" fontId="3" fillId="0" borderId="0"/>
    <xf numFmtId="0" fontId="2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68" fontId="70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6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2" fillId="0" borderId="0">
      <alignment vertical="center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2" fillId="0" borderId="0"/>
    <xf numFmtId="0" fontId="99" fillId="0" borderId="0"/>
    <xf numFmtId="0" fontId="25" fillId="0" borderId="0"/>
    <xf numFmtId="0" fontId="3" fillId="0" borderId="0"/>
    <xf numFmtId="0" fontId="168" fillId="0" borderId="0"/>
    <xf numFmtId="0" fontId="2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68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69" fillId="0" borderId="0"/>
    <xf numFmtId="0" fontId="2" fillId="0" borderId="0">
      <alignment vertical="center"/>
    </xf>
    <xf numFmtId="0" fontId="63" fillId="0" borderId="0"/>
    <xf numFmtId="0" fontId="63" fillId="0" borderId="0"/>
    <xf numFmtId="0" fontId="63" fillId="0" borderId="0"/>
    <xf numFmtId="0" fontId="2" fillId="0" borderId="0"/>
    <xf numFmtId="0" fontId="168" fillId="0" borderId="0"/>
    <xf numFmtId="0" fontId="26" fillId="0" borderId="0"/>
    <xf numFmtId="0" fontId="99" fillId="0" borderId="0"/>
    <xf numFmtId="168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99" fillId="0" borderId="0"/>
    <xf numFmtId="0" fontId="2" fillId="0" borderId="0"/>
    <xf numFmtId="0" fontId="3" fillId="0" borderId="0"/>
    <xf numFmtId="0" fontId="9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0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" fillId="0" borderId="0"/>
    <xf numFmtId="168" fontId="70" fillId="0" borderId="0"/>
    <xf numFmtId="0" fontId="69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0" fillId="0" borderId="0"/>
    <xf numFmtId="0" fontId="69" fillId="0" borderId="0"/>
    <xf numFmtId="0" fontId="69" fillId="0" borderId="0"/>
    <xf numFmtId="0" fontId="2" fillId="0" borderId="0">
      <alignment vertical="center"/>
    </xf>
    <xf numFmtId="0" fontId="25" fillId="0" borderId="0"/>
    <xf numFmtId="0" fontId="25" fillId="0" borderId="0"/>
    <xf numFmtId="0" fontId="63" fillId="0" borderId="0"/>
    <xf numFmtId="0" fontId="63" fillId="0" borderId="0"/>
    <xf numFmtId="0" fontId="6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99" fillId="0" borderId="0"/>
    <xf numFmtId="0" fontId="99" fillId="0" borderId="0"/>
    <xf numFmtId="0" fontId="165" fillId="0" borderId="0"/>
    <xf numFmtId="0" fontId="99" fillId="0" borderId="0"/>
    <xf numFmtId="0" fontId="99" fillId="0" borderId="0"/>
    <xf numFmtId="0" fontId="63" fillId="0" borderId="0"/>
    <xf numFmtId="0" fontId="63" fillId="0" borderId="0"/>
    <xf numFmtId="0" fontId="63" fillId="0" borderId="0"/>
    <xf numFmtId="168" fontId="6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1" fillId="0" borderId="0"/>
    <xf numFmtId="0" fontId="99" fillId="0" borderId="0"/>
    <xf numFmtId="0" fontId="3" fillId="0" borderId="0"/>
    <xf numFmtId="0" fontId="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8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9" fillId="0" borderId="0"/>
    <xf numFmtId="0" fontId="3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9" fillId="0" borderId="0"/>
    <xf numFmtId="0" fontId="69" fillId="0" borderId="0"/>
    <xf numFmtId="0" fontId="3" fillId="0" borderId="0"/>
    <xf numFmtId="0" fontId="3" fillId="0" borderId="0"/>
    <xf numFmtId="0" fontId="1" fillId="0" borderId="0"/>
    <xf numFmtId="0" fontId="1" fillId="0" borderId="0"/>
    <xf numFmtId="168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62" fillId="66" borderId="39" applyNumberFormat="0" applyFont="0" applyAlignment="0" applyProtection="0"/>
    <xf numFmtId="0" fontId="169" fillId="98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68" fontId="86" fillId="99" borderId="24" applyNumberFormat="0" applyAlignment="0" applyProtection="0"/>
    <xf numFmtId="168" fontId="86" fillId="99" borderId="24" applyNumberFormat="0" applyAlignment="0" applyProtection="0"/>
    <xf numFmtId="0" fontId="86" fillId="99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168" fontId="169" fillId="98" borderId="24" applyNumberFormat="0" applyAlignment="0" applyProtection="0"/>
    <xf numFmtId="0" fontId="169" fillId="98" borderId="24" applyNumberFormat="0" applyAlignment="0" applyProtection="0"/>
    <xf numFmtId="0" fontId="169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168" fontId="170" fillId="98" borderId="24" applyNumberFormat="0" applyAlignment="0" applyProtection="0"/>
    <xf numFmtId="168" fontId="170" fillId="98" borderId="24" applyNumberFormat="0" applyAlignment="0" applyProtection="0"/>
    <xf numFmtId="0" fontId="169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168" fontId="170" fillId="98" borderId="24" applyNumberFormat="0" applyAlignment="0" applyProtection="0"/>
    <xf numFmtId="168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168" fontId="170" fillId="98" borderId="24" applyNumberFormat="0" applyAlignment="0" applyProtection="0"/>
    <xf numFmtId="0" fontId="170" fillId="98" borderId="24" applyNumberFormat="0" applyAlignment="0" applyProtection="0"/>
    <xf numFmtId="0" fontId="170" fillId="98" borderId="24" applyNumberFormat="0" applyAlignment="0" applyProtection="0"/>
    <xf numFmtId="0" fontId="169" fillId="98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0" fontId="86" fillId="99" borderId="24" applyNumberFormat="0" applyAlignment="0" applyProtection="0"/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199" fontId="2" fillId="0" borderId="0">
      <alignment horizontal="left"/>
    </xf>
    <xf numFmtId="0" fontId="171" fillId="98" borderId="27" applyNumberFormat="0" applyAlignment="0" applyProtection="0"/>
    <xf numFmtId="0" fontId="172" fillId="98" borderId="27" applyNumberFormat="0" applyAlignment="0" applyProtection="0"/>
    <xf numFmtId="2" fontId="3" fillId="0" borderId="0"/>
    <xf numFmtId="0" fontId="172" fillId="98" borderId="27" applyNumberFormat="0" applyAlignment="0" applyProtection="0"/>
    <xf numFmtId="0" fontId="172" fillId="98" borderId="27" applyNumberFormat="0" applyAlignment="0" applyProtection="0"/>
    <xf numFmtId="2" fontId="3" fillId="0" borderId="0"/>
    <xf numFmtId="2" fontId="3" fillId="0" borderId="0"/>
    <xf numFmtId="2" fontId="3" fillId="0" borderId="0"/>
    <xf numFmtId="2" fontId="3" fillId="0" borderId="0"/>
    <xf numFmtId="2" fontId="3" fillId="0" borderId="0"/>
    <xf numFmtId="2" fontId="3" fillId="0" borderId="0"/>
    <xf numFmtId="2" fontId="3" fillId="0" borderId="0"/>
    <xf numFmtId="0" fontId="172" fillId="99" borderId="27" applyNumberFormat="0" applyAlignment="0" applyProtection="0"/>
    <xf numFmtId="0" fontId="172" fillId="99" borderId="27" applyNumberFormat="0" applyAlignment="0" applyProtection="0"/>
    <xf numFmtId="0" fontId="172" fillId="99" borderId="27" applyNumberFormat="0" applyAlignment="0" applyProtection="0"/>
    <xf numFmtId="0" fontId="172" fillId="99" borderId="27" applyNumberFormat="0" applyAlignment="0" applyProtection="0"/>
    <xf numFmtId="0" fontId="172" fillId="99" borderId="27" applyNumberFormat="0" applyAlignment="0" applyProtection="0"/>
    <xf numFmtId="0" fontId="171" fillId="98" borderId="27" applyNumberFormat="0" applyAlignment="0" applyProtection="0"/>
    <xf numFmtId="2" fontId="3" fillId="0" borderId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17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0" fontId="3" fillId="0" borderId="0" applyFont="0" applyFill="0" applyBorder="0" applyAlignment="0" applyProtection="0"/>
    <xf numFmtId="201" fontId="2" fillId="0" borderId="0" applyFont="0" applyFill="0" applyBorder="0" applyAlignment="0" applyProtection="0"/>
    <xf numFmtId="202" fontId="109" fillId="0" borderId="0" applyFont="0" applyFill="0" applyBorder="0" applyAlignment="0" applyProtection="0"/>
    <xf numFmtId="203" fontId="3" fillId="0" borderId="0" applyFont="0" applyFill="0" applyBorder="0" applyAlignment="0" applyProtection="0"/>
    <xf numFmtId="204" fontId="3" fillId="0" borderId="0"/>
    <xf numFmtId="204" fontId="3" fillId="0" borderId="0"/>
    <xf numFmtId="204" fontId="3" fillId="0" borderId="0"/>
    <xf numFmtId="172" fontId="2" fillId="0" borderId="0" applyFill="0" applyBorder="0" applyAlignment="0"/>
    <xf numFmtId="173" fontId="2" fillId="0" borderId="0" applyFill="0" applyBorder="0" applyAlignment="0"/>
    <xf numFmtId="172" fontId="2" fillId="0" borderId="0" applyFill="0" applyBorder="0" applyAlignment="0"/>
    <xf numFmtId="177" fontId="2" fillId="0" borderId="0" applyFill="0" applyBorder="0" applyAlignment="0"/>
    <xf numFmtId="173" fontId="2" fillId="0" borderId="0" applyFill="0" applyBorder="0" applyAlignment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205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4" fillId="0" borderId="0"/>
    <xf numFmtId="0" fontId="174" fillId="0" borderId="40">
      <alignment horizontal="right"/>
    </xf>
    <xf numFmtId="168" fontId="174" fillId="0" borderId="0"/>
    <xf numFmtId="9" fontId="3" fillId="0" borderId="0" applyFont="0" applyFill="0" applyBorder="0" applyAlignment="0" applyProtection="0"/>
    <xf numFmtId="38" fontId="2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0" fontId="175" fillId="0" borderId="0" applyNumberFormat="0" applyBorder="0" applyProtection="0"/>
    <xf numFmtId="208" fontId="175" fillId="0" borderId="0" applyBorder="0" applyProtection="0"/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71" borderId="41" applyNumberFormat="0" applyProtection="0">
      <alignment vertical="center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4" fontId="127" fillId="3" borderId="41" applyNumberFormat="0" applyProtection="0">
      <alignment horizontal="left" vertical="center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168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0" fontId="176" fillId="71" borderId="42" applyNumberFormat="0" applyProtection="0">
      <alignment horizontal="left" vertical="top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63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111" borderId="41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83" borderId="43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2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7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74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87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112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70" borderId="41" applyNumberFormat="0" applyProtection="0">
      <alignment horizontal="right" vertical="center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27" fillId="113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61" fillId="92" borderId="43" applyNumberFormat="0" applyProtection="0">
      <alignment horizontal="left" vertical="center" indent="1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4" borderId="41" applyNumberFormat="0" applyProtection="0">
      <alignment horizontal="right" vertical="center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5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4" fontId="127" fillId="114" borderId="43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168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127" fillId="98" borderId="41" applyNumberFormat="0" applyProtection="0">
      <alignment horizontal="left" vertical="center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168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48" fillId="92" borderId="42" applyNumberFormat="0" applyProtection="0">
      <alignment horizontal="left" vertical="top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168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127" fillId="116" borderId="41" applyNumberFormat="0" applyProtection="0">
      <alignment horizontal="left" vertical="center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168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48" fillId="114" borderId="42" applyNumberFormat="0" applyProtection="0">
      <alignment horizontal="left" vertical="top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168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127" fillId="62" borderId="41" applyNumberFormat="0" applyProtection="0">
      <alignment horizontal="left" vertical="center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168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48" fillId="62" borderId="42" applyNumberFormat="0" applyProtection="0">
      <alignment horizontal="left" vertical="top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168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127" fillId="115" borderId="41" applyNumberFormat="0" applyProtection="0">
      <alignment horizontal="left" vertical="center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168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115" borderId="42" applyNumberFormat="0" applyProtection="0">
      <alignment horizontal="left" vertical="top" indent="1"/>
    </xf>
    <xf numFmtId="0" fontId="48" fillId="99" borderId="44" applyNumberFormat="0">
      <protection locked="0"/>
    </xf>
    <xf numFmtId="0" fontId="48" fillId="99" borderId="44" applyNumberFormat="0">
      <protection locked="0"/>
    </xf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168" fontId="177" fillId="92" borderId="45" applyBorder="0"/>
    <xf numFmtId="0" fontId="177" fillId="92" borderId="45" applyBorder="0"/>
    <xf numFmtId="0" fontId="177" fillId="92" borderId="45" applyBorder="0"/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78" fillId="66" borderId="42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27" fillId="66" borderId="1" applyNumberFormat="0" applyProtection="0">
      <alignment vertical="center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4" fontId="178" fillId="98" borderId="42" applyNumberFormat="0" applyProtection="0">
      <alignment horizontal="left" vertical="center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168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0" fontId="178" fillId="66" borderId="42" applyNumberFormat="0" applyProtection="0">
      <alignment horizontal="left" vertical="top" indent="1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0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99" borderId="41" applyNumberFormat="0" applyProtection="0">
      <alignment horizontal="right" vertical="center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4" fontId="127" fillId="76" borderId="41" applyNumberFormat="0" applyProtection="0">
      <alignment horizontal="left" vertical="center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168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0" fontId="178" fillId="114" borderId="42" applyNumberFormat="0" applyProtection="0">
      <alignment horizontal="left" vertical="top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4" fontId="179" fillId="117" borderId="43" applyNumberFormat="0" applyProtection="0">
      <alignment horizontal="left" vertical="center" indent="1"/>
    </xf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0" fontId="127" fillId="118" borderId="1"/>
    <xf numFmtId="0" fontId="127" fillId="118" borderId="1"/>
    <xf numFmtId="0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168" fontId="127" fillId="118" borderId="1"/>
    <xf numFmtId="0" fontId="127" fillId="118" borderId="1"/>
    <xf numFmtId="0" fontId="127" fillId="118" borderId="1"/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" fontId="180" fillId="99" borderId="41" applyNumberFormat="0" applyProtection="0">
      <alignment horizontal="right" vertical="center"/>
    </xf>
    <xf numFmtId="40" fontId="163" fillId="80" borderId="1"/>
    <xf numFmtId="40" fontId="163" fillId="119" borderId="1"/>
    <xf numFmtId="49" fontId="181" fillId="120" borderId="46">
      <alignment horizontal="center"/>
    </xf>
    <xf numFmtId="49" fontId="182" fillId="120" borderId="46">
      <alignment horizontal="center"/>
    </xf>
    <xf numFmtId="49" fontId="64" fillId="0" borderId="0"/>
    <xf numFmtId="40" fontId="163" fillId="121" borderId="1"/>
    <xf numFmtId="0" fontId="163" fillId="122" borderId="1"/>
    <xf numFmtId="0" fontId="163" fillId="80" borderId="1"/>
    <xf numFmtId="40" fontId="163" fillId="123" borderId="1"/>
    <xf numFmtId="40" fontId="163" fillId="80" borderId="1"/>
    <xf numFmtId="209" fontId="183" fillId="60" borderId="2"/>
    <xf numFmtId="40" fontId="163" fillId="119" borderId="1"/>
    <xf numFmtId="49" fontId="184" fillId="124" borderId="46">
      <alignment vertical="center"/>
    </xf>
    <xf numFmtId="49" fontId="182" fillId="120" borderId="46">
      <alignment vertical="top"/>
    </xf>
    <xf numFmtId="49" fontId="3" fillId="0" borderId="0">
      <alignment horizontal="right"/>
    </xf>
    <xf numFmtId="40" fontId="163" fillId="125" borderId="1"/>
    <xf numFmtId="40" fontId="163" fillId="80" borderId="1"/>
    <xf numFmtId="209" fontId="1" fillId="126" borderId="2"/>
    <xf numFmtId="174" fontId="80" fillId="0" borderId="0"/>
    <xf numFmtId="0" fontId="2" fillId="0" borderId="0" applyNumberFormat="0" applyFill="0" applyBorder="0" applyAlignment="0" applyProtection="0"/>
    <xf numFmtId="0" fontId="80" fillId="0" borderId="0">
      <alignment vertical="center"/>
    </xf>
    <xf numFmtId="0" fontId="66" fillId="0" borderId="0"/>
    <xf numFmtId="0" fontId="185" fillId="0" borderId="0"/>
    <xf numFmtId="0" fontId="62" fillId="0" borderId="0">
      <alignment vertical="top"/>
    </xf>
    <xf numFmtId="0" fontId="2" fillId="0" borderId="0"/>
    <xf numFmtId="0" fontId="62" fillId="0" borderId="0">
      <alignment vertical="top"/>
    </xf>
    <xf numFmtId="0" fontId="185" fillId="0" borderId="0"/>
    <xf numFmtId="0" fontId="66" fillId="0" borderId="0"/>
    <xf numFmtId="0" fontId="2" fillId="0" borderId="0"/>
    <xf numFmtId="168" fontId="66" fillId="0" borderId="0"/>
    <xf numFmtId="0" fontId="66" fillId="0" borderId="0"/>
    <xf numFmtId="0" fontId="186" fillId="0" borderId="0"/>
    <xf numFmtId="0" fontId="187" fillId="0" borderId="47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8" applyNumberFormat="0" applyFill="0" applyAlignment="0" applyProtection="0"/>
    <xf numFmtId="168" fontId="187" fillId="0" borderId="48" applyNumberFormat="0" applyFill="0" applyAlignment="0" applyProtection="0"/>
    <xf numFmtId="0" fontId="187" fillId="0" borderId="48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168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168" fontId="60" fillId="0" borderId="47" applyNumberFormat="0" applyFill="0" applyAlignment="0" applyProtection="0"/>
    <xf numFmtId="168" fontId="60" fillId="0" borderId="47" applyNumberFormat="0" applyFill="0" applyAlignment="0" applyProtection="0"/>
    <xf numFmtId="168" fontId="60" fillId="0" borderId="47" applyNumberFormat="0" applyFill="0" applyAlignment="0" applyProtection="0"/>
    <xf numFmtId="168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187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187" fillId="0" borderId="47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187" fillId="0" borderId="4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49" fontId="62" fillId="0" borderId="0" applyFill="0" applyBorder="0" applyAlignment="0"/>
    <xf numFmtId="201" fontId="2" fillId="0" borderId="0" applyFill="0" applyBorder="0" applyAlignment="0"/>
    <xf numFmtId="210" fontId="2" fillId="0" borderId="0" applyFill="0" applyBorder="0" applyAlignment="0"/>
    <xf numFmtId="0" fontId="193" fillId="0" borderId="0" applyFill="0" applyBorder="0" applyProtection="0">
      <alignment horizontal="left" vertical="top"/>
    </xf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6" fillId="0" borderId="0">
      <alignment horizontal="left" vertical="top"/>
    </xf>
    <xf numFmtId="0" fontId="197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168" fontId="198" fillId="0" borderId="47" applyNumberFormat="0" applyFill="0" applyAlignment="0" applyProtection="0"/>
    <xf numFmtId="168" fontId="198" fillId="0" borderId="47" applyNumberFormat="0" applyFill="0" applyAlignment="0" applyProtection="0"/>
    <xf numFmtId="168" fontId="198" fillId="0" borderId="47" applyNumberFormat="0" applyFill="0" applyAlignment="0" applyProtection="0"/>
    <xf numFmtId="168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8" fillId="0" borderId="47" applyNumberFormat="0" applyFill="0" applyAlignment="0" applyProtection="0"/>
    <xf numFmtId="0" fontId="198" fillId="0" borderId="47" applyNumberFormat="0" applyFill="0" applyAlignment="0" applyProtection="0"/>
    <xf numFmtId="0" fontId="198" fillId="0" borderId="47" applyNumberFormat="0" applyFill="0" applyAlignment="0" applyProtection="0"/>
    <xf numFmtId="168" fontId="197" fillId="0" borderId="47" applyNumberFormat="0" applyFill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3" fontId="102" fillId="127" borderId="0" applyFont="0" applyFill="0" applyBorder="0" applyAlignment="0" applyProtection="0"/>
    <xf numFmtId="212" fontId="3" fillId="0" borderId="0" applyFon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87" fontId="70" fillId="35" borderId="19" applyNumberFormat="0" applyFont="0" applyAlignment="0" applyProtection="0"/>
    <xf numFmtId="187" fontId="1" fillId="35" borderId="19" applyNumberFormat="0" applyFont="0" applyAlignment="0" applyProtection="0"/>
    <xf numFmtId="187" fontId="70" fillId="35" borderId="19" applyNumberFormat="0" applyFont="0" applyAlignment="0" applyProtection="0"/>
    <xf numFmtId="187" fontId="1" fillId="35" borderId="19" applyNumberFormat="0" applyFont="0" applyAlignment="0" applyProtection="0"/>
    <xf numFmtId="187" fontId="1" fillId="35" borderId="19" applyNumberFormat="0" applyFont="0" applyAlignment="0" applyProtection="0"/>
    <xf numFmtId="187" fontId="1" fillId="35" borderId="19" applyNumberFormat="0" applyFont="0" applyAlignment="0" applyProtection="0"/>
    <xf numFmtId="0" fontId="26" fillId="35" borderId="19" applyNumberFormat="0" applyFont="0" applyAlignment="0" applyProtection="0"/>
    <xf numFmtId="187" fontId="1" fillId="35" borderId="1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68" fontId="2" fillId="66" borderId="39" applyNumberFormat="0" applyFont="0" applyAlignment="0" applyProtection="0"/>
    <xf numFmtId="168" fontId="2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2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2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2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168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69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2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168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3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0" fontId="2" fillId="66" borderId="39" applyNumberFormat="0" applyFont="0" applyAlignment="0" applyProtection="0"/>
    <xf numFmtId="194" fontId="138" fillId="0" borderId="0"/>
    <xf numFmtId="213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3" fontId="89" fillId="0" borderId="0" applyFont="0" applyFill="0" applyBorder="0" applyAlignment="0" applyProtection="0"/>
    <xf numFmtId="213" fontId="89" fillId="0" borderId="0" applyFont="0" applyFill="0" applyBorder="0" applyAlignment="0" applyProtection="0"/>
    <xf numFmtId="213" fontId="89" fillId="0" borderId="0" applyFont="0" applyFill="0" applyBorder="0" applyAlignment="0" applyProtection="0"/>
    <xf numFmtId="213" fontId="89" fillId="0" borderId="0" applyFont="0" applyFill="0" applyBorder="0" applyAlignment="0" applyProtection="0"/>
    <xf numFmtId="213" fontId="89" fillId="0" borderId="0" applyFont="0" applyFill="0" applyBorder="0" applyAlignment="0" applyProtection="0"/>
    <xf numFmtId="214" fontId="89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0" fontId="19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57" fillId="0" borderId="0">
      <alignment horizontal="left"/>
    </xf>
    <xf numFmtId="1" fontId="200" fillId="0" borderId="0">
      <alignment horizontal="right"/>
    </xf>
    <xf numFmtId="0" fontId="80" fillId="0" borderId="0"/>
    <xf numFmtId="218" fontId="201" fillId="0" borderId="0">
      <alignment horizontal="right" vertical="center"/>
      <protection locked="0"/>
    </xf>
    <xf numFmtId="0" fontId="202" fillId="63" borderId="0" applyNumberFormat="0" applyBorder="0" applyAlignment="0" applyProtection="0"/>
    <xf numFmtId="0" fontId="202" fillId="67" borderId="0" applyNumberFormat="0" applyBorder="0" applyAlignment="0" applyProtection="0"/>
    <xf numFmtId="0" fontId="202" fillId="63" borderId="0" applyNumberFormat="0" applyBorder="0" applyAlignment="0" applyProtection="0"/>
    <xf numFmtId="0" fontId="203" fillId="32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7" borderId="0" applyNumberFormat="0" applyBorder="0" applyAlignment="0" applyProtection="0"/>
    <xf numFmtId="0" fontId="202" fillId="67" borderId="0" applyNumberFormat="0" applyBorder="0" applyAlignment="0" applyProtection="0"/>
    <xf numFmtId="0" fontId="202" fillId="67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7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204" fillId="63" borderId="0" applyNumberFormat="0" applyBorder="0" applyAlignment="0" applyProtection="0"/>
    <xf numFmtId="0" fontId="202" fillId="63" borderId="0" applyNumberFormat="0" applyBorder="0" applyAlignment="0" applyProtection="0"/>
    <xf numFmtId="0" fontId="202" fillId="63" borderId="0" applyNumberFormat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0" fontId="25" fillId="0" borderId="0"/>
    <xf numFmtId="0" fontId="1" fillId="0" borderId="0"/>
    <xf numFmtId="0" fontId="55" fillId="39" borderId="0" applyNumberFormat="0" applyBorder="0" applyAlignment="0" applyProtection="0"/>
    <xf numFmtId="0" fontId="55" fillId="43" borderId="0" applyNumberFormat="0" applyBorder="0" applyAlignment="0" applyProtection="0"/>
    <xf numFmtId="0" fontId="55" fillId="47" borderId="0" applyNumberFormat="0" applyBorder="0" applyAlignment="0" applyProtection="0"/>
    <xf numFmtId="0" fontId="55" fillId="51" borderId="0" applyNumberFormat="0" applyBorder="0" applyAlignment="0" applyProtection="0"/>
    <xf numFmtId="0" fontId="55" fillId="55" borderId="0" applyNumberFormat="0" applyBorder="0" applyAlignment="0" applyProtection="0"/>
    <xf numFmtId="0" fontId="55" fillId="59" borderId="0" applyNumberFormat="0" applyBorder="0" applyAlignment="0" applyProtection="0"/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Alignment="0" applyProtection="0"/>
    <xf numFmtId="0" fontId="54" fillId="33" borderId="0" applyNumberFormat="0" applyBorder="0" applyAlignment="0" applyProtection="0"/>
    <xf numFmtId="0" fontId="1" fillId="0" borderId="0"/>
    <xf numFmtId="0" fontId="70" fillId="0" borderId="0"/>
    <xf numFmtId="0" fontId="1" fillId="35" borderId="19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65" fillId="0" borderId="0" applyNumberFormat="0" applyFill="0" applyBorder="0" applyAlignment="0" applyProtection="0"/>
    <xf numFmtId="0" fontId="3" fillId="0" borderId="0" applyNumberFormat="0" applyFill="0" applyBorder="0" applyProtection="0">
      <alignment horizontal="left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9" fontId="1" fillId="0" borderId="0" applyFont="0" applyFill="0" applyBorder="0" applyAlignment="0" applyProtection="0"/>
    <xf numFmtId="0" fontId="3" fillId="0" borderId="0"/>
    <xf numFmtId="0" fontId="261" fillId="0" borderId="0"/>
    <xf numFmtId="44" fontId="1" fillId="0" borderId="0" applyFont="0" applyFill="0" applyBorder="0" applyAlignment="0" applyProtection="0"/>
  </cellStyleXfs>
  <cellXfs count="1867">
    <xf numFmtId="0" fontId="0" fillId="0" borderId="0" xfId="0"/>
    <xf numFmtId="4" fontId="0" fillId="0" borderId="0" xfId="0" applyNumberFormat="1"/>
    <xf numFmtId="0" fontId="0" fillId="2" borderId="0" xfId="0" applyFill="1"/>
    <xf numFmtId="49" fontId="0" fillId="3" borderId="0" xfId="0" applyNumberFormat="1" applyFill="1"/>
    <xf numFmtId="0" fontId="0" fillId="3" borderId="0" xfId="0" applyFill="1" applyAlignment="1">
      <alignment horizontal="left"/>
    </xf>
    <xf numFmtId="4" fontId="0" fillId="0" borderId="0" xfId="0" applyNumberFormat="1" applyFill="1"/>
    <xf numFmtId="4" fontId="0" fillId="12" borderId="0" xfId="0" applyNumberFormat="1" applyFill="1"/>
    <xf numFmtId="0" fontId="0" fillId="12" borderId="0" xfId="0" applyFill="1"/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9" fillId="15" borderId="0" xfId="0" applyNumberFormat="1" applyFont="1" applyFill="1" applyAlignment="1">
      <alignment horizontal="right" vertical="center" wrapText="1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4" fontId="11" fillId="15" borderId="0" xfId="0" applyNumberFormat="1" applyFont="1" applyFill="1" applyAlignment="1">
      <alignment horizontal="right" vertical="center" wrapText="1"/>
    </xf>
    <xf numFmtId="0" fontId="9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12" fillId="0" borderId="6" xfId="0" applyFont="1" applyBorder="1" applyAlignment="1">
      <alignment horizontal="center" vertical="center"/>
    </xf>
    <xf numFmtId="4" fontId="7" fillId="0" borderId="4" xfId="0" applyNumberFormat="1" applyFont="1" applyBorder="1" applyAlignment="1">
      <alignment horizontal="center" vertical="center" wrapText="1"/>
    </xf>
    <xf numFmtId="4" fontId="8" fillId="0" borderId="0" xfId="0" applyNumberFormat="1" applyFont="1" applyAlignment="1">
      <alignment horizontal="right" vertical="center" wrapText="1"/>
    </xf>
    <xf numFmtId="4" fontId="9" fillId="0" borderId="0" xfId="0" applyNumberFormat="1" applyFont="1" applyAlignment="1">
      <alignment horizontal="right" vertical="center" wrapText="1"/>
    </xf>
    <xf numFmtId="4" fontId="11" fillId="0" borderId="0" xfId="0" applyNumberFormat="1" applyFont="1" applyAlignment="1">
      <alignment horizontal="right" vertical="center" wrapText="1"/>
    </xf>
    <xf numFmtId="4" fontId="9" fillId="0" borderId="5" xfId="0" applyNumberFormat="1" applyFont="1" applyBorder="1" applyAlignment="1">
      <alignment horizontal="right" vertical="center" wrapText="1"/>
    </xf>
    <xf numFmtId="4" fontId="16" fillId="0" borderId="6" xfId="0" applyNumberFormat="1" applyFont="1" applyBorder="1" applyAlignment="1">
      <alignment horizontal="right" vertical="center" wrapText="1"/>
    </xf>
    <xf numFmtId="4" fontId="8" fillId="15" borderId="0" xfId="0" applyNumberFormat="1" applyFont="1" applyFill="1" applyAlignment="1">
      <alignment horizontal="right" vertical="center" wrapText="1"/>
    </xf>
    <xf numFmtId="4" fontId="9" fillId="15" borderId="5" xfId="0" applyNumberFormat="1" applyFont="1" applyFill="1" applyBorder="1" applyAlignment="1">
      <alignment horizontal="right" vertical="center" wrapText="1"/>
    </xf>
    <xf numFmtId="4" fontId="13" fillId="15" borderId="0" xfId="0" applyNumberFormat="1" applyFont="1" applyFill="1" applyAlignment="1">
      <alignment horizontal="right" vertical="center" wrapText="1"/>
    </xf>
    <xf numFmtId="0" fontId="17" fillId="14" borderId="0" xfId="0" applyFont="1" applyFill="1"/>
    <xf numFmtId="0" fontId="0" fillId="14" borderId="0" xfId="0" applyFill="1"/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9" fillId="0" borderId="0" xfId="0" applyFont="1" applyAlignment="1">
      <alignment horizontal="justify" vertical="center"/>
    </xf>
    <xf numFmtId="0" fontId="14" fillId="0" borderId="0" xfId="0" applyFont="1" applyAlignment="1">
      <alignment horizontal="center" vertical="center" wrapText="1"/>
    </xf>
    <xf numFmtId="0" fontId="9" fillId="0" borderId="8" xfId="0" applyFont="1" applyBorder="1" applyAlignment="1">
      <alignment horizontal="left" vertical="center"/>
    </xf>
    <xf numFmtId="0" fontId="16" fillId="0" borderId="8" xfId="0" applyFont="1" applyBorder="1" applyAlignment="1">
      <alignment horizontal="left" vertical="center" wrapText="1"/>
    </xf>
    <xf numFmtId="4" fontId="7" fillId="15" borderId="7" xfId="0" applyNumberFormat="1" applyFont="1" applyFill="1" applyBorder="1" applyAlignment="1">
      <alignment horizontal="center" vertical="center"/>
    </xf>
    <xf numFmtId="4" fontId="7" fillId="15" borderId="6" xfId="0" applyNumberFormat="1" applyFont="1" applyFill="1" applyBorder="1" applyAlignment="1">
      <alignment horizontal="center" vertical="center"/>
    </xf>
    <xf numFmtId="4" fontId="9" fillId="15" borderId="0" xfId="0" applyNumberFormat="1" applyFont="1" applyFill="1" applyAlignment="1">
      <alignment horizontal="right" vertical="center"/>
    </xf>
    <xf numFmtId="4" fontId="11" fillId="15" borderId="0" xfId="0" applyNumberFormat="1" applyFont="1" applyFill="1" applyAlignment="1">
      <alignment horizontal="right" vertical="center"/>
    </xf>
    <xf numFmtId="4" fontId="16" fillId="15" borderId="5" xfId="0" applyNumberFormat="1" applyFont="1" applyFill="1" applyBorder="1" applyAlignment="1">
      <alignment horizontal="right" vertical="center"/>
    </xf>
    <xf numFmtId="4" fontId="16" fillId="15" borderId="0" xfId="0" applyNumberFormat="1" applyFont="1" applyFill="1" applyAlignment="1">
      <alignment horizontal="right" vertical="center"/>
    </xf>
    <xf numFmtId="4" fontId="16" fillId="15" borderId="8" xfId="0" applyNumberFormat="1" applyFont="1" applyFill="1" applyBorder="1" applyAlignment="1">
      <alignment horizontal="right" vertical="center"/>
    </xf>
    <xf numFmtId="4" fontId="17" fillId="0" borderId="0" xfId="0" applyNumberFormat="1" applyFont="1"/>
    <xf numFmtId="0" fontId="18" fillId="0" borderId="0" xfId="0" applyFont="1" applyAlignment="1">
      <alignment horizontal="right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 wrapText="1"/>
    </xf>
    <xf numFmtId="4" fontId="11" fillId="0" borderId="0" xfId="0" applyNumberFormat="1" applyFont="1" applyAlignment="1">
      <alignment horizontal="right" vertical="center"/>
    </xf>
    <xf numFmtId="0" fontId="11" fillId="15" borderId="0" xfId="0" applyFont="1" applyFill="1" applyAlignment="1">
      <alignment horizontal="left" vertical="center"/>
    </xf>
    <xf numFmtId="0" fontId="9" fillId="15" borderId="0" xfId="0" applyFont="1" applyFill="1" applyAlignment="1">
      <alignment horizontal="left" vertical="center"/>
    </xf>
    <xf numFmtId="0" fontId="22" fillId="15" borderId="0" xfId="0" applyFont="1" applyFill="1" applyAlignment="1">
      <alignment horizontal="left" vertical="center"/>
    </xf>
    <xf numFmtId="0" fontId="13" fillId="15" borderId="0" xfId="0" applyFont="1" applyFill="1" applyAlignment="1">
      <alignment horizontal="left" vertical="center"/>
    </xf>
    <xf numFmtId="4" fontId="9" fillId="0" borderId="0" xfId="0" applyNumberFormat="1" applyFont="1" applyAlignment="1">
      <alignment horizontal="right" vertical="center"/>
    </xf>
    <xf numFmtId="4" fontId="13" fillId="0" borderId="0" xfId="0" applyNumberFormat="1" applyFont="1" applyAlignment="1">
      <alignment horizontal="right" vertical="center"/>
    </xf>
    <xf numFmtId="4" fontId="9" fillId="0" borderId="6" xfId="0" applyNumberFormat="1" applyFont="1" applyBorder="1" applyAlignment="1">
      <alignment horizontal="right" vertical="center"/>
    </xf>
    <xf numFmtId="4" fontId="7" fillId="0" borderId="0" xfId="0" applyNumberFormat="1" applyFont="1" applyAlignment="1">
      <alignment horizontal="right" vertical="center"/>
    </xf>
    <xf numFmtId="4" fontId="13" fillId="15" borderId="0" xfId="0" applyNumberFormat="1" applyFont="1" applyFill="1" applyAlignment="1">
      <alignment horizontal="right" vertical="center"/>
    </xf>
    <xf numFmtId="4" fontId="21" fillId="15" borderId="0" xfId="0" applyNumberFormat="1" applyFont="1" applyFill="1" applyAlignment="1">
      <alignment horizontal="right" vertical="center"/>
    </xf>
    <xf numFmtId="4" fontId="7" fillId="15" borderId="0" xfId="0" applyNumberFormat="1" applyFont="1" applyFill="1" applyAlignment="1">
      <alignment horizontal="right" vertical="center"/>
    </xf>
    <xf numFmtId="4" fontId="9" fillId="15" borderId="8" xfId="0" applyNumberFormat="1" applyFont="1" applyFill="1" applyBorder="1" applyAlignment="1">
      <alignment horizontal="right" vertical="center"/>
    </xf>
    <xf numFmtId="4" fontId="0" fillId="0" borderId="0" xfId="0" applyNumberFormat="1" applyAlignment="1">
      <alignment horizontal="right"/>
    </xf>
    <xf numFmtId="4" fontId="13" fillId="0" borderId="0" xfId="0" applyNumberFormat="1" applyFont="1" applyAlignment="1">
      <alignment horizontal="right" vertical="center" wrapText="1"/>
    </xf>
    <xf numFmtId="4" fontId="11" fillId="0" borderId="0" xfId="0" applyNumberFormat="1" applyFont="1" applyAlignment="1">
      <alignment horizontal="center" vertical="center"/>
    </xf>
    <xf numFmtId="4" fontId="9" fillId="0" borderId="8" xfId="0" applyNumberFormat="1" applyFont="1" applyBorder="1" applyAlignment="1">
      <alignment horizontal="right" vertical="center" wrapText="1"/>
    </xf>
    <xf numFmtId="4" fontId="9" fillId="15" borderId="8" xfId="0" applyNumberFormat="1" applyFont="1" applyFill="1" applyBorder="1" applyAlignment="1">
      <alignment horizontal="right" vertical="center" wrapText="1"/>
    </xf>
    <xf numFmtId="4" fontId="13" fillId="4" borderId="0" xfId="4" applyNumberFormat="1" applyFont="1" applyFill="1" applyAlignment="1">
      <alignment vertical="center"/>
    </xf>
    <xf numFmtId="4" fontId="13" fillId="4" borderId="0" xfId="0" applyNumberFormat="1" applyFont="1" applyFill="1" applyAlignment="1">
      <alignment horizontal="right" vertical="center"/>
    </xf>
    <xf numFmtId="0" fontId="23" fillId="0" borderId="0" xfId="0" applyFont="1" applyAlignment="1">
      <alignment vertical="center"/>
    </xf>
    <xf numFmtId="4" fontId="24" fillId="0" borderId="0" xfId="0" applyNumberFormat="1" applyFont="1" applyAlignment="1">
      <alignment horizontal="left" vertical="center"/>
    </xf>
    <xf numFmtId="0" fontId="0" fillId="12" borderId="0" xfId="0" applyFill="1" applyAlignment="1">
      <alignment horizontal="left"/>
    </xf>
    <xf numFmtId="0" fontId="28" fillId="0" borderId="0" xfId="8" applyFont="1"/>
    <xf numFmtId="0" fontId="28" fillId="0" borderId="0" xfId="8" applyFont="1" applyBorder="1" applyAlignment="1">
      <alignment vertical="center"/>
    </xf>
    <xf numFmtId="0" fontId="28" fillId="0" borderId="0" xfId="8" applyFont="1" applyAlignment="1">
      <alignment vertical="center"/>
    </xf>
    <xf numFmtId="0" fontId="28" fillId="0" borderId="0" xfId="8" applyFont="1" applyAlignment="1">
      <alignment horizontal="center" vertical="center"/>
    </xf>
    <xf numFmtId="4" fontId="28" fillId="0" borderId="0" xfId="8" applyNumberFormat="1" applyFont="1" applyAlignment="1">
      <alignment vertical="center"/>
    </xf>
    <xf numFmtId="4" fontId="30" fillId="0" borderId="0" xfId="8" applyNumberFormat="1" applyFont="1" applyAlignment="1">
      <alignment vertical="center"/>
    </xf>
    <xf numFmtId="165" fontId="28" fillId="0" borderId="0" xfId="8" applyNumberFormat="1" applyFont="1" applyAlignment="1">
      <alignment vertical="center"/>
    </xf>
    <xf numFmtId="0" fontId="30" fillId="0" borderId="0" xfId="8" applyFont="1" applyAlignment="1">
      <alignment vertical="center"/>
    </xf>
    <xf numFmtId="4" fontId="31" fillId="0" borderId="0" xfId="8" applyNumberFormat="1" applyFont="1" applyAlignment="1">
      <alignment vertical="center"/>
    </xf>
    <xf numFmtId="0" fontId="29" fillId="0" borderId="1" xfId="8" applyFont="1" applyFill="1" applyBorder="1" applyAlignment="1">
      <alignment horizontal="center" vertical="center" wrapText="1"/>
    </xf>
    <xf numFmtId="0" fontId="29" fillId="0" borderId="1" xfId="8" applyFont="1" applyBorder="1" applyAlignment="1">
      <alignment horizontal="center" vertical="center" wrapText="1"/>
    </xf>
    <xf numFmtId="4" fontId="30" fillId="0" borderId="0" xfId="8" applyNumberFormat="1" applyFont="1" applyAlignment="1">
      <alignment horizontal="center" vertical="center" wrapText="1"/>
    </xf>
    <xf numFmtId="4" fontId="31" fillId="0" borderId="0" xfId="8" applyNumberFormat="1" applyFont="1" applyAlignment="1">
      <alignment horizontal="center" vertical="center" wrapText="1"/>
    </xf>
    <xf numFmtId="166" fontId="29" fillId="16" borderId="1" xfId="8" applyNumberFormat="1" applyFont="1" applyFill="1" applyBorder="1" applyAlignment="1">
      <alignment vertical="center"/>
    </xf>
    <xf numFmtId="166" fontId="29" fillId="17" borderId="1" xfId="8" applyNumberFormat="1" applyFont="1" applyFill="1" applyBorder="1" applyAlignment="1">
      <alignment vertical="center"/>
    </xf>
    <xf numFmtId="4" fontId="30" fillId="0" borderId="0" xfId="8" applyNumberFormat="1" applyFont="1" applyFill="1" applyAlignment="1">
      <alignment vertical="center"/>
    </xf>
    <xf numFmtId="166" fontId="28" fillId="0" borderId="1" xfId="8" applyNumberFormat="1" applyFont="1" applyFill="1" applyBorder="1" applyAlignment="1">
      <alignment vertical="center"/>
    </xf>
    <xf numFmtId="166" fontId="28" fillId="17" borderId="1" xfId="8" applyNumberFormat="1" applyFont="1" applyFill="1" applyBorder="1" applyAlignment="1">
      <alignment vertical="center"/>
    </xf>
    <xf numFmtId="4" fontId="31" fillId="0" borderId="0" xfId="8" applyNumberFormat="1" applyFont="1" applyFill="1" applyAlignment="1">
      <alignment vertical="center"/>
    </xf>
    <xf numFmtId="0" fontId="28" fillId="0" borderId="0" xfId="8" applyFont="1" applyFill="1" applyAlignment="1">
      <alignment vertical="center"/>
    </xf>
    <xf numFmtId="166" fontId="28" fillId="18" borderId="1" xfId="8" applyNumberFormat="1" applyFont="1" applyFill="1" applyBorder="1" applyAlignment="1">
      <alignment vertical="center"/>
    </xf>
    <xf numFmtId="166" fontId="29" fillId="0" borderId="1" xfId="8" applyNumberFormat="1" applyFont="1" applyFill="1" applyBorder="1" applyAlignment="1">
      <alignment vertical="center"/>
    </xf>
    <xf numFmtId="165" fontId="31" fillId="0" borderId="0" xfId="8" applyNumberFormat="1" applyFont="1" applyAlignment="1">
      <alignment vertical="center"/>
    </xf>
    <xf numFmtId="0" fontId="28" fillId="0" borderId="0" xfId="8" applyFont="1" applyBorder="1" applyAlignment="1">
      <alignment horizontal="center" vertical="center"/>
    </xf>
    <xf numFmtId="166" fontId="28" fillId="0" borderId="0" xfId="8" applyNumberFormat="1" applyFont="1" applyFill="1" applyBorder="1" applyAlignment="1">
      <alignment vertical="center"/>
    </xf>
    <xf numFmtId="0" fontId="28" fillId="0" borderId="0" xfId="10" applyFont="1"/>
    <xf numFmtId="165" fontId="28" fillId="0" borderId="0" xfId="10" applyNumberFormat="1" applyFont="1" applyAlignment="1">
      <alignment vertical="center"/>
    </xf>
    <xf numFmtId="0" fontId="31" fillId="0" borderId="0" xfId="10" applyFont="1" applyFill="1"/>
    <xf numFmtId="0" fontId="30" fillId="0" borderId="0" xfId="10" applyFont="1" applyFill="1"/>
    <xf numFmtId="0" fontId="28" fillId="0" borderId="0" xfId="10" applyFont="1" applyFill="1"/>
    <xf numFmtId="0" fontId="31" fillId="0" borderId="0" xfId="10" applyFont="1"/>
    <xf numFmtId="0" fontId="30" fillId="0" borderId="0" xfId="10" applyFont="1" applyFill="1" applyAlignment="1">
      <alignment horizontal="right"/>
    </xf>
    <xf numFmtId="166" fontId="30" fillId="0" borderId="0" xfId="10" applyNumberFormat="1" applyFont="1" applyFill="1"/>
    <xf numFmtId="0" fontId="30" fillId="0" borderId="0" xfId="10" applyFont="1" applyAlignment="1">
      <alignment horizontal="right"/>
    </xf>
    <xf numFmtId="0" fontId="31" fillId="0" borderId="0" xfId="10" applyFont="1" applyFill="1" applyAlignment="1">
      <alignment horizontal="right"/>
    </xf>
    <xf numFmtId="166" fontId="31" fillId="0" borderId="0" xfId="10" applyNumberFormat="1" applyFont="1" applyFill="1"/>
    <xf numFmtId="4" fontId="31" fillId="0" borderId="0" xfId="10" applyNumberFormat="1" applyFont="1" applyFill="1"/>
    <xf numFmtId="0" fontId="28" fillId="0" borderId="0" xfId="8" applyFont="1" applyFill="1"/>
    <xf numFmtId="166" fontId="31" fillId="0" borderId="0" xfId="10" applyNumberFormat="1" applyFont="1" applyFill="1" applyAlignment="1">
      <alignment horizontal="right"/>
    </xf>
    <xf numFmtId="0" fontId="32" fillId="0" borderId="0" xfId="8" applyFont="1" applyFill="1" applyAlignment="1">
      <alignment horizontal="right"/>
    </xf>
    <xf numFmtId="165" fontId="32" fillId="0" borderId="0" xfId="8" applyNumberFormat="1" applyFont="1" applyFill="1"/>
    <xf numFmtId="0" fontId="31" fillId="0" borderId="0" xfId="8" applyFont="1" applyFill="1" applyAlignment="1">
      <alignment horizontal="right"/>
    </xf>
    <xf numFmtId="4" fontId="30" fillId="0" borderId="0" xfId="8" applyNumberFormat="1" applyFont="1" applyFill="1"/>
    <xf numFmtId="4" fontId="31" fillId="0" borderId="0" xfId="8" applyNumberFormat="1" applyFont="1" applyFill="1"/>
    <xf numFmtId="0" fontId="32" fillId="0" borderId="0" xfId="8" applyFont="1" applyFill="1"/>
    <xf numFmtId="0" fontId="28" fillId="5" borderId="0" xfId="8" applyFont="1" applyFill="1" applyAlignment="1">
      <alignment vertical="center"/>
    </xf>
    <xf numFmtId="4" fontId="24" fillId="4" borderId="0" xfId="0" applyNumberFormat="1" applyFont="1" applyFill="1" applyAlignment="1">
      <alignment horizontal="left" vertical="center"/>
    </xf>
    <xf numFmtId="4" fontId="0" fillId="14" borderId="0" xfId="0" applyNumberFormat="1" applyFill="1"/>
    <xf numFmtId="165" fontId="28" fillId="5" borderId="0" xfId="8" applyNumberFormat="1" applyFont="1" applyFill="1" applyAlignment="1">
      <alignment vertical="center"/>
    </xf>
    <xf numFmtId="49" fontId="0" fillId="2" borderId="0" xfId="0" applyNumberFormat="1" applyFill="1"/>
    <xf numFmtId="4" fontId="13" fillId="0" borderId="0" xfId="4" applyNumberFormat="1" applyFont="1" applyFill="1" applyAlignment="1">
      <alignment vertical="center"/>
    </xf>
    <xf numFmtId="4" fontId="13" fillId="14" borderId="0" xfId="4" applyNumberFormat="1" applyFont="1" applyFill="1" applyAlignment="1">
      <alignment vertical="center"/>
    </xf>
    <xf numFmtId="0" fontId="13" fillId="0" borderId="0" xfId="3" applyFont="1" applyAlignment="1">
      <alignment vertical="center"/>
    </xf>
    <xf numFmtId="4" fontId="13" fillId="0" borderId="0" xfId="3" applyNumberFormat="1" applyFont="1" applyFill="1" applyBorder="1" applyAlignment="1">
      <alignment vertical="center"/>
    </xf>
    <xf numFmtId="4" fontId="13" fillId="0" borderId="0" xfId="3" applyNumberFormat="1" applyFont="1" applyAlignment="1">
      <alignment vertical="center"/>
    </xf>
    <xf numFmtId="0" fontId="13" fillId="14" borderId="0" xfId="3" applyFont="1" applyFill="1" applyAlignment="1">
      <alignment vertical="center"/>
    </xf>
    <xf numFmtId="4" fontId="13" fillId="14" borderId="0" xfId="3" applyNumberFormat="1" applyFont="1" applyFill="1" applyAlignment="1">
      <alignment vertical="center"/>
    </xf>
    <xf numFmtId="0" fontId="13" fillId="0" borderId="0" xfId="3" applyFont="1" applyFill="1" applyAlignment="1">
      <alignment vertical="center"/>
    </xf>
    <xf numFmtId="4" fontId="13" fillId="0" borderId="0" xfId="3" applyNumberFormat="1" applyFont="1" applyFill="1" applyAlignment="1">
      <alignment vertical="center"/>
    </xf>
    <xf numFmtId="4" fontId="28" fillId="5" borderId="0" xfId="8" applyNumberFormat="1" applyFont="1" applyFill="1" applyAlignment="1">
      <alignment vertical="center"/>
    </xf>
    <xf numFmtId="4" fontId="7" fillId="0" borderId="4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Alignment="1">
      <alignment horizontal="right" vertical="center" wrapText="1"/>
    </xf>
    <xf numFmtId="4" fontId="9" fillId="0" borderId="0" xfId="0" applyNumberFormat="1" applyFont="1" applyFill="1" applyAlignment="1">
      <alignment horizontal="right" vertical="center" wrapText="1"/>
    </xf>
    <xf numFmtId="4" fontId="11" fillId="0" borderId="0" xfId="0" applyNumberFormat="1" applyFont="1" applyFill="1" applyAlignment="1">
      <alignment horizontal="right" vertical="center" wrapText="1"/>
    </xf>
    <xf numFmtId="4" fontId="13" fillId="0" borderId="0" xfId="0" applyNumberFormat="1" applyFont="1" applyFill="1" applyAlignment="1">
      <alignment horizontal="right" vertical="center" wrapText="1"/>
    </xf>
    <xf numFmtId="4" fontId="9" fillId="0" borderId="5" xfId="0" applyNumberFormat="1" applyFont="1" applyFill="1" applyBorder="1" applyAlignment="1">
      <alignment horizontal="right" vertical="center" wrapText="1"/>
    </xf>
    <xf numFmtId="4" fontId="16" fillId="0" borderId="6" xfId="0" applyNumberFormat="1" applyFont="1" applyFill="1" applyBorder="1" applyAlignment="1">
      <alignment horizontal="right" vertical="center" wrapText="1"/>
    </xf>
    <xf numFmtId="166" fontId="28" fillId="12" borderId="1" xfId="8" applyNumberFormat="1" applyFont="1" applyFill="1" applyBorder="1" applyAlignment="1">
      <alignment vertical="center"/>
    </xf>
    <xf numFmtId="0" fontId="9" fillId="14" borderId="8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left" vertical="center" wrapText="1"/>
    </xf>
    <xf numFmtId="0" fontId="35" fillId="0" borderId="0" xfId="0" applyFont="1"/>
    <xf numFmtId="0" fontId="36" fillId="0" borderId="0" xfId="0" applyFont="1"/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justify" vertical="center"/>
    </xf>
    <xf numFmtId="4" fontId="7" fillId="15" borderId="7" xfId="0" applyNumberFormat="1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4" fontId="7" fillId="5" borderId="6" xfId="0" applyNumberFormat="1" applyFont="1" applyFill="1" applyBorder="1" applyAlignment="1">
      <alignment horizontal="center" vertical="center" wrapText="1"/>
    </xf>
    <xf numFmtId="4" fontId="7" fillId="15" borderId="6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 vertical="center" wrapText="1"/>
    </xf>
    <xf numFmtId="0" fontId="9" fillId="0" borderId="5" xfId="0" applyFont="1" applyBorder="1" applyAlignment="1">
      <alignment horizontal="left" vertical="center" wrapText="1"/>
    </xf>
    <xf numFmtId="4" fontId="9" fillId="15" borderId="5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0" fontId="40" fillId="0" borderId="0" xfId="0" applyFont="1" applyAlignment="1">
      <alignment horizontal="justify" vertical="center" wrapText="1"/>
    </xf>
    <xf numFmtId="4" fontId="7" fillId="23" borderId="7" xfId="0" applyNumberFormat="1" applyFont="1" applyFill="1" applyBorder="1" applyAlignment="1">
      <alignment horizontal="center" vertical="center" wrapText="1"/>
    </xf>
    <xf numFmtId="4" fontId="7" fillId="23" borderId="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 indent="6"/>
    </xf>
    <xf numFmtId="4" fontId="11" fillId="23" borderId="0" xfId="0" applyNumberFormat="1" applyFont="1" applyFill="1" applyAlignment="1">
      <alignment vertical="center"/>
    </xf>
    <xf numFmtId="0" fontId="11" fillId="0" borderId="0" xfId="0" applyFont="1" applyAlignment="1">
      <alignment horizontal="right" vertical="center" wrapText="1" indent="6"/>
    </xf>
    <xf numFmtId="0" fontId="9" fillId="0" borderId="6" xfId="0" applyFont="1" applyBorder="1" applyAlignment="1">
      <alignment horizontal="left" vertical="center" wrapText="1" indent="6"/>
    </xf>
    <xf numFmtId="4" fontId="9" fillId="23" borderId="6" xfId="0" applyNumberFormat="1" applyFont="1" applyFill="1" applyBorder="1" applyAlignment="1">
      <alignment vertical="center"/>
    </xf>
    <xf numFmtId="0" fontId="9" fillId="0" borderId="0" xfId="0" applyFont="1" applyBorder="1" applyAlignment="1">
      <alignment horizontal="right" vertical="center" indent="6"/>
    </xf>
    <xf numFmtId="4" fontId="11" fillId="23" borderId="0" xfId="0" applyNumberFormat="1" applyFont="1" applyFill="1" applyAlignment="1">
      <alignment horizontal="right" vertical="center"/>
    </xf>
    <xf numFmtId="4" fontId="9" fillId="23" borderId="6" xfId="0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0" fontId="11" fillId="0" borderId="0" xfId="0" applyFont="1" applyAlignment="1">
      <alignment horizontal="center" vertical="center" wrapText="1"/>
    </xf>
    <xf numFmtId="4" fontId="11" fillId="14" borderId="0" xfId="0" applyNumberFormat="1" applyFont="1" applyFill="1" applyAlignment="1">
      <alignment horizontal="right" vertical="center"/>
    </xf>
    <xf numFmtId="4" fontId="9" fillId="14" borderId="0" xfId="0" applyNumberFormat="1" applyFont="1" applyFill="1" applyBorder="1" applyAlignment="1">
      <alignment horizontal="right" vertical="center" wrapText="1"/>
    </xf>
    <xf numFmtId="4" fontId="9" fillId="14" borderId="0" xfId="0" applyNumberFormat="1" applyFont="1" applyFill="1" applyBorder="1" applyAlignment="1">
      <alignment vertical="center"/>
    </xf>
    <xf numFmtId="4" fontId="9" fillId="14" borderId="0" xfId="0" applyNumberFormat="1" applyFont="1" applyFill="1" applyBorder="1" applyAlignment="1">
      <alignment horizontal="right" vertical="center"/>
    </xf>
    <xf numFmtId="4" fontId="7" fillId="5" borderId="7" xfId="0" applyNumberFormat="1" applyFont="1" applyFill="1" applyBorder="1" applyAlignment="1">
      <alignment horizontal="center" vertical="center" wrapText="1"/>
    </xf>
    <xf numFmtId="4" fontId="7" fillId="5" borderId="6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4" fontId="15" fillId="15" borderId="0" xfId="0" applyNumberFormat="1" applyFont="1" applyFill="1" applyAlignment="1">
      <alignment horizontal="right" vertical="center"/>
    </xf>
    <xf numFmtId="0" fontId="42" fillId="0" borderId="0" xfId="0" applyFont="1" applyAlignment="1">
      <alignment horizontal="center" vertical="center" wrapText="1"/>
    </xf>
    <xf numFmtId="0" fontId="11" fillId="0" borderId="0" xfId="0" applyFont="1" applyAlignment="1">
      <alignment horizontal="justify" vertical="center"/>
    </xf>
    <xf numFmtId="0" fontId="43" fillId="0" borderId="0" xfId="0" applyFont="1" applyAlignment="1">
      <alignment horizontal="center" vertical="center" wrapText="1"/>
    </xf>
    <xf numFmtId="4" fontId="24" fillId="15" borderId="0" xfId="0" applyNumberFormat="1" applyFont="1" applyFill="1" applyAlignment="1">
      <alignment horizontal="right" vertical="center"/>
    </xf>
    <xf numFmtId="0" fontId="24" fillId="0" borderId="0" xfId="0" applyFont="1" applyAlignment="1">
      <alignment horizontal="center" vertical="center" wrapText="1"/>
    </xf>
    <xf numFmtId="0" fontId="7" fillId="0" borderId="0" xfId="0" applyFont="1" applyAlignment="1">
      <alignment horizontal="justify" vertical="center"/>
    </xf>
    <xf numFmtId="0" fontId="9" fillId="0" borderId="5" xfId="0" applyFont="1" applyBorder="1" applyAlignment="1">
      <alignment horizontal="justify" vertical="center"/>
    </xf>
    <xf numFmtId="0" fontId="9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justify" vertical="center"/>
    </xf>
    <xf numFmtId="4" fontId="14" fillId="15" borderId="0" xfId="0" applyNumberFormat="1" applyFont="1" applyFill="1" applyAlignment="1">
      <alignment horizontal="right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justify" vertical="center" wrapText="1"/>
    </xf>
    <xf numFmtId="0" fontId="43" fillId="0" borderId="5" xfId="0" applyFont="1" applyBorder="1" applyAlignment="1">
      <alignment horizontal="center" vertical="center" wrapText="1"/>
    </xf>
    <xf numFmtId="4" fontId="7" fillId="5" borderId="7" xfId="0" applyNumberFormat="1" applyFont="1" applyFill="1" applyBorder="1" applyAlignment="1">
      <alignment horizontal="center" vertical="center"/>
    </xf>
    <xf numFmtId="4" fontId="17" fillId="14" borderId="0" xfId="0" applyNumberFormat="1" applyFont="1" applyFill="1"/>
    <xf numFmtId="0" fontId="24" fillId="0" borderId="0" xfId="0" applyFont="1" applyAlignment="1">
      <alignment vertical="center" wrapText="1"/>
    </xf>
    <xf numFmtId="4" fontId="24" fillId="15" borderId="0" xfId="0" applyNumberFormat="1" applyFont="1" applyFill="1" applyAlignment="1">
      <alignment vertical="center"/>
    </xf>
    <xf numFmtId="0" fontId="22" fillId="0" borderId="0" xfId="0" applyFont="1" applyAlignment="1">
      <alignment vertical="center" wrapText="1"/>
    </xf>
    <xf numFmtId="4" fontId="13" fillId="0" borderId="0" xfId="4" applyNumberFormat="1" applyFont="1" applyAlignment="1">
      <alignment vertical="center"/>
    </xf>
    <xf numFmtId="0" fontId="13" fillId="0" borderId="0" xfId="4" applyFont="1" applyAlignment="1">
      <alignment vertical="center"/>
    </xf>
    <xf numFmtId="0" fontId="13" fillId="0" borderId="2" xfId="4" applyFont="1" applyBorder="1" applyAlignment="1">
      <alignment vertical="center" wrapText="1"/>
    </xf>
    <xf numFmtId="4" fontId="13" fillId="0" borderId="2" xfId="4" applyNumberFormat="1" applyFont="1" applyBorder="1" applyAlignment="1">
      <alignment vertical="center"/>
    </xf>
    <xf numFmtId="49" fontId="17" fillId="22" borderId="0" xfId="0" applyNumberFormat="1" applyFont="1" applyFill="1"/>
    <xf numFmtId="4" fontId="13" fillId="22" borderId="0" xfId="4" applyNumberFormat="1" applyFont="1" applyFill="1" applyAlignment="1">
      <alignment vertical="center"/>
    </xf>
    <xf numFmtId="0" fontId="13" fillId="6" borderId="2" xfId="4" applyFont="1" applyFill="1" applyBorder="1" applyAlignment="1">
      <alignment vertical="center" wrapText="1"/>
    </xf>
    <xf numFmtId="4" fontId="13" fillId="6" borderId="2" xfId="4" applyNumberFormat="1" applyFont="1" applyFill="1" applyBorder="1" applyAlignment="1">
      <alignment vertical="center"/>
    </xf>
    <xf numFmtId="0" fontId="13" fillId="22" borderId="2" xfId="4" applyFont="1" applyFill="1" applyBorder="1" applyAlignment="1">
      <alignment vertical="center" wrapText="1"/>
    </xf>
    <xf numFmtId="4" fontId="13" fillId="0" borderId="0" xfId="4" applyNumberFormat="1" applyFont="1" applyBorder="1" applyAlignment="1">
      <alignment vertical="center"/>
    </xf>
    <xf numFmtId="4" fontId="13" fillId="22" borderId="0" xfId="4" applyNumberFormat="1" applyFont="1" applyFill="1" applyBorder="1" applyAlignment="1">
      <alignment vertical="center"/>
    </xf>
    <xf numFmtId="0" fontId="13" fillId="22" borderId="0" xfId="4" applyFont="1" applyFill="1" applyAlignment="1">
      <alignment vertical="center"/>
    </xf>
    <xf numFmtId="49" fontId="17" fillId="22" borderId="3" xfId="0" applyNumberFormat="1" applyFont="1" applyFill="1" applyBorder="1"/>
    <xf numFmtId="49" fontId="17" fillId="7" borderId="3" xfId="0" applyNumberFormat="1" applyFont="1" applyFill="1" applyBorder="1"/>
    <xf numFmtId="49" fontId="17" fillId="0" borderId="3" xfId="0" applyNumberFormat="1" applyFont="1" applyFill="1" applyBorder="1"/>
    <xf numFmtId="49" fontId="17" fillId="0" borderId="0" xfId="0" applyNumberFormat="1" applyFont="1" applyFill="1" applyBorder="1"/>
    <xf numFmtId="0" fontId="21" fillId="0" borderId="0" xfId="4" applyFont="1" applyAlignment="1">
      <alignment vertical="center" wrapText="1"/>
    </xf>
    <xf numFmtId="49" fontId="17" fillId="0" borderId="0" xfId="0" applyNumberFormat="1" applyFont="1" applyFill="1"/>
    <xf numFmtId="0" fontId="13" fillId="0" borderId="0" xfId="4" applyFont="1" applyFill="1" applyAlignment="1">
      <alignment vertical="center"/>
    </xf>
    <xf numFmtId="0" fontId="13" fillId="0" borderId="0" xfId="4" applyFont="1" applyAlignment="1">
      <alignment vertical="center" wrapText="1"/>
    </xf>
    <xf numFmtId="0" fontId="13" fillId="0" borderId="1" xfId="4" applyFont="1" applyBorder="1" applyAlignment="1">
      <alignment vertical="center" wrapText="1"/>
    </xf>
    <xf numFmtId="4" fontId="13" fillId="0" borderId="1" xfId="4" applyNumberFormat="1" applyFont="1" applyBorder="1" applyAlignment="1">
      <alignment vertical="center"/>
    </xf>
    <xf numFmtId="0" fontId="44" fillId="6" borderId="0" xfId="4" applyFont="1" applyFill="1" applyAlignment="1">
      <alignment vertical="center" wrapText="1"/>
    </xf>
    <xf numFmtId="0" fontId="17" fillId="0" borderId="0" xfId="0" applyFont="1"/>
    <xf numFmtId="2" fontId="17" fillId="0" borderId="0" xfId="0" applyNumberFormat="1" applyFont="1" applyAlignment="1">
      <alignment wrapText="1"/>
    </xf>
    <xf numFmtId="0" fontId="17" fillId="4" borderId="0" xfId="0" applyFont="1" applyFill="1"/>
    <xf numFmtId="4" fontId="17" fillId="4" borderId="0" xfId="0" applyNumberFormat="1" applyFont="1" applyFill="1"/>
    <xf numFmtId="0" fontId="17" fillId="4" borderId="10" xfId="0" applyFont="1" applyFill="1" applyBorder="1"/>
    <xf numFmtId="4" fontId="17" fillId="4" borderId="10" xfId="0" applyNumberFormat="1" applyFont="1" applyFill="1" applyBorder="1"/>
    <xf numFmtId="0" fontId="17" fillId="0" borderId="0" xfId="0" applyFont="1" applyAlignment="1">
      <alignment wrapText="1"/>
    </xf>
    <xf numFmtId="0" fontId="17" fillId="20" borderId="10" xfId="0" applyFont="1" applyFill="1" applyBorder="1"/>
    <xf numFmtId="4" fontId="17" fillId="20" borderId="10" xfId="0" applyNumberFormat="1" applyFont="1" applyFill="1" applyBorder="1"/>
    <xf numFmtId="0" fontId="45" fillId="0" borderId="0" xfId="0" applyFont="1"/>
    <xf numFmtId="0" fontId="17" fillId="4" borderId="0" xfId="0" applyFont="1" applyFill="1" applyAlignment="1">
      <alignment horizontal="center"/>
    </xf>
    <xf numFmtId="49" fontId="17" fillId="4" borderId="0" xfId="0" applyNumberFormat="1" applyFont="1" applyFill="1" applyAlignment="1">
      <alignment horizontal="center"/>
    </xf>
    <xf numFmtId="4" fontId="17" fillId="0" borderId="1" xfId="0" applyNumberFormat="1" applyFont="1" applyBorder="1" applyAlignment="1">
      <alignment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4" fontId="17" fillId="0" borderId="0" xfId="0" applyNumberFormat="1" applyFont="1" applyAlignment="1">
      <alignment vertical="center"/>
    </xf>
    <xf numFmtId="0" fontId="17" fillId="22" borderId="1" xfId="0" applyFont="1" applyFill="1" applyBorder="1" applyAlignment="1">
      <alignment vertical="center"/>
    </xf>
    <xf numFmtId="4" fontId="17" fillId="22" borderId="1" xfId="0" applyNumberFormat="1" applyFont="1" applyFill="1" applyBorder="1" applyAlignment="1">
      <alignment vertical="center"/>
    </xf>
    <xf numFmtId="4" fontId="17" fillId="0" borderId="1" xfId="0" applyNumberFormat="1" applyFont="1" applyBorder="1" applyAlignment="1">
      <alignment vertical="center"/>
    </xf>
    <xf numFmtId="4" fontId="17" fillId="22" borderId="0" xfId="0" applyNumberFormat="1" applyFont="1" applyFill="1" applyAlignment="1">
      <alignment vertical="center"/>
    </xf>
    <xf numFmtId="0" fontId="17" fillId="0" borderId="1" xfId="0" applyFont="1" applyBorder="1" applyAlignment="1">
      <alignment vertical="center"/>
    </xf>
    <xf numFmtId="4" fontId="17" fillId="14" borderId="1" xfId="0" applyNumberFormat="1" applyFont="1" applyFill="1" applyBorder="1" applyAlignment="1">
      <alignment vertical="center"/>
    </xf>
    <xf numFmtId="0" fontId="17" fillId="21" borderId="1" xfId="0" applyFont="1" applyFill="1" applyBorder="1" applyAlignment="1">
      <alignment vertical="center"/>
    </xf>
    <xf numFmtId="4" fontId="17" fillId="21" borderId="1" xfId="0" applyNumberFormat="1" applyFont="1" applyFill="1" applyBorder="1" applyAlignment="1">
      <alignment vertical="center"/>
    </xf>
    <xf numFmtId="4" fontId="17" fillId="14" borderId="0" xfId="0" applyNumberFormat="1" applyFont="1" applyFill="1" applyAlignment="1">
      <alignment vertical="center"/>
    </xf>
    <xf numFmtId="4" fontId="17" fillId="0" borderId="1" xfId="0" applyNumberFormat="1" applyFont="1" applyFill="1" applyBorder="1" applyAlignment="1">
      <alignment vertical="center"/>
    </xf>
    <xf numFmtId="0" fontId="37" fillId="0" borderId="1" xfId="0" applyFont="1" applyBorder="1" applyAlignment="1">
      <alignment horizontal="center" vertical="center" wrapText="1"/>
    </xf>
    <xf numFmtId="0" fontId="21" fillId="0" borderId="0" xfId="3" applyFont="1" applyAlignment="1">
      <alignment vertical="center" wrapText="1"/>
    </xf>
    <xf numFmtId="0" fontId="13" fillId="0" borderId="0" xfId="3" applyFont="1" applyAlignment="1">
      <alignment vertical="center" wrapText="1"/>
    </xf>
    <xf numFmtId="0" fontId="21" fillId="6" borderId="2" xfId="3" applyFont="1" applyFill="1" applyBorder="1" applyAlignment="1">
      <alignment vertical="center" wrapText="1"/>
    </xf>
    <xf numFmtId="164" fontId="21" fillId="6" borderId="2" xfId="3" applyNumberFormat="1" applyFont="1" applyFill="1" applyBorder="1" applyAlignment="1">
      <alignment horizontal="center" vertical="center"/>
    </xf>
    <xf numFmtId="0" fontId="13" fillId="0" borderId="2" xfId="3" applyFont="1" applyBorder="1" applyAlignment="1">
      <alignment vertical="center" wrapText="1"/>
    </xf>
    <xf numFmtId="4" fontId="13" fillId="0" borderId="2" xfId="3" applyNumberFormat="1" applyFont="1" applyBorder="1" applyAlignment="1">
      <alignment vertical="center"/>
    </xf>
    <xf numFmtId="4" fontId="21" fillId="6" borderId="2" xfId="3" applyNumberFormat="1" applyFont="1" applyFill="1" applyBorder="1" applyAlignment="1">
      <alignment vertical="center"/>
    </xf>
    <xf numFmtId="4" fontId="13" fillId="0" borderId="2" xfId="3" applyNumberFormat="1" applyFont="1" applyFill="1" applyBorder="1" applyAlignment="1">
      <alignment vertical="center"/>
    </xf>
    <xf numFmtId="165" fontId="13" fillId="0" borderId="0" xfId="3" applyNumberFormat="1" applyFont="1" applyAlignment="1">
      <alignment vertical="center"/>
    </xf>
    <xf numFmtId="0" fontId="46" fillId="6" borderId="2" xfId="3" applyFont="1" applyFill="1" applyBorder="1" applyAlignment="1">
      <alignment vertical="center" wrapText="1"/>
    </xf>
    <xf numFmtId="0" fontId="17" fillId="4" borderId="1" xfId="0" applyFont="1" applyFill="1" applyBorder="1"/>
    <xf numFmtId="4" fontId="17" fillId="4" borderId="1" xfId="0" applyNumberFormat="1" applyFont="1" applyFill="1" applyBorder="1"/>
    <xf numFmtId="0" fontId="17" fillId="0" borderId="1" xfId="0" applyFont="1" applyBorder="1"/>
    <xf numFmtId="4" fontId="17" fillId="0" borderId="1" xfId="0" applyNumberFormat="1" applyFont="1" applyBorder="1"/>
    <xf numFmtId="0" fontId="17" fillId="0" borderId="0" xfId="0" applyFont="1" applyAlignment="1">
      <alignment horizontal="center"/>
    </xf>
    <xf numFmtId="0" fontId="17" fillId="0" borderId="1" xfId="0" applyFont="1" applyBorder="1" applyAlignment="1">
      <alignment wrapText="1"/>
    </xf>
    <xf numFmtId="0" fontId="17" fillId="0" borderId="1" xfId="0" applyFont="1" applyFill="1" applyBorder="1"/>
    <xf numFmtId="0" fontId="45" fillId="4" borderId="1" xfId="0" applyFont="1" applyFill="1" applyBorder="1"/>
    <xf numFmtId="4" fontId="45" fillId="4" borderId="1" xfId="0" applyNumberFormat="1" applyFont="1" applyFill="1" applyBorder="1"/>
    <xf numFmtId="0" fontId="17" fillId="4" borderId="1" xfId="0" applyFont="1" applyFill="1" applyBorder="1" applyAlignment="1">
      <alignment wrapText="1"/>
    </xf>
    <xf numFmtId="0" fontId="17" fillId="20" borderId="1" xfId="0" applyFont="1" applyFill="1" applyBorder="1" applyAlignment="1">
      <alignment wrapText="1"/>
    </xf>
    <xf numFmtId="4" fontId="17" fillId="20" borderId="1" xfId="0" applyNumberFormat="1" applyFont="1" applyFill="1" applyBorder="1"/>
    <xf numFmtId="4" fontId="17" fillId="14" borderId="1" xfId="0" applyNumberFormat="1" applyFont="1" applyFill="1" applyBorder="1"/>
    <xf numFmtId="0" fontId="36" fillId="0" borderId="0" xfId="0" applyFont="1" applyAlignment="1">
      <alignment wrapText="1"/>
    </xf>
    <xf numFmtId="4" fontId="21" fillId="14" borderId="0" xfId="3" applyNumberFormat="1" applyFont="1" applyFill="1" applyAlignment="1">
      <alignment horizontal="center" vertical="center"/>
    </xf>
    <xf numFmtId="4" fontId="13" fillId="5" borderId="0" xfId="3" applyNumberFormat="1" applyFont="1" applyFill="1" applyAlignment="1">
      <alignment vertical="center"/>
    </xf>
    <xf numFmtId="164" fontId="21" fillId="6" borderId="0" xfId="3" applyNumberFormat="1" applyFont="1" applyFill="1" applyAlignment="1">
      <alignment horizontal="center" vertical="center"/>
    </xf>
    <xf numFmtId="4" fontId="13" fillId="0" borderId="0" xfId="3" applyNumberFormat="1" applyFont="1" applyBorder="1" applyAlignment="1">
      <alignment vertical="center"/>
    </xf>
    <xf numFmtId="4" fontId="13" fillId="9" borderId="0" xfId="3" applyNumberFormat="1" applyFont="1" applyFill="1" applyBorder="1" applyAlignment="1">
      <alignment vertical="center"/>
    </xf>
    <xf numFmtId="4" fontId="13" fillId="14" borderId="0" xfId="3" applyNumberFormat="1" applyFont="1" applyFill="1" applyBorder="1" applyAlignment="1">
      <alignment vertical="center"/>
    </xf>
    <xf numFmtId="4" fontId="13" fillId="13" borderId="0" xfId="3" applyNumberFormat="1" applyFont="1" applyFill="1" applyBorder="1" applyAlignment="1">
      <alignment vertical="center"/>
    </xf>
    <xf numFmtId="4" fontId="13" fillId="12" borderId="0" xfId="3" applyNumberFormat="1" applyFont="1" applyFill="1" applyBorder="1" applyAlignment="1">
      <alignment vertical="center"/>
    </xf>
    <xf numFmtId="4" fontId="13" fillId="6" borderId="0" xfId="3" applyNumberFormat="1" applyFont="1" applyFill="1" applyBorder="1" applyAlignment="1">
      <alignment vertical="center"/>
    </xf>
    <xf numFmtId="4" fontId="13" fillId="0" borderId="1" xfId="3" applyNumberFormat="1" applyFont="1" applyBorder="1" applyAlignment="1">
      <alignment vertical="center"/>
    </xf>
    <xf numFmtId="4" fontId="13" fillId="6" borderId="1" xfId="3" applyNumberFormat="1" applyFont="1" applyFill="1" applyBorder="1" applyAlignment="1">
      <alignment vertical="center"/>
    </xf>
    <xf numFmtId="4" fontId="24" fillId="0" borderId="0" xfId="0" applyNumberFormat="1" applyFont="1" applyFill="1" applyAlignment="1">
      <alignment horizontal="left" vertical="center"/>
    </xf>
    <xf numFmtId="4" fontId="17" fillId="0" borderId="0" xfId="0" applyNumberFormat="1" applyFont="1" applyFill="1"/>
    <xf numFmtId="49" fontId="17" fillId="3" borderId="0" xfId="0" applyNumberFormat="1" applyFont="1" applyFill="1"/>
    <xf numFmtId="4" fontId="17" fillId="11" borderId="0" xfId="0" applyNumberFormat="1" applyFont="1" applyFill="1"/>
    <xf numFmtId="4" fontId="48" fillId="4" borderId="0" xfId="4" applyNumberFormat="1" applyFont="1" applyFill="1" applyAlignment="1">
      <alignment vertical="center"/>
    </xf>
    <xf numFmtId="4" fontId="48" fillId="0" borderId="0" xfId="4" applyNumberFormat="1" applyFont="1" applyFill="1" applyAlignment="1">
      <alignment vertical="center"/>
    </xf>
    <xf numFmtId="49" fontId="17" fillId="12" borderId="0" xfId="0" applyNumberFormat="1" applyFont="1" applyFill="1"/>
    <xf numFmtId="4" fontId="48" fillId="12" borderId="0" xfId="4" applyNumberFormat="1" applyFont="1" applyFill="1" applyAlignment="1">
      <alignment vertical="center"/>
    </xf>
    <xf numFmtId="0" fontId="17" fillId="0" borderId="0" xfId="0" applyFont="1" applyFill="1"/>
    <xf numFmtId="0" fontId="17" fillId="11" borderId="0" xfId="0" applyFont="1" applyFill="1"/>
    <xf numFmtId="49" fontId="17" fillId="24" borderId="0" xfId="0" applyNumberFormat="1" applyFont="1" applyFill="1"/>
    <xf numFmtId="4" fontId="48" fillId="14" borderId="0" xfId="4" applyNumberFormat="1" applyFont="1" applyFill="1" applyAlignment="1">
      <alignment vertical="center"/>
    </xf>
    <xf numFmtId="4" fontId="13" fillId="7" borderId="2" xfId="3" applyNumberFormat="1" applyFont="1" applyFill="1" applyBorder="1" applyAlignment="1">
      <alignment vertical="center"/>
    </xf>
    <xf numFmtId="4" fontId="48" fillId="11" borderId="0" xfId="4" applyNumberFormat="1" applyFont="1" applyFill="1" applyAlignment="1">
      <alignment vertical="center"/>
    </xf>
    <xf numFmtId="4" fontId="13" fillId="4" borderId="0" xfId="3" applyNumberFormat="1" applyFont="1" applyFill="1" applyAlignment="1">
      <alignment vertical="center"/>
    </xf>
    <xf numFmtId="0" fontId="17" fillId="7" borderId="1" xfId="0" applyFont="1" applyFill="1" applyBorder="1"/>
    <xf numFmtId="4" fontId="13" fillId="7" borderId="0" xfId="3" applyNumberFormat="1" applyFont="1" applyFill="1" applyAlignment="1">
      <alignment vertical="center"/>
    </xf>
    <xf numFmtId="4" fontId="13" fillId="4" borderId="0" xfId="3" applyNumberFormat="1" applyFont="1" applyFill="1" applyBorder="1" applyAlignment="1">
      <alignment vertical="center"/>
    </xf>
    <xf numFmtId="4" fontId="13" fillId="12" borderId="0" xfId="4" applyNumberFormat="1" applyFont="1" applyFill="1" applyAlignment="1">
      <alignment vertical="center"/>
    </xf>
    <xf numFmtId="4" fontId="13" fillId="0" borderId="0" xfId="3" applyNumberFormat="1" applyFont="1" applyAlignment="1">
      <alignment horizontal="right" vertical="center"/>
    </xf>
    <xf numFmtId="4" fontId="13" fillId="0" borderId="0" xfId="8" applyNumberFormat="1" applyFont="1" applyFill="1" applyBorder="1"/>
    <xf numFmtId="4" fontId="11" fillId="0" borderId="0" xfId="0" applyNumberFormat="1" applyFont="1" applyFill="1" applyAlignment="1">
      <alignment horizontal="justify" vertical="center"/>
    </xf>
    <xf numFmtId="4" fontId="13" fillId="6" borderId="0" xfId="6" applyNumberFormat="1" applyFont="1" applyFill="1" applyBorder="1" applyAlignment="1">
      <alignment vertical="center"/>
    </xf>
    <xf numFmtId="4" fontId="13" fillId="0" borderId="0" xfId="6" applyNumberFormat="1" applyFont="1" applyFill="1" applyBorder="1" applyAlignment="1">
      <alignment vertical="center"/>
    </xf>
    <xf numFmtId="4" fontId="13" fillId="25" borderId="0" xfId="3" applyNumberFormat="1" applyFont="1" applyFill="1" applyBorder="1" applyAlignment="1">
      <alignment vertical="center"/>
    </xf>
    <xf numFmtId="4" fontId="17" fillId="21" borderId="1" xfId="0" applyNumberFormat="1" applyFont="1" applyFill="1" applyBorder="1"/>
    <xf numFmtId="4" fontId="13" fillId="21" borderId="0" xfId="3" applyNumberFormat="1" applyFont="1" applyFill="1" applyAlignment="1">
      <alignment vertical="center"/>
    </xf>
    <xf numFmtId="4" fontId="17" fillId="9" borderId="1" xfId="0" applyNumberFormat="1" applyFont="1" applyFill="1" applyBorder="1"/>
    <xf numFmtId="4" fontId="13" fillId="4" borderId="1" xfId="8" applyNumberFormat="1" applyFont="1" applyFill="1" applyBorder="1"/>
    <xf numFmtId="4" fontId="13" fillId="0" borderId="1" xfId="8" applyNumberFormat="1" applyFont="1" applyFill="1" applyBorder="1"/>
    <xf numFmtId="4" fontId="17" fillId="25" borderId="1" xfId="0" applyNumberFormat="1" applyFont="1" applyFill="1" applyBorder="1"/>
    <xf numFmtId="4" fontId="17" fillId="26" borderId="1" xfId="0" applyNumberFormat="1" applyFont="1" applyFill="1" applyBorder="1"/>
    <xf numFmtId="4" fontId="17" fillId="0" borderId="1" xfId="0" applyNumberFormat="1" applyFont="1" applyFill="1" applyBorder="1"/>
    <xf numFmtId="4" fontId="17" fillId="6" borderId="1" xfId="0" applyNumberFormat="1" applyFont="1" applyFill="1" applyBorder="1"/>
    <xf numFmtId="0" fontId="17" fillId="21" borderId="1" xfId="0" applyFont="1" applyFill="1" applyBorder="1" applyAlignment="1">
      <alignment wrapText="1"/>
    </xf>
    <xf numFmtId="4" fontId="21" fillId="7" borderId="1" xfId="3" applyNumberFormat="1" applyFont="1" applyFill="1" applyBorder="1" applyAlignment="1">
      <alignment vertical="center"/>
    </xf>
    <xf numFmtId="4" fontId="13" fillId="4" borderId="1" xfId="3" applyNumberFormat="1" applyFont="1" applyFill="1" applyBorder="1" applyAlignment="1">
      <alignment vertical="center"/>
    </xf>
    <xf numFmtId="4" fontId="13" fillId="0" borderId="1" xfId="3" applyNumberFormat="1" applyFont="1" applyFill="1" applyBorder="1" applyAlignment="1">
      <alignment vertical="center"/>
    </xf>
    <xf numFmtId="4" fontId="13" fillId="9" borderId="1" xfId="3" applyNumberFormat="1" applyFont="1" applyFill="1" applyBorder="1" applyAlignment="1">
      <alignment vertical="center"/>
    </xf>
    <xf numFmtId="4" fontId="13" fillId="13" borderId="1" xfId="3" applyNumberFormat="1" applyFont="1" applyFill="1" applyBorder="1" applyAlignment="1">
      <alignment vertical="center"/>
    </xf>
    <xf numFmtId="4" fontId="17" fillId="25" borderId="11" xfId="0" applyNumberFormat="1" applyFont="1" applyFill="1" applyBorder="1"/>
    <xf numFmtId="4" fontId="13" fillId="25" borderId="1" xfId="3" applyNumberFormat="1" applyFont="1" applyFill="1" applyBorder="1" applyAlignment="1">
      <alignment vertical="center"/>
    </xf>
    <xf numFmtId="0" fontId="17" fillId="14" borderId="1" xfId="0" applyFont="1" applyFill="1" applyBorder="1" applyAlignment="1">
      <alignment wrapText="1"/>
    </xf>
    <xf numFmtId="4" fontId="13" fillId="6" borderId="1" xfId="6" applyNumberFormat="1" applyFont="1" applyFill="1" applyBorder="1" applyAlignment="1">
      <alignment vertical="center"/>
    </xf>
    <xf numFmtId="4" fontId="13" fillId="0" borderId="1" xfId="6" applyNumberFormat="1" applyFont="1" applyFill="1" applyBorder="1" applyAlignment="1">
      <alignment vertical="center"/>
    </xf>
    <xf numFmtId="4" fontId="13" fillId="14" borderId="0" xfId="6" applyNumberFormat="1" applyFont="1" applyFill="1" applyBorder="1" applyAlignment="1">
      <alignment vertical="center"/>
    </xf>
    <xf numFmtId="0" fontId="17" fillId="6" borderId="1" xfId="0" applyFont="1" applyFill="1" applyBorder="1" applyAlignment="1">
      <alignment wrapText="1"/>
    </xf>
    <xf numFmtId="4" fontId="21" fillId="0" borderId="0" xfId="3" applyNumberFormat="1" applyFont="1" applyFill="1" applyAlignment="1">
      <alignment horizontal="center" vertical="center"/>
    </xf>
    <xf numFmtId="164" fontId="21" fillId="0" borderId="0" xfId="3" applyNumberFormat="1" applyFont="1" applyFill="1" applyAlignment="1">
      <alignment horizontal="center" vertical="center"/>
    </xf>
    <xf numFmtId="4" fontId="13" fillId="0" borderId="0" xfId="3" applyNumberFormat="1" applyFont="1" applyFill="1" applyAlignment="1">
      <alignment horizontal="right" vertical="center"/>
    </xf>
    <xf numFmtId="4" fontId="17" fillId="0" borderId="0" xfId="0" applyNumberFormat="1" applyFont="1" applyFill="1" applyBorder="1"/>
    <xf numFmtId="4" fontId="21" fillId="0" borderId="1" xfId="3" applyNumberFormat="1" applyFont="1" applyFill="1" applyBorder="1" applyAlignment="1">
      <alignment vertical="center"/>
    </xf>
    <xf numFmtId="4" fontId="21" fillId="0" borderId="11" xfId="3" applyNumberFormat="1" applyFont="1" applyFill="1" applyBorder="1" applyAlignment="1">
      <alignment vertical="center"/>
    </xf>
    <xf numFmtId="164" fontId="21" fillId="7" borderId="0" xfId="3" applyNumberFormat="1" applyFont="1" applyFill="1" applyAlignment="1">
      <alignment horizontal="center" vertical="center"/>
    </xf>
    <xf numFmtId="4" fontId="17" fillId="19" borderId="1" xfId="0" applyNumberFormat="1" applyFont="1" applyFill="1" applyBorder="1"/>
    <xf numFmtId="4" fontId="13" fillId="27" borderId="1" xfId="3" applyNumberFormat="1" applyFont="1" applyFill="1" applyBorder="1" applyAlignment="1">
      <alignment vertical="center"/>
    </xf>
    <xf numFmtId="4" fontId="13" fillId="12" borderId="0" xfId="3" applyNumberFormat="1" applyFont="1" applyFill="1" applyAlignment="1">
      <alignment vertical="center"/>
    </xf>
    <xf numFmtId="4" fontId="17" fillId="14" borderId="0" xfId="0" applyNumberFormat="1" applyFont="1" applyFill="1" applyBorder="1"/>
    <xf numFmtId="4" fontId="21" fillId="14" borderId="1" xfId="3" applyNumberFormat="1" applyFont="1" applyFill="1" applyBorder="1" applyAlignment="1">
      <alignment horizontal="center" vertical="center"/>
    </xf>
    <xf numFmtId="4" fontId="17" fillId="14" borderId="0" xfId="0" applyNumberFormat="1" applyFont="1" applyFill="1" applyBorder="1" applyAlignment="1">
      <alignment horizontal="right"/>
    </xf>
    <xf numFmtId="0" fontId="0" fillId="20" borderId="0" xfId="0" applyFill="1"/>
    <xf numFmtId="4" fontId="0" fillId="20" borderId="0" xfId="0" applyNumberFormat="1" applyFill="1"/>
    <xf numFmtId="0" fontId="35" fillId="14" borderId="0" xfId="0" applyFont="1" applyFill="1"/>
    <xf numFmtId="0" fontId="36" fillId="14" borderId="0" xfId="0" applyFont="1" applyFill="1"/>
    <xf numFmtId="0" fontId="0" fillId="0" borderId="1" xfId="0" applyBorder="1"/>
    <xf numFmtId="4" fontId="0" fillId="0" borderId="1" xfId="0" applyNumberFormat="1" applyBorder="1"/>
    <xf numFmtId="0" fontId="0" fillId="21" borderId="1" xfId="0" applyFill="1" applyBorder="1"/>
    <xf numFmtId="4" fontId="0" fillId="21" borderId="1" xfId="0" applyNumberFormat="1" applyFill="1" applyBorder="1"/>
    <xf numFmtId="4" fontId="0" fillId="14" borderId="1" xfId="0" applyNumberFormat="1" applyFill="1" applyBorder="1"/>
    <xf numFmtId="0" fontId="0" fillId="27" borderId="1" xfId="0" applyFill="1" applyBorder="1"/>
    <xf numFmtId="0" fontId="0" fillId="0" borderId="1" xfId="0" applyFill="1" applyBorder="1"/>
    <xf numFmtId="4" fontId="0" fillId="0" borderId="1" xfId="0" applyNumberFormat="1" applyFill="1" applyBorder="1"/>
    <xf numFmtId="4" fontId="0" fillId="27" borderId="1" xfId="0" applyNumberFormat="1" applyFill="1" applyBorder="1"/>
    <xf numFmtId="4" fontId="0" fillId="0" borderId="1" xfId="0" applyNumberFormat="1" applyBorder="1" applyAlignment="1">
      <alignment horizontal="center"/>
    </xf>
    <xf numFmtId="0" fontId="0" fillId="0" borderId="0" xfId="0" applyAlignment="1">
      <alignment wrapText="1"/>
    </xf>
    <xf numFmtId="0" fontId="36" fillId="14" borderId="0" xfId="0" applyFont="1" applyFill="1" applyAlignment="1">
      <alignment horizontal="center" wrapText="1"/>
    </xf>
    <xf numFmtId="0" fontId="0" fillId="0" borderId="1" xfId="0" applyBorder="1" applyAlignment="1">
      <alignment wrapText="1"/>
    </xf>
    <xf numFmtId="0" fontId="0" fillId="6" borderId="1" xfId="0" applyFill="1" applyBorder="1" applyAlignment="1">
      <alignment wrapText="1"/>
    </xf>
    <xf numFmtId="4" fontId="0" fillId="6" borderId="1" xfId="0" applyNumberFormat="1" applyFill="1" applyBorder="1"/>
    <xf numFmtId="4" fontId="50" fillId="14" borderId="0" xfId="0" applyNumberFormat="1" applyFont="1" applyFill="1"/>
    <xf numFmtId="0" fontId="0" fillId="0" borderId="0" xfId="0" applyAlignment="1">
      <alignment horizontal="center"/>
    </xf>
    <xf numFmtId="0" fontId="0" fillId="28" borderId="1" xfId="0" applyFill="1" applyBorder="1"/>
    <xf numFmtId="4" fontId="0" fillId="28" borderId="1" xfId="0" applyNumberFormat="1" applyFill="1" applyBorder="1"/>
    <xf numFmtId="0" fontId="0" fillId="29" borderId="1" xfId="0" applyFill="1" applyBorder="1"/>
    <xf numFmtId="4" fontId="0" fillId="29" borderId="1" xfId="0" applyNumberFormat="1" applyFill="1" applyBorder="1"/>
    <xf numFmtId="49" fontId="0" fillId="0" borderId="1" xfId="0" applyNumberFormat="1" applyBorder="1" applyAlignment="1">
      <alignment horizontal="center"/>
    </xf>
    <xf numFmtId="49" fontId="0" fillId="21" borderId="1" xfId="0" applyNumberFormat="1" applyFill="1" applyBorder="1" applyAlignment="1">
      <alignment horizontal="center"/>
    </xf>
    <xf numFmtId="49" fontId="0" fillId="27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4" fontId="0" fillId="0" borderId="1" xfId="0" applyNumberFormat="1" applyBorder="1" applyAlignment="1">
      <alignment horizontal="right"/>
    </xf>
    <xf numFmtId="4" fontId="0" fillId="14" borderId="0" xfId="0" applyNumberFormat="1" applyFill="1" applyAlignment="1">
      <alignment vertical="center"/>
    </xf>
    <xf numFmtId="0" fontId="0" fillId="29" borderId="0" xfId="0" applyFill="1"/>
    <xf numFmtId="4" fontId="0" fillId="29" borderId="0" xfId="0" applyNumberFormat="1" applyFill="1"/>
    <xf numFmtId="0" fontId="0" fillId="19" borderId="0" xfId="0" applyFill="1" applyAlignment="1">
      <alignment horizontal="right"/>
    </xf>
    <xf numFmtId="0" fontId="0" fillId="0" borderId="0" xfId="0" applyFill="1"/>
    <xf numFmtId="4" fontId="0" fillId="22" borderId="0" xfId="0" applyNumberFormat="1" applyFill="1"/>
    <xf numFmtId="0" fontId="0" fillId="0" borderId="0" xfId="0" applyAlignment="1">
      <alignment horizontal="center" vertical="center" wrapText="1"/>
    </xf>
    <xf numFmtId="0" fontId="35" fillId="14" borderId="0" xfId="0" applyFont="1" applyFill="1" applyAlignment="1">
      <alignment vertical="center"/>
    </xf>
    <xf numFmtId="4" fontId="0" fillId="0" borderId="0" xfId="0" applyNumberFormat="1" applyAlignment="1">
      <alignment vertical="center"/>
    </xf>
    <xf numFmtId="4" fontId="0" fillId="22" borderId="1" xfId="0" applyNumberFormat="1" applyFill="1" applyBorder="1"/>
    <xf numFmtId="0" fontId="0" fillId="0" borderId="9" xfId="0" applyBorder="1"/>
    <xf numFmtId="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4" fontId="0" fillId="0" borderId="1" xfId="0" applyNumberFormat="1" applyBorder="1" applyAlignment="1">
      <alignment vertical="center"/>
    </xf>
    <xf numFmtId="4" fontId="0" fillId="22" borderId="1" xfId="0" applyNumberFormat="1" applyFill="1" applyBorder="1" applyAlignment="1">
      <alignment vertical="center"/>
    </xf>
    <xf numFmtId="0" fontId="0" fillId="19" borderId="1" xfId="0" applyFill="1" applyBorder="1" applyAlignment="1">
      <alignment vertical="center"/>
    </xf>
    <xf numFmtId="4" fontId="0" fillId="19" borderId="1" xfId="0" applyNumberFormat="1" applyFill="1" applyBorder="1" applyAlignment="1">
      <alignment vertical="center"/>
    </xf>
    <xf numFmtId="4" fontId="51" fillId="0" borderId="0" xfId="0" applyNumberFormat="1" applyFont="1"/>
    <xf numFmtId="49" fontId="51" fillId="0" borderId="0" xfId="0" applyNumberFormat="1" applyFont="1" applyAlignment="1">
      <alignment horizontal="center"/>
    </xf>
    <xf numFmtId="0" fontId="51" fillId="0" borderId="0" xfId="0" applyFont="1" applyAlignment="1">
      <alignment horizontal="center"/>
    </xf>
    <xf numFmtId="49" fontId="51" fillId="0" borderId="1" xfId="0" applyNumberFormat="1" applyFont="1" applyBorder="1" applyAlignment="1">
      <alignment horizontal="center"/>
    </xf>
    <xf numFmtId="4" fontId="0" fillId="0" borderId="0" xfId="0" applyNumberFormat="1" applyFill="1" applyAlignment="1">
      <alignment horizontal="right" vertical="top"/>
    </xf>
    <xf numFmtId="0" fontId="0" fillId="0" borderId="0" xfId="0" applyFill="1" applyAlignment="1">
      <alignment vertical="top"/>
    </xf>
    <xf numFmtId="14" fontId="0" fillId="0" borderId="0" xfId="0" applyNumberFormat="1" applyFill="1" applyAlignment="1">
      <alignment horizontal="right" vertical="top"/>
    </xf>
    <xf numFmtId="0" fontId="52" fillId="0" borderId="0" xfId="0" applyFont="1" applyAlignment="1">
      <alignment horizontal="center" vertical="center"/>
    </xf>
    <xf numFmtId="0" fontId="51" fillId="7" borderId="0" xfId="0" applyFont="1" applyFill="1" applyAlignment="1">
      <alignment horizontal="center"/>
    </xf>
    <xf numFmtId="0" fontId="0" fillId="0" borderId="0" xfId="0" applyFill="1" applyBorder="1"/>
    <xf numFmtId="4" fontId="13" fillId="0" borderId="0" xfId="4" applyNumberFormat="1" applyFont="1" applyFill="1" applyBorder="1" applyAlignment="1">
      <alignment vertical="center"/>
    </xf>
    <xf numFmtId="0" fontId="0" fillId="0" borderId="0" xfId="0" applyFill="1" applyAlignment="1">
      <alignment horizontal="left"/>
    </xf>
    <xf numFmtId="14" fontId="0" fillId="0" borderId="0" xfId="0" applyNumberFormat="1" applyFill="1" applyAlignment="1">
      <alignment horizontal="left" vertical="top"/>
    </xf>
    <xf numFmtId="4" fontId="0" fillId="14" borderId="0" xfId="0" applyNumberFormat="1" applyFill="1" applyAlignment="1">
      <alignment horizontal="right" vertical="top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1" xfId="0" applyNumberFormat="1" applyBorder="1" applyAlignment="1">
      <alignment vertical="center" wrapText="1"/>
    </xf>
    <xf numFmtId="0" fontId="13" fillId="14" borderId="2" xfId="4" applyFont="1" applyFill="1" applyBorder="1" applyAlignment="1">
      <alignment vertical="center" wrapText="1"/>
    </xf>
    <xf numFmtId="4" fontId="13" fillId="14" borderId="0" xfId="4" applyNumberFormat="1" applyFont="1" applyFill="1" applyBorder="1" applyAlignment="1">
      <alignment vertical="center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5" borderId="0" xfId="0" applyFill="1"/>
    <xf numFmtId="0" fontId="0" fillId="30" borderId="1" xfId="0" applyFill="1" applyBorder="1"/>
    <xf numFmtId="49" fontId="51" fillId="30" borderId="1" xfId="0" applyNumberFormat="1" applyFont="1" applyFill="1" applyBorder="1" applyAlignment="1">
      <alignment horizontal="center"/>
    </xf>
    <xf numFmtId="4" fontId="52" fillId="0" borderId="0" xfId="0" applyNumberFormat="1" applyFont="1"/>
    <xf numFmtId="14" fontId="50" fillId="14" borderId="0" xfId="0" applyNumberFormat="1" applyFont="1" applyFill="1" applyAlignment="1">
      <alignment horizontal="center" vertical="center"/>
    </xf>
    <xf numFmtId="4" fontId="13" fillId="7" borderId="0" xfId="4" applyNumberFormat="1" applyFont="1" applyFill="1" applyAlignment="1">
      <alignment vertical="center"/>
    </xf>
    <xf numFmtId="14" fontId="45" fillId="14" borderId="0" xfId="0" applyNumberFormat="1" applyFont="1" applyFill="1" applyAlignment="1">
      <alignment horizontal="center"/>
    </xf>
    <xf numFmtId="0" fontId="13" fillId="7" borderId="0" xfId="3" quotePrefix="1" applyFont="1" applyFill="1" applyBorder="1" applyAlignment="1">
      <alignment vertical="center" wrapText="1"/>
    </xf>
    <xf numFmtId="0" fontId="13" fillId="7" borderId="2" xfId="3" quotePrefix="1" applyFont="1" applyFill="1" applyBorder="1" applyAlignment="1">
      <alignment vertical="center" wrapText="1"/>
    </xf>
    <xf numFmtId="0" fontId="13" fillId="0" borderId="2" xfId="3" applyFont="1" applyFill="1" applyBorder="1" applyAlignment="1">
      <alignment vertical="center" wrapText="1"/>
    </xf>
    <xf numFmtId="14" fontId="21" fillId="0" borderId="0" xfId="4" applyNumberFormat="1" applyFont="1" applyFill="1" applyAlignment="1">
      <alignment horizontal="center" vertical="center"/>
    </xf>
    <xf numFmtId="14" fontId="21" fillId="14" borderId="0" xfId="4" applyNumberFormat="1" applyFont="1" applyFill="1" applyAlignment="1">
      <alignment horizontal="center" vertical="center"/>
    </xf>
    <xf numFmtId="4" fontId="17" fillId="4" borderId="0" xfId="0" applyNumberFormat="1" applyFont="1" applyFill="1" applyBorder="1"/>
    <xf numFmtId="4" fontId="59" fillId="14" borderId="0" xfId="0" applyNumberFormat="1" applyFont="1" applyFill="1" applyAlignment="1">
      <alignment vertical="center"/>
    </xf>
    <xf numFmtId="4" fontId="0" fillId="4" borderId="1" xfId="0" applyNumberFormat="1" applyFill="1" applyBorder="1"/>
    <xf numFmtId="14" fontId="50" fillId="14" borderId="0" xfId="0" applyNumberFormat="1" applyFont="1" applyFill="1"/>
    <xf numFmtId="4" fontId="13" fillId="128" borderId="0" xfId="3" applyNumberFormat="1" applyFont="1" applyFill="1" applyAlignment="1">
      <alignment vertical="center"/>
    </xf>
    <xf numFmtId="14" fontId="7" fillId="14" borderId="6" xfId="0" applyNumberFormat="1" applyFont="1" applyFill="1" applyBorder="1" applyAlignment="1">
      <alignment horizontal="center" vertical="center"/>
    </xf>
    <xf numFmtId="219" fontId="50" fillId="14" borderId="0" xfId="0" applyNumberFormat="1" applyFont="1" applyFill="1" applyAlignment="1">
      <alignment horizontal="center" vertical="center"/>
    </xf>
    <xf numFmtId="14" fontId="50" fillId="14" borderId="0" xfId="0" applyNumberFormat="1" applyFont="1" applyFill="1" applyAlignment="1">
      <alignment vertical="center"/>
    </xf>
    <xf numFmtId="4" fontId="0" fillId="12" borderId="0" xfId="0" applyNumberFormat="1" applyFill="1" applyAlignment="1">
      <alignment vertical="center"/>
    </xf>
    <xf numFmtId="0" fontId="17" fillId="25" borderId="1" xfId="0" applyFont="1" applyFill="1" applyBorder="1" applyAlignment="1">
      <alignment wrapText="1"/>
    </xf>
    <xf numFmtId="4" fontId="13" fillId="7" borderId="1" xfId="3" applyNumberFormat="1" applyFont="1" applyFill="1" applyBorder="1" applyAlignment="1">
      <alignment vertical="center"/>
    </xf>
    <xf numFmtId="14" fontId="21" fillId="14" borderId="0" xfId="3" applyNumberFormat="1" applyFont="1" applyFill="1" applyAlignment="1">
      <alignment horizontal="center" vertical="center" wrapText="1"/>
    </xf>
    <xf numFmtId="0" fontId="47" fillId="6" borderId="0" xfId="3" applyFont="1" applyFill="1" applyAlignment="1">
      <alignment horizontal="center" vertical="center" wrapText="1"/>
    </xf>
    <xf numFmtId="0" fontId="13" fillId="0" borderId="0" xfId="3" applyFont="1" applyAlignment="1">
      <alignment horizontal="right" vertical="center" wrapText="1"/>
    </xf>
    <xf numFmtId="0" fontId="13" fillId="9" borderId="1" xfId="3" applyFont="1" applyFill="1" applyBorder="1" applyAlignment="1">
      <alignment vertical="center" wrapText="1"/>
    </xf>
    <xf numFmtId="0" fontId="13" fillId="0" borderId="1" xfId="3" applyFont="1" applyBorder="1" applyAlignment="1">
      <alignment vertical="center" wrapText="1"/>
    </xf>
    <xf numFmtId="0" fontId="13" fillId="27" borderId="1" xfId="3" applyFont="1" applyFill="1" applyBorder="1" applyAlignment="1">
      <alignment vertical="center" wrapText="1"/>
    </xf>
    <xf numFmtId="0" fontId="13" fillId="13" borderId="1" xfId="3" applyFont="1" applyFill="1" applyBorder="1" applyAlignment="1">
      <alignment vertical="center" wrapText="1"/>
    </xf>
    <xf numFmtId="0" fontId="13" fillId="4" borderId="1" xfId="3" applyFont="1" applyFill="1" applyBorder="1" applyAlignment="1">
      <alignment vertical="center" wrapText="1"/>
    </xf>
    <xf numFmtId="0" fontId="13" fillId="0" borderId="1" xfId="3" applyFont="1" applyFill="1" applyBorder="1" applyAlignment="1">
      <alignment vertical="center" wrapText="1"/>
    </xf>
    <xf numFmtId="0" fontId="17" fillId="0" borderId="13" xfId="0" applyFont="1" applyBorder="1" applyAlignment="1">
      <alignment wrapText="1"/>
    </xf>
    <xf numFmtId="0" fontId="17" fillId="9" borderId="1" xfId="0" applyFont="1" applyFill="1" applyBorder="1" applyAlignment="1">
      <alignment wrapText="1"/>
    </xf>
    <xf numFmtId="0" fontId="17" fillId="26" borderId="1" xfId="0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0" fontId="13" fillId="25" borderId="1" xfId="3" applyFont="1" applyFill="1" applyBorder="1" applyAlignment="1">
      <alignment vertical="center" wrapText="1"/>
    </xf>
    <xf numFmtId="0" fontId="21" fillId="7" borderId="1" xfId="3" applyFont="1" applyFill="1" applyBorder="1" applyAlignment="1">
      <alignment vertical="center" wrapText="1"/>
    </xf>
    <xf numFmtId="0" fontId="13" fillId="6" borderId="1" xfId="3" applyFont="1" applyFill="1" applyBorder="1" applyAlignment="1">
      <alignment vertical="center" wrapText="1"/>
    </xf>
    <xf numFmtId="0" fontId="13" fillId="14" borderId="1" xfId="3" applyFont="1" applyFill="1" applyBorder="1" applyAlignment="1">
      <alignment vertical="center" wrapText="1"/>
    </xf>
    <xf numFmtId="0" fontId="11" fillId="0" borderId="0" xfId="0" applyFont="1" applyFill="1" applyAlignment="1">
      <alignment horizontal="justify" vertical="center" wrapText="1"/>
    </xf>
    <xf numFmtId="0" fontId="13" fillId="6" borderId="1" xfId="6" applyFont="1" applyFill="1" applyBorder="1" applyAlignment="1">
      <alignment vertical="center" wrapText="1"/>
    </xf>
    <xf numFmtId="0" fontId="13" fillId="0" borderId="1" xfId="6" applyFont="1" applyFill="1" applyBorder="1" applyAlignment="1">
      <alignment vertical="center" wrapText="1"/>
    </xf>
    <xf numFmtId="0" fontId="13" fillId="14" borderId="1" xfId="6" applyFont="1" applyFill="1" applyBorder="1" applyAlignment="1">
      <alignment vertical="center" wrapText="1"/>
    </xf>
    <xf numFmtId="0" fontId="17" fillId="129" borderId="1" xfId="0" applyFont="1" applyFill="1" applyBorder="1" applyAlignment="1">
      <alignment wrapText="1"/>
    </xf>
    <xf numFmtId="4" fontId="13" fillId="129" borderId="0" xfId="3" applyNumberFormat="1" applyFont="1" applyFill="1" applyBorder="1" applyAlignment="1">
      <alignment vertical="center"/>
    </xf>
    <xf numFmtId="4" fontId="13" fillId="129" borderId="0" xfId="3" applyNumberFormat="1" applyFont="1" applyFill="1" applyAlignment="1">
      <alignment vertical="center"/>
    </xf>
    <xf numFmtId="4" fontId="13" fillId="0" borderId="0" xfId="42994" applyNumberFormat="1" applyFont="1" applyAlignment="1">
      <alignment vertical="center"/>
    </xf>
    <xf numFmtId="14" fontId="21" fillId="0" borderId="1" xfId="4" applyNumberFormat="1" applyFont="1" applyBorder="1" applyAlignment="1">
      <alignment horizontal="center" vertical="center"/>
    </xf>
    <xf numFmtId="14" fontId="45" fillId="20" borderId="0" xfId="0" applyNumberFormat="1" applyFont="1" applyFill="1" applyAlignment="1">
      <alignment horizontal="center"/>
    </xf>
    <xf numFmtId="49" fontId="0" fillId="0" borderId="0" xfId="0" applyNumberFormat="1"/>
    <xf numFmtId="49" fontId="8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49" fontId="11" fillId="0" borderId="0" xfId="0" applyNumberFormat="1" applyFont="1" applyAlignment="1">
      <alignment horizontal="center" vertical="center"/>
    </xf>
    <xf numFmtId="4" fontId="9" fillId="0" borderId="0" xfId="0" applyNumberFormat="1" applyFont="1" applyFill="1" applyAlignment="1">
      <alignment horizontal="right" vertical="center"/>
    </xf>
    <xf numFmtId="4" fontId="11" fillId="0" borderId="0" xfId="0" applyNumberFormat="1" applyFont="1" applyFill="1" applyAlignment="1">
      <alignment horizontal="right" vertical="center"/>
    </xf>
    <xf numFmtId="49" fontId="10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0" fontId="9" fillId="0" borderId="0" xfId="0" applyFont="1" applyAlignment="1">
      <alignment horizontal="left" vertical="center" wrapText="1"/>
    </xf>
    <xf numFmtId="4" fontId="24" fillId="0" borderId="0" xfId="0" applyNumberFormat="1" applyFont="1" applyFill="1" applyAlignment="1">
      <alignment horizontal="right" vertical="center"/>
    </xf>
    <xf numFmtId="4" fontId="14" fillId="0" borderId="0" xfId="0" applyNumberFormat="1" applyFont="1" applyFill="1" applyAlignment="1">
      <alignment horizontal="right" vertical="center"/>
    </xf>
    <xf numFmtId="4" fontId="24" fillId="15" borderId="0" xfId="0" applyNumberFormat="1" applyFont="1" applyFill="1" applyAlignment="1">
      <alignment horizontal="right" vertical="center"/>
    </xf>
    <xf numFmtId="0" fontId="11" fillId="15" borderId="0" xfId="0" applyFont="1" applyFill="1" applyAlignment="1">
      <alignment horizontal="right" vertical="center"/>
    </xf>
    <xf numFmtId="0" fontId="11" fillId="0" borderId="0" xfId="0" applyFont="1" applyFill="1" applyAlignment="1">
      <alignment horizontal="right" vertical="center"/>
    </xf>
    <xf numFmtId="0" fontId="13" fillId="15" borderId="0" xfId="0" applyFont="1" applyFill="1" applyAlignment="1">
      <alignment horizontal="right" vertical="center"/>
    </xf>
    <xf numFmtId="0" fontId="13" fillId="0" borderId="0" xfId="0" applyFont="1" applyFill="1" applyAlignment="1">
      <alignment horizontal="right" vertical="center"/>
    </xf>
    <xf numFmtId="0" fontId="9" fillId="15" borderId="0" xfId="0" applyFont="1" applyFill="1" applyAlignment="1">
      <alignment horizontal="right" vertical="center" wrapText="1"/>
    </xf>
    <xf numFmtId="0" fontId="9" fillId="15" borderId="0" xfId="0" applyFont="1" applyFill="1" applyAlignment="1">
      <alignment horizontal="right" vertical="center"/>
    </xf>
    <xf numFmtId="0" fontId="205" fillId="0" borderId="0" xfId="0" applyFont="1" applyAlignment="1">
      <alignment horizontal="left" vertical="center" wrapText="1"/>
    </xf>
    <xf numFmtId="4" fontId="205" fillId="15" borderId="0" xfId="0" applyNumberFormat="1" applyFont="1" applyFill="1" applyAlignment="1">
      <alignment horizontal="right" vertical="center" wrapText="1"/>
    </xf>
    <xf numFmtId="4" fontId="205" fillId="15" borderId="0" xfId="0" applyNumberFormat="1" applyFont="1" applyFill="1" applyAlignment="1">
      <alignment horizontal="right" vertical="center"/>
    </xf>
    <xf numFmtId="4" fontId="206" fillId="15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/>
    </xf>
    <xf numFmtId="4" fontId="205" fillId="0" borderId="0" xfId="0" applyNumberFormat="1" applyFont="1" applyFill="1" applyAlignment="1">
      <alignment horizontal="right" vertical="center" wrapText="1"/>
    </xf>
    <xf numFmtId="4" fontId="205" fillId="0" borderId="0" xfId="0" applyNumberFormat="1" applyFont="1" applyFill="1" applyAlignment="1">
      <alignment horizontal="right" vertical="center"/>
    </xf>
    <xf numFmtId="4" fontId="206" fillId="0" borderId="0" xfId="0" applyNumberFormat="1" applyFont="1" applyFill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4" fontId="7" fillId="15" borderId="0" xfId="0" applyNumberFormat="1" applyFont="1" applyFill="1" applyAlignment="1">
      <alignment horizontal="right" vertical="center" wrapText="1"/>
    </xf>
    <xf numFmtId="0" fontId="21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 wrapText="1"/>
    </xf>
    <xf numFmtId="4" fontId="7" fillId="0" borderId="0" xfId="0" applyNumberFormat="1" applyFont="1" applyFill="1" applyAlignment="1">
      <alignment horizontal="right" vertical="center" wrapText="1"/>
    </xf>
    <xf numFmtId="0" fontId="11" fillId="0" borderId="0" xfId="0" applyFont="1" applyFill="1" applyAlignment="1">
      <alignment horizontal="left" vertical="center" wrapText="1"/>
    </xf>
    <xf numFmtId="4" fontId="13" fillId="0" borderId="0" xfId="0" applyNumberFormat="1" applyFont="1" applyFill="1" applyAlignment="1">
      <alignment horizontal="right" vertical="center"/>
    </xf>
    <xf numFmtId="0" fontId="21" fillId="0" borderId="0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4" fontId="11" fillId="0" borderId="0" xfId="0" applyNumberFormat="1" applyFont="1" applyFill="1" applyBorder="1" applyAlignment="1">
      <alignment vertical="center" wrapText="1"/>
    </xf>
    <xf numFmtId="4" fontId="15" fillId="0" borderId="0" xfId="0" applyNumberFormat="1" applyFont="1" applyFill="1" applyBorder="1" applyAlignment="1">
      <alignment vertical="center" wrapText="1"/>
    </xf>
    <xf numFmtId="4" fontId="11" fillId="15" borderId="0" xfId="0" applyNumberFormat="1" applyFont="1" applyFill="1" applyAlignment="1">
      <alignment vertical="center" wrapText="1"/>
    </xf>
    <xf numFmtId="4" fontId="15" fillId="15" borderId="0" xfId="0" applyNumberFormat="1" applyFont="1" applyFill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4" fontId="13" fillId="15" borderId="0" xfId="0" applyNumberFormat="1" applyFont="1" applyFill="1" applyAlignment="1">
      <alignment vertical="center" wrapText="1"/>
    </xf>
    <xf numFmtId="4" fontId="13" fillId="0" borderId="0" xfId="0" applyNumberFormat="1" applyFont="1" applyFill="1" applyBorder="1" applyAlignment="1">
      <alignment vertical="center" wrapText="1"/>
    </xf>
    <xf numFmtId="4" fontId="9" fillId="0" borderId="0" xfId="0" applyNumberFormat="1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11" fillId="0" borderId="0" xfId="0" applyFont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0" fontId="13" fillId="0" borderId="0" xfId="0" applyFont="1" applyAlignment="1">
      <alignment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vertical="center" wrapText="1"/>
    </xf>
    <xf numFmtId="4" fontId="13" fillId="0" borderId="0" xfId="0" applyNumberFormat="1" applyFont="1" applyFill="1" applyAlignment="1">
      <alignment vertical="center" wrapText="1"/>
    </xf>
    <xf numFmtId="0" fontId="15" fillId="0" borderId="0" xfId="0" applyFont="1" applyAlignment="1">
      <alignment vertical="center" wrapText="1"/>
    </xf>
    <xf numFmtId="0" fontId="210" fillId="0" borderId="0" xfId="0" applyFont="1" applyAlignment="1">
      <alignment vertical="center" wrapText="1"/>
    </xf>
    <xf numFmtId="0" fontId="210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13" fillId="0" borderId="49" xfId="0" applyFont="1" applyBorder="1" applyAlignment="1">
      <alignment horizontal="left" vertical="center" wrapText="1"/>
    </xf>
    <xf numFmtId="4" fontId="13" fillId="15" borderId="49" xfId="0" applyNumberFormat="1" applyFont="1" applyFill="1" applyBorder="1" applyAlignment="1">
      <alignment horizontal="right" vertical="center"/>
    </xf>
    <xf numFmtId="4" fontId="13" fillId="0" borderId="49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justify" vertical="center"/>
    </xf>
    <xf numFmtId="0" fontId="213" fillId="0" borderId="0" xfId="0" applyFont="1" applyFill="1" applyBorder="1" applyAlignment="1">
      <alignment vertical="center" wrapText="1"/>
    </xf>
    <xf numFmtId="0" fontId="214" fillId="0" borderId="0" xfId="0" applyFont="1" applyFill="1" applyBorder="1" applyAlignment="1">
      <alignment vertical="center" wrapText="1"/>
    </xf>
    <xf numFmtId="0" fontId="213" fillId="0" borderId="0" xfId="0" applyFont="1" applyFill="1" applyAlignment="1">
      <alignment horizontal="left" vertical="center" wrapText="1"/>
    </xf>
    <xf numFmtId="0" fontId="21" fillId="0" borderId="0" xfId="0" applyFont="1" applyBorder="1" applyAlignment="1">
      <alignment vertical="center" wrapText="1"/>
    </xf>
    <xf numFmtId="0" fontId="215" fillId="0" borderId="0" xfId="0" applyFont="1" applyBorder="1" applyAlignment="1">
      <alignment vertical="center" wrapText="1"/>
    </xf>
    <xf numFmtId="0" fontId="209" fillId="0" borderId="0" xfId="0" applyFont="1" applyBorder="1" applyAlignment="1">
      <alignment horizontal="justify" vertical="center" wrapText="1"/>
    </xf>
    <xf numFmtId="4" fontId="11" fillId="0" borderId="0" xfId="0" applyNumberFormat="1" applyFont="1" applyBorder="1" applyAlignment="1">
      <alignment vertical="center" wrapText="1"/>
    </xf>
    <xf numFmtId="4" fontId="213" fillId="15" borderId="0" xfId="0" applyNumberFormat="1" applyFont="1" applyFill="1" applyAlignment="1">
      <alignment vertical="center" wrapText="1"/>
    </xf>
    <xf numFmtId="4" fontId="216" fillId="15" borderId="0" xfId="0" applyNumberFormat="1" applyFont="1" applyFill="1" applyAlignment="1">
      <alignment vertical="center" wrapText="1"/>
    </xf>
    <xf numFmtId="4" fontId="213" fillId="0" borderId="0" xfId="0" applyNumberFormat="1" applyFont="1" applyFill="1" applyAlignment="1">
      <alignment vertical="center" wrapText="1"/>
    </xf>
    <xf numFmtId="4" fontId="216" fillId="0" borderId="0" xfId="0" applyNumberFormat="1" applyFont="1" applyFill="1" applyAlignment="1">
      <alignment vertical="center" wrapText="1"/>
    </xf>
    <xf numFmtId="4" fontId="11" fillId="14" borderId="0" xfId="0" applyNumberFormat="1" applyFont="1" applyFill="1" applyAlignment="1">
      <alignment horizontal="right" vertical="center" wrapText="1"/>
    </xf>
    <xf numFmtId="0" fontId="217" fillId="15" borderId="0" xfId="0" applyFont="1" applyFill="1" applyAlignment="1">
      <alignment horizontal="left" vertical="center" wrapText="1"/>
    </xf>
    <xf numFmtId="0" fontId="217" fillId="15" borderId="0" xfId="0" applyFont="1" applyFill="1" applyAlignment="1">
      <alignment horizontal="right" vertical="center" wrapText="1"/>
    </xf>
    <xf numFmtId="4" fontId="217" fillId="15" borderId="0" xfId="0" applyNumberFormat="1" applyFont="1" applyFill="1" applyAlignment="1">
      <alignment horizontal="right" vertical="center" wrapText="1"/>
    </xf>
    <xf numFmtId="4" fontId="215" fillId="15" borderId="0" xfId="0" applyNumberFormat="1" applyFont="1" applyFill="1" applyAlignment="1">
      <alignment horizontal="right" vertical="center" wrapText="1"/>
    </xf>
    <xf numFmtId="0" fontId="217" fillId="0" borderId="0" xfId="0" applyFont="1" applyFill="1" applyAlignment="1">
      <alignment horizontal="left" vertical="center" wrapText="1"/>
    </xf>
    <xf numFmtId="0" fontId="217" fillId="0" borderId="0" xfId="0" applyFont="1" applyFill="1" applyAlignment="1">
      <alignment horizontal="right" vertical="center" wrapText="1"/>
    </xf>
    <xf numFmtId="4" fontId="217" fillId="0" borderId="0" xfId="0" applyNumberFormat="1" applyFont="1" applyFill="1" applyAlignment="1">
      <alignment horizontal="right" vertical="center" wrapText="1"/>
    </xf>
    <xf numFmtId="4" fontId="215" fillId="0" borderId="0" xfId="0" applyNumberFormat="1" applyFont="1" applyFill="1" applyAlignment="1">
      <alignment horizontal="right" vertic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4" fontId="217" fillId="15" borderId="0" xfId="0" applyNumberFormat="1" applyFont="1" applyFill="1" applyAlignment="1">
      <alignment horizontal="right" vertical="center"/>
    </xf>
    <xf numFmtId="4" fontId="217" fillId="0" borderId="0" xfId="0" applyNumberFormat="1" applyFont="1" applyFill="1" applyAlignment="1">
      <alignment horizontal="right" vertical="center"/>
    </xf>
    <xf numFmtId="0" fontId="24" fillId="0" borderId="0" xfId="0" applyFont="1" applyAlignment="1">
      <alignment horizontal="left" vertical="center"/>
    </xf>
    <xf numFmtId="10" fontId="13" fillId="15" borderId="0" xfId="0" applyNumberFormat="1" applyFont="1" applyFill="1" applyAlignment="1">
      <alignment horizontal="right" vertical="center"/>
    </xf>
    <xf numFmtId="10" fontId="13" fillId="0" borderId="0" xfId="0" applyNumberFormat="1" applyFont="1" applyFill="1" applyAlignment="1">
      <alignment horizontal="right" vertical="center"/>
    </xf>
    <xf numFmtId="0" fontId="24" fillId="0" borderId="0" xfId="0" applyFont="1" applyAlignment="1">
      <alignment horizontal="left" vertical="center" wrapText="1"/>
    </xf>
    <xf numFmtId="4" fontId="24" fillId="15" borderId="0" xfId="0" applyNumberFormat="1" applyFont="1" applyFill="1" applyAlignment="1">
      <alignment horizontal="right" vertical="center" wrapText="1"/>
    </xf>
    <xf numFmtId="0" fontId="24" fillId="0" borderId="0" xfId="0" applyFont="1" applyFill="1" applyAlignment="1">
      <alignment horizontal="left" vertical="center" wrapText="1"/>
    </xf>
    <xf numFmtId="4" fontId="24" fillId="0" borderId="0" xfId="0" applyNumberFormat="1" applyFont="1" applyFill="1" applyAlignment="1">
      <alignment horizontal="right" vertical="center" wrapText="1"/>
    </xf>
    <xf numFmtId="0" fontId="12" fillId="0" borderId="0" xfId="0" applyFont="1" applyAlignment="1">
      <alignment horizontal="left" vertical="center" wrapText="1"/>
    </xf>
    <xf numFmtId="4" fontId="220" fillId="15" borderId="0" xfId="0" applyNumberFormat="1" applyFont="1" applyFill="1" applyAlignment="1">
      <alignment horizontal="right" vertical="center" wrapText="1"/>
    </xf>
    <xf numFmtId="4" fontId="220" fillId="0" borderId="0" xfId="0" applyNumberFormat="1" applyFont="1" applyFill="1" applyAlignment="1">
      <alignment horizontal="right" vertical="center" wrapText="1"/>
    </xf>
    <xf numFmtId="0" fontId="13" fillId="15" borderId="0" xfId="0" applyFont="1" applyFill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justify" vertical="center"/>
    </xf>
    <xf numFmtId="4" fontId="21" fillId="15" borderId="0" xfId="0" applyNumberFormat="1" applyFont="1" applyFill="1" applyAlignment="1">
      <alignment horizontal="right" vertical="center" wrapText="1"/>
    </xf>
    <xf numFmtId="0" fontId="212" fillId="0" borderId="0" xfId="0" applyFont="1" applyAlignment="1">
      <alignment horizontal="left" vertical="center" wrapText="1"/>
    </xf>
    <xf numFmtId="4" fontId="21" fillId="0" borderId="0" xfId="0" applyNumberFormat="1" applyFont="1" applyFill="1" applyAlignment="1">
      <alignment horizontal="right" vertical="center" wrapText="1"/>
    </xf>
    <xf numFmtId="0" fontId="212" fillId="0" borderId="0" xfId="0" applyFont="1" applyFill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 wrapText="1"/>
    </xf>
    <xf numFmtId="4" fontId="13" fillId="23" borderId="0" xfId="0" applyNumberFormat="1" applyFont="1" applyFill="1" applyAlignment="1">
      <alignment horizontal="right" vertical="center" wrapText="1"/>
    </xf>
    <xf numFmtId="0" fontId="21" fillId="0" borderId="0" xfId="0" applyFont="1" applyFill="1" applyAlignment="1">
      <alignment vertical="center" wrapText="1"/>
    </xf>
    <xf numFmtId="165" fontId="17" fillId="0" borderId="0" xfId="0" applyNumberFormat="1" applyFont="1"/>
    <xf numFmtId="4" fontId="24" fillId="0" borderId="0" xfId="0" applyNumberFormat="1" applyFont="1" applyFill="1" applyAlignment="1">
      <alignment vertical="center"/>
    </xf>
    <xf numFmtId="4" fontId="13" fillId="5" borderId="0" xfId="4" applyNumberFormat="1" applyFont="1" applyFill="1" applyAlignment="1">
      <alignment vertical="center"/>
    </xf>
    <xf numFmtId="4" fontId="13" fillId="19" borderId="0" xfId="4" applyNumberFormat="1" applyFont="1" applyFill="1" applyAlignment="1">
      <alignment vertical="center"/>
    </xf>
    <xf numFmtId="4" fontId="9" fillId="14" borderId="0" xfId="0" applyNumberFormat="1" applyFont="1" applyFill="1" applyAlignment="1">
      <alignment horizontal="right" vertical="center" wrapText="1"/>
    </xf>
    <xf numFmtId="14" fontId="7" fillId="5" borderId="4" xfId="0" applyNumberFormat="1" applyFont="1" applyFill="1" applyBorder="1" applyAlignment="1">
      <alignment horizontal="center" vertical="center" wrapText="1"/>
    </xf>
    <xf numFmtId="14" fontId="9" fillId="14" borderId="8" xfId="0" applyNumberFormat="1" applyFont="1" applyFill="1" applyBorder="1" applyAlignment="1">
      <alignment horizontal="left" vertical="center"/>
    </xf>
    <xf numFmtId="4" fontId="48" fillId="12" borderId="0" xfId="10" applyNumberFormat="1" applyFont="1" applyFill="1" applyAlignment="1">
      <alignment vertical="center"/>
    </xf>
    <xf numFmtId="0" fontId="13" fillId="22" borderId="2" xfId="10" applyFont="1" applyFill="1" applyBorder="1" applyAlignment="1">
      <alignment vertical="center" wrapText="1"/>
    </xf>
    <xf numFmtId="4" fontId="13" fillId="22" borderId="0" xfId="10" applyNumberFormat="1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3" fillId="106" borderId="1" xfId="33392" applyFill="1" applyBorder="1" applyAlignment="1">
      <alignment vertical="top"/>
    </xf>
    <xf numFmtId="0" fontId="3" fillId="106" borderId="1" xfId="33392" applyFill="1" applyBorder="1" applyAlignment="1">
      <alignment vertical="top" wrapText="1"/>
    </xf>
    <xf numFmtId="4" fontId="3" fillId="14" borderId="1" xfId="33392" applyNumberFormat="1" applyFill="1" applyBorder="1" applyAlignment="1">
      <alignment vertical="top" wrapText="1"/>
    </xf>
    <xf numFmtId="0" fontId="3" fillId="14" borderId="1" xfId="33392" applyFill="1" applyBorder="1" applyAlignment="1">
      <alignment vertical="top" wrapText="1"/>
    </xf>
    <xf numFmtId="0" fontId="3" fillId="14" borderId="1" xfId="33392" applyFont="1" applyFill="1" applyBorder="1" applyAlignment="1">
      <alignment vertical="top" wrapText="1"/>
    </xf>
    <xf numFmtId="0" fontId="3" fillId="0" borderId="0" xfId="33392" applyAlignment="1">
      <alignment vertical="center"/>
    </xf>
    <xf numFmtId="0" fontId="48" fillId="0" borderId="0" xfId="33392" applyFont="1" applyAlignment="1">
      <alignment vertical="center" wrapText="1"/>
    </xf>
    <xf numFmtId="0" fontId="3" fillId="0" borderId="0" xfId="33392" applyAlignment="1">
      <alignment vertical="top"/>
    </xf>
    <xf numFmtId="0" fontId="3" fillId="5" borderId="0" xfId="33392" applyFill="1" applyAlignment="1">
      <alignment vertical="top"/>
    </xf>
    <xf numFmtId="14" fontId="3" fillId="0" borderId="0" xfId="33392" applyNumberFormat="1" applyAlignment="1">
      <alignment horizontal="right" vertical="top"/>
    </xf>
    <xf numFmtId="0" fontId="3" fillId="4" borderId="0" xfId="33392" applyFill="1" applyAlignment="1">
      <alignment vertical="top"/>
    </xf>
    <xf numFmtId="4" fontId="3" fillId="4" borderId="0" xfId="33392" applyNumberFormat="1" applyFill="1" applyAlignment="1">
      <alignment vertical="top"/>
    </xf>
    <xf numFmtId="4" fontId="3" fillId="4" borderId="0" xfId="33392" applyNumberFormat="1" applyFill="1" applyAlignment="1">
      <alignment horizontal="right" vertical="top"/>
    </xf>
    <xf numFmtId="4" fontId="3" fillId="131" borderId="0" xfId="33392" applyNumberFormat="1" applyFill="1" applyAlignment="1">
      <alignment vertical="top"/>
    </xf>
    <xf numFmtId="4" fontId="3" fillId="131" borderId="0" xfId="33392" applyNumberFormat="1" applyFill="1" applyAlignment="1">
      <alignment horizontal="right" vertical="top"/>
    </xf>
    <xf numFmtId="4" fontId="3" fillId="5" borderId="0" xfId="33392" applyNumberFormat="1" applyFill="1" applyAlignment="1">
      <alignment vertical="top"/>
    </xf>
    <xf numFmtId="4" fontId="3" fillId="5" borderId="0" xfId="33392" applyNumberFormat="1" applyFill="1" applyAlignment="1">
      <alignment horizontal="right" vertical="top"/>
    </xf>
    <xf numFmtId="4" fontId="3" fillId="0" borderId="0" xfId="33392" applyNumberFormat="1" applyFont="1" applyAlignment="1">
      <alignment horizontal="right" vertical="top"/>
    </xf>
    <xf numFmtId="4" fontId="3" fillId="14" borderId="0" xfId="33392" applyNumberFormat="1" applyFill="1" applyAlignment="1">
      <alignment vertical="top"/>
    </xf>
    <xf numFmtId="4" fontId="3" fillId="14" borderId="0" xfId="33392" applyNumberFormat="1" applyFill="1" applyAlignment="1">
      <alignment horizontal="right" vertical="top"/>
    </xf>
    <xf numFmtId="0" fontId="3" fillId="14" borderId="0" xfId="33392" applyFill="1" applyAlignment="1">
      <alignment vertical="top"/>
    </xf>
    <xf numFmtId="4" fontId="3" fillId="7" borderId="0" xfId="33392" applyNumberFormat="1" applyFill="1" applyAlignment="1">
      <alignment vertical="top"/>
    </xf>
    <xf numFmtId="4" fontId="3" fillId="7" borderId="0" xfId="33392" applyNumberFormat="1" applyFill="1" applyAlignment="1">
      <alignment horizontal="right" vertical="top"/>
    </xf>
    <xf numFmtId="0" fontId="3" fillId="7" borderId="0" xfId="33392" applyFill="1" applyAlignment="1">
      <alignment vertical="top"/>
    </xf>
    <xf numFmtId="4" fontId="3" fillId="12" borderId="0" xfId="33392" applyNumberFormat="1" applyFill="1" applyAlignment="1">
      <alignment vertical="top"/>
    </xf>
    <xf numFmtId="4" fontId="3" fillId="12" borderId="0" xfId="33392" applyNumberFormat="1" applyFill="1" applyAlignment="1">
      <alignment horizontal="right" vertical="top"/>
    </xf>
    <xf numFmtId="0" fontId="3" fillId="12" borderId="0" xfId="33392" applyFill="1" applyAlignment="1">
      <alignment vertical="top"/>
    </xf>
    <xf numFmtId="4" fontId="3" fillId="18" borderId="0" xfId="33392" applyNumberFormat="1" applyFill="1" applyAlignment="1">
      <alignment vertical="top"/>
    </xf>
    <xf numFmtId="4" fontId="3" fillId="18" borderId="0" xfId="33392" applyNumberFormat="1" applyFill="1" applyAlignment="1">
      <alignment horizontal="right" vertical="top"/>
    </xf>
    <xf numFmtId="0" fontId="3" fillId="18" borderId="0" xfId="33392" applyFill="1" applyAlignment="1">
      <alignment vertical="top"/>
    </xf>
    <xf numFmtId="4" fontId="3" fillId="28" borderId="0" xfId="33392" applyNumberFormat="1" applyFill="1" applyAlignment="1">
      <alignment vertical="top"/>
    </xf>
    <xf numFmtId="4" fontId="3" fillId="28" borderId="0" xfId="33392" applyNumberFormat="1" applyFill="1" applyAlignment="1">
      <alignment horizontal="right" vertical="top"/>
    </xf>
    <xf numFmtId="0" fontId="3" fillId="28" borderId="0" xfId="33392" applyFill="1" applyAlignment="1">
      <alignment vertical="top"/>
    </xf>
    <xf numFmtId="4" fontId="3" fillId="6" borderId="0" xfId="33392" applyNumberFormat="1" applyFill="1" applyAlignment="1">
      <alignment vertical="top"/>
    </xf>
    <xf numFmtId="4" fontId="3" fillId="6" borderId="0" xfId="33392" applyNumberFormat="1" applyFill="1" applyAlignment="1">
      <alignment horizontal="right" vertical="top"/>
    </xf>
    <xf numFmtId="4" fontId="3" fillId="10" borderId="0" xfId="33392" applyNumberFormat="1" applyFill="1" applyAlignment="1">
      <alignment vertical="top"/>
    </xf>
    <xf numFmtId="4" fontId="3" fillId="10" borderId="0" xfId="33392" applyNumberFormat="1" applyFill="1" applyAlignment="1">
      <alignment horizontal="right" vertical="top"/>
    </xf>
    <xf numFmtId="4" fontId="3" fillId="26" borderId="0" xfId="33392" applyNumberFormat="1" applyFill="1" applyAlignment="1">
      <alignment horizontal="right" vertical="top"/>
    </xf>
    <xf numFmtId="4" fontId="3" fillId="0" borderId="0" xfId="33392" applyNumberFormat="1" applyAlignment="1">
      <alignment horizontal="right" vertical="top"/>
    </xf>
    <xf numFmtId="14" fontId="3" fillId="26" borderId="0" xfId="33392" applyNumberFormat="1" applyFont="1" applyFill="1" applyAlignment="1">
      <alignment horizontal="right" vertical="top"/>
    </xf>
    <xf numFmtId="17" fontId="3" fillId="0" borderId="0" xfId="33392" applyNumberFormat="1" applyAlignment="1">
      <alignment vertical="top"/>
    </xf>
    <xf numFmtId="0" fontId="3" fillId="0" borderId="0" xfId="33392" applyFont="1" applyAlignment="1">
      <alignment vertical="top"/>
    </xf>
    <xf numFmtId="14" fontId="3" fillId="0" borderId="0" xfId="33392" applyNumberFormat="1" applyFont="1" applyAlignment="1">
      <alignment horizontal="right" vertical="top"/>
    </xf>
    <xf numFmtId="0" fontId="3" fillId="3" borderId="1" xfId="33392" applyFill="1" applyBorder="1" applyAlignment="1">
      <alignment vertical="top"/>
    </xf>
    <xf numFmtId="14" fontId="3" fillId="3" borderId="1" xfId="33392" applyNumberFormat="1" applyFill="1" applyBorder="1" applyAlignment="1">
      <alignment horizontal="right" vertical="top"/>
    </xf>
    <xf numFmtId="4" fontId="3" fillId="5" borderId="1" xfId="33392" applyNumberFormat="1" applyFill="1" applyBorder="1" applyAlignment="1">
      <alignment vertical="top"/>
    </xf>
    <xf numFmtId="4" fontId="3" fillId="0" borderId="0" xfId="33392" applyNumberFormat="1" applyAlignment="1">
      <alignment vertical="center"/>
    </xf>
    <xf numFmtId="4" fontId="3" fillId="0" borderId="0" xfId="33392" applyNumberFormat="1" applyAlignment="1">
      <alignment vertical="top"/>
    </xf>
    <xf numFmtId="49" fontId="3" fillId="0" borderId="0" xfId="33392" applyNumberFormat="1" applyFont="1" applyAlignment="1">
      <alignment vertical="top"/>
    </xf>
    <xf numFmtId="165" fontId="17" fillId="14" borderId="0" xfId="0" applyNumberFormat="1" applyFont="1" applyFill="1"/>
    <xf numFmtId="0" fontId="223" fillId="0" borderId="0" xfId="0" applyFont="1" applyAlignment="1">
      <alignment horizontal="left" vertical="center" wrapText="1" inden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right" vertical="center" wrapText="1"/>
    </xf>
    <xf numFmtId="4" fontId="9" fillId="14" borderId="0" xfId="0" applyNumberFormat="1" applyFont="1" applyFill="1" applyAlignment="1">
      <alignment horizontal="right" vertical="center"/>
    </xf>
    <xf numFmtId="4" fontId="13" fillId="14" borderId="0" xfId="4" applyNumberFormat="1" applyFont="1" applyFill="1" applyAlignment="1">
      <alignment horizontal="center" vertical="center"/>
    </xf>
    <xf numFmtId="4" fontId="11" fillId="14" borderId="0" xfId="0" applyNumberFormat="1" applyFont="1" applyFill="1" applyBorder="1" applyAlignment="1">
      <alignment vertical="center" wrapText="1"/>
    </xf>
    <xf numFmtId="4" fontId="13" fillId="14" borderId="0" xfId="0" applyNumberFormat="1" applyFont="1" applyFill="1" applyBorder="1" applyAlignment="1">
      <alignment vertical="center" wrapText="1"/>
    </xf>
    <xf numFmtId="0" fontId="38" fillId="0" borderId="0" xfId="0" applyFont="1"/>
    <xf numFmtId="0" fontId="38" fillId="14" borderId="0" xfId="0" applyFont="1" applyFill="1" applyAlignment="1">
      <alignment horizontal="center" vertical="center"/>
    </xf>
    <xf numFmtId="0" fontId="38" fillId="14" borderId="0" xfId="0" applyFont="1" applyFill="1" applyAlignment="1">
      <alignment horizontal="center"/>
    </xf>
    <xf numFmtId="4" fontId="38" fillId="14" borderId="0" xfId="0" applyNumberFormat="1" applyFont="1" applyFill="1" applyAlignment="1">
      <alignment horizontal="center" vertical="center"/>
    </xf>
    <xf numFmtId="0" fontId="38" fillId="7" borderId="0" xfId="0" applyFont="1" applyFill="1" applyAlignment="1">
      <alignment horizontal="center" wrapText="1"/>
    </xf>
    <xf numFmtId="4" fontId="38" fillId="7" borderId="0" xfId="0" applyNumberFormat="1" applyFont="1" applyFill="1" applyAlignment="1">
      <alignment vertical="center"/>
    </xf>
    <xf numFmtId="0" fontId="17" fillId="0" borderId="0" xfId="0" applyFont="1" applyFill="1" applyAlignment="1">
      <alignment vertical="center"/>
    </xf>
    <xf numFmtId="4" fontId="13" fillId="14" borderId="0" xfId="10" applyNumberFormat="1" applyFont="1" applyFill="1" applyAlignment="1">
      <alignment vertical="center"/>
    </xf>
    <xf numFmtId="4" fontId="13" fillId="0" borderId="0" xfId="10" applyNumberFormat="1" applyFont="1" applyAlignment="1">
      <alignment vertical="center"/>
    </xf>
    <xf numFmtId="14" fontId="21" fillId="0" borderId="0" xfId="10" applyNumberFormat="1" applyFont="1" applyFill="1" applyAlignment="1">
      <alignment horizontal="center" vertical="center"/>
    </xf>
    <xf numFmtId="4" fontId="13" fillId="0" borderId="2" xfId="10" applyNumberFormat="1" applyFont="1" applyBorder="1" applyAlignment="1">
      <alignment vertical="center"/>
    </xf>
    <xf numFmtId="4" fontId="13" fillId="6" borderId="2" xfId="10" applyNumberFormat="1" applyFont="1" applyFill="1" applyBorder="1" applyAlignment="1">
      <alignment vertical="center"/>
    </xf>
    <xf numFmtId="0" fontId="13" fillId="0" borderId="0" xfId="10" applyFont="1" applyAlignment="1">
      <alignment vertical="center"/>
    </xf>
    <xf numFmtId="4" fontId="13" fillId="0" borderId="0" xfId="10" applyNumberFormat="1" applyFont="1" applyBorder="1" applyAlignment="1">
      <alignment vertical="center"/>
    </xf>
    <xf numFmtId="4" fontId="13" fillId="22" borderId="0" xfId="10" applyNumberFormat="1" applyFont="1" applyFill="1" applyBorder="1" applyAlignment="1">
      <alignment vertical="center"/>
    </xf>
    <xf numFmtId="4" fontId="13" fillId="19" borderId="0" xfId="10" applyNumberFormat="1" applyFont="1" applyFill="1" applyAlignment="1">
      <alignment vertical="center"/>
    </xf>
    <xf numFmtId="4" fontId="13" fillId="7" borderId="0" xfId="10" applyNumberFormat="1" applyFont="1" applyFill="1" applyAlignment="1">
      <alignment vertical="center"/>
    </xf>
    <xf numFmtId="4" fontId="13" fillId="5" borderId="0" xfId="10" applyNumberFormat="1" applyFont="1" applyFill="1" applyAlignment="1">
      <alignment vertical="center"/>
    </xf>
    <xf numFmtId="4" fontId="13" fillId="14" borderId="0" xfId="10" applyNumberFormat="1" applyFont="1" applyFill="1" applyBorder="1" applyAlignment="1">
      <alignment vertical="center"/>
    </xf>
    <xf numFmtId="14" fontId="21" fillId="0" borderId="1" xfId="10" applyNumberFormat="1" applyFont="1" applyBorder="1" applyAlignment="1">
      <alignment horizontal="center" vertical="center"/>
    </xf>
    <xf numFmtId="4" fontId="13" fillId="0" borderId="1" xfId="10" applyNumberFormat="1" applyFont="1" applyBorder="1" applyAlignment="1">
      <alignment vertical="center"/>
    </xf>
    <xf numFmtId="14" fontId="7" fillId="0" borderId="4" xfId="0" applyNumberFormat="1" applyFont="1" applyFill="1" applyBorder="1" applyAlignment="1">
      <alignment horizontal="center" vertical="center" wrapText="1"/>
    </xf>
    <xf numFmtId="14" fontId="45" fillId="0" borderId="0" xfId="0" applyNumberFormat="1" applyFont="1" applyFill="1" applyAlignment="1">
      <alignment horizontal="center"/>
    </xf>
    <xf numFmtId="4" fontId="21" fillId="19" borderId="0" xfId="3" applyNumberFormat="1" applyFont="1" applyFill="1" applyAlignment="1">
      <alignment horizontal="center" vertical="center"/>
    </xf>
    <xf numFmtId="4" fontId="21" fillId="129" borderId="0" xfId="3" applyNumberFormat="1" applyFont="1" applyFill="1" applyBorder="1" applyAlignment="1">
      <alignment vertical="center"/>
    </xf>
    <xf numFmtId="0" fontId="13" fillId="0" borderId="0" xfId="3" applyFont="1" applyFill="1" applyBorder="1" applyAlignment="1">
      <alignment vertical="center"/>
    </xf>
    <xf numFmtId="4" fontId="21" fillId="12" borderId="0" xfId="3" applyNumberFormat="1" applyFont="1" applyFill="1" applyAlignment="1">
      <alignment horizontal="center" vertical="center"/>
    </xf>
    <xf numFmtId="0" fontId="17" fillId="7" borderId="1" xfId="0" applyFont="1" applyFill="1" applyBorder="1" applyAlignment="1">
      <alignment wrapText="1"/>
    </xf>
    <xf numFmtId="0" fontId="13" fillId="7" borderId="1" xfId="3" applyFont="1" applyFill="1" applyBorder="1" applyAlignment="1">
      <alignment vertical="center" wrapText="1"/>
    </xf>
    <xf numFmtId="4" fontId="13" fillId="7" borderId="0" xfId="3" applyNumberFormat="1" applyFont="1" applyFill="1" applyBorder="1" applyAlignment="1">
      <alignment vertical="center"/>
    </xf>
    <xf numFmtId="4" fontId="17" fillId="7" borderId="0" xfId="0" applyNumberFormat="1" applyFont="1" applyFill="1" applyBorder="1"/>
    <xf numFmtId="49" fontId="13" fillId="0" borderId="0" xfId="4" applyNumberFormat="1" applyFont="1" applyFill="1" applyAlignment="1">
      <alignment vertical="center"/>
    </xf>
    <xf numFmtId="0" fontId="0" fillId="0" borderId="1" xfId="0" quotePrefix="1" applyBorder="1"/>
    <xf numFmtId="49" fontId="17" fillId="3" borderId="0" xfId="0" applyNumberFormat="1" applyFont="1" applyFill="1" applyAlignment="1">
      <alignment vertical="center"/>
    </xf>
    <xf numFmtId="164" fontId="50" fillId="14" borderId="0" xfId="0" applyNumberFormat="1" applyFont="1" applyFill="1" applyAlignment="1">
      <alignment horizontal="center" vertical="center"/>
    </xf>
    <xf numFmtId="0" fontId="163" fillId="0" borderId="0" xfId="32726"/>
    <xf numFmtId="0" fontId="163" fillId="0" borderId="0" xfId="32726" applyAlignment="1">
      <alignment horizontal="left" vertical="top"/>
    </xf>
    <xf numFmtId="0" fontId="227" fillId="132" borderId="51" xfId="32726" applyFont="1" applyFill="1" applyBorder="1" applyAlignment="1">
      <alignment horizontal="center" vertical="center" wrapText="1"/>
    </xf>
    <xf numFmtId="0" fontId="208" fillId="0" borderId="0" xfId="32726" applyFont="1" applyAlignment="1">
      <alignment horizontal="left" vertical="center" wrapText="1"/>
    </xf>
    <xf numFmtId="0" fontId="227" fillId="132" borderId="52" xfId="32726" applyFont="1" applyFill="1" applyBorder="1" applyAlignment="1">
      <alignment horizontal="center" vertical="center" wrapText="1"/>
    </xf>
    <xf numFmtId="0" fontId="228" fillId="0" borderId="0" xfId="32726" applyFont="1" applyAlignment="1">
      <alignment horizontal="left" vertical="center" wrapText="1"/>
    </xf>
    <xf numFmtId="0" fontId="208" fillId="0" borderId="0" xfId="32726" applyFont="1" applyAlignment="1">
      <alignment horizontal="left" vertical="top" wrapText="1"/>
    </xf>
    <xf numFmtId="0" fontId="227" fillId="133" borderId="53" xfId="32726" applyFont="1" applyFill="1" applyBorder="1" applyAlignment="1">
      <alignment horizontal="left" vertical="center" wrapText="1"/>
    </xf>
    <xf numFmtId="0" fontId="229" fillId="0" borderId="51" xfId="32726" applyFont="1" applyBorder="1" applyAlignment="1">
      <alignment horizontal="left" vertical="center" wrapText="1"/>
    </xf>
    <xf numFmtId="0" fontId="208" fillId="0" borderId="0" xfId="32726" applyFont="1" applyAlignment="1">
      <alignment horizontal="right" vertical="center"/>
    </xf>
    <xf numFmtId="222" fontId="228" fillId="0" borderId="0" xfId="32726" applyNumberFormat="1" applyFont="1" applyAlignment="1">
      <alignment horizontal="right" vertical="center"/>
    </xf>
    <xf numFmtId="0" fontId="208" fillId="0" borderId="0" xfId="32726" applyFont="1" applyAlignment="1">
      <alignment horizontal="left" vertical="center"/>
    </xf>
    <xf numFmtId="0" fontId="230" fillId="132" borderId="51" xfId="32726" applyFont="1" applyFill="1" applyBorder="1" applyAlignment="1">
      <alignment horizontal="left" vertical="center" wrapText="1"/>
    </xf>
    <xf numFmtId="221" fontId="230" fillId="132" borderId="51" xfId="32726" applyNumberFormat="1" applyFont="1" applyFill="1" applyBorder="1" applyAlignment="1">
      <alignment horizontal="right" vertical="center"/>
    </xf>
    <xf numFmtId="221" fontId="230" fillId="132" borderId="52" xfId="32726" applyNumberFormat="1" applyFont="1" applyFill="1" applyBorder="1" applyAlignment="1">
      <alignment horizontal="right" vertical="center"/>
    </xf>
    <xf numFmtId="0" fontId="228" fillId="0" borderId="0" xfId="32726" applyFont="1" applyAlignment="1">
      <alignment horizontal="right" vertical="center" wrapText="1"/>
    </xf>
    <xf numFmtId="0" fontId="231" fillId="0" borderId="54" xfId="32726" applyFont="1" applyBorder="1" applyAlignment="1">
      <alignment horizontal="left" vertical="center" wrapText="1"/>
    </xf>
    <xf numFmtId="222" fontId="231" fillId="0" borderId="54" xfId="32726" applyNumberFormat="1" applyFont="1" applyBorder="1" applyAlignment="1">
      <alignment horizontal="right" vertical="center"/>
    </xf>
    <xf numFmtId="222" fontId="231" fillId="0" borderId="55" xfId="32726" applyNumberFormat="1" applyFont="1" applyBorder="1" applyAlignment="1">
      <alignment horizontal="right" vertical="center"/>
    </xf>
    <xf numFmtId="222" fontId="231" fillId="0" borderId="0" xfId="32726" applyNumberFormat="1" applyFont="1" applyAlignment="1">
      <alignment horizontal="right" vertical="center"/>
    </xf>
    <xf numFmtId="0" fontId="208" fillId="0" borderId="54" xfId="32726" applyFont="1" applyBorder="1" applyAlignment="1">
      <alignment horizontal="left" vertical="center" wrapText="1"/>
    </xf>
    <xf numFmtId="0" fontId="229" fillId="0" borderId="56" xfId="32726" applyFont="1" applyBorder="1" applyAlignment="1">
      <alignment horizontal="left" vertical="center" wrapText="1"/>
    </xf>
    <xf numFmtId="221" fontId="208" fillId="0" borderId="56" xfId="32726" applyNumberFormat="1" applyFont="1" applyBorder="1" applyAlignment="1">
      <alignment horizontal="right" vertical="center"/>
    </xf>
    <xf numFmtId="221" fontId="208" fillId="0" borderId="57" xfId="32726" applyNumberFormat="1" applyFont="1" applyBorder="1" applyAlignment="1">
      <alignment horizontal="right" vertical="center"/>
    </xf>
    <xf numFmtId="221" fontId="230" fillId="0" borderId="57" xfId="32726" applyNumberFormat="1" applyFont="1" applyBorder="1" applyAlignment="1">
      <alignment horizontal="right" vertical="center"/>
    </xf>
    <xf numFmtId="0" fontId="208" fillId="134" borderId="0" xfId="32726" applyFont="1" applyFill="1" applyAlignment="1">
      <alignment horizontal="left" vertical="center" wrapText="1"/>
    </xf>
    <xf numFmtId="222" fontId="229" fillId="0" borderId="51" xfId="32726" applyNumberFormat="1" applyFont="1" applyBorder="1" applyAlignment="1">
      <alignment horizontal="right" vertical="center"/>
    </xf>
    <xf numFmtId="221" fontId="208" fillId="134" borderId="51" xfId="32726" applyNumberFormat="1" applyFont="1" applyFill="1" applyBorder="1" applyAlignment="1">
      <alignment horizontal="right" vertical="center"/>
    </xf>
    <xf numFmtId="221" fontId="208" fillId="134" borderId="52" xfId="32726" applyNumberFormat="1" applyFont="1" applyFill="1" applyBorder="1" applyAlignment="1">
      <alignment horizontal="right" vertical="center"/>
    </xf>
    <xf numFmtId="0" fontId="208" fillId="0" borderId="51" xfId="32726" applyFont="1" applyBorder="1" applyAlignment="1">
      <alignment horizontal="left" vertical="center" wrapText="1"/>
    </xf>
    <xf numFmtId="0" fontId="229" fillId="0" borderId="54" xfId="32726" applyFont="1" applyBorder="1" applyAlignment="1">
      <alignment horizontal="left" vertical="center" wrapText="1"/>
    </xf>
    <xf numFmtId="221" fontId="208" fillId="0" borderId="54" xfId="32726" applyNumberFormat="1" applyFont="1" applyBorder="1" applyAlignment="1">
      <alignment horizontal="right" vertical="center"/>
    </xf>
    <xf numFmtId="221" fontId="208" fillId="0" borderId="55" xfId="32726" applyNumberFormat="1" applyFont="1" applyBorder="1" applyAlignment="1">
      <alignment horizontal="right" vertical="center"/>
    </xf>
    <xf numFmtId="221" fontId="230" fillId="0" borderId="55" xfId="32726" applyNumberFormat="1" applyFont="1" applyBorder="1" applyAlignment="1">
      <alignment horizontal="right" vertical="center"/>
    </xf>
    <xf numFmtId="0" fontId="230" fillId="135" borderId="51" xfId="32726" applyFont="1" applyFill="1" applyBorder="1" applyAlignment="1">
      <alignment horizontal="left" vertical="center" wrapText="1"/>
    </xf>
    <xf numFmtId="0" fontId="229" fillId="135" borderId="51" xfId="32726" applyFont="1" applyFill="1" applyBorder="1" applyAlignment="1">
      <alignment horizontal="left" vertical="center" wrapText="1"/>
    </xf>
    <xf numFmtId="221" fontId="230" fillId="135" borderId="51" xfId="32726" applyNumberFormat="1" applyFont="1" applyFill="1" applyBorder="1" applyAlignment="1">
      <alignment horizontal="right" vertical="center"/>
    </xf>
    <xf numFmtId="221" fontId="230" fillId="135" borderId="52" xfId="32726" applyNumberFormat="1" applyFont="1" applyFill="1" applyBorder="1" applyAlignment="1">
      <alignment horizontal="right" vertical="center"/>
    </xf>
    <xf numFmtId="0" fontId="230" fillId="135" borderId="54" xfId="32726" applyFont="1" applyFill="1" applyBorder="1" applyAlignment="1">
      <alignment horizontal="left" vertical="center" wrapText="1"/>
    </xf>
    <xf numFmtId="0" fontId="229" fillId="135" borderId="54" xfId="32726" applyFont="1" applyFill="1" applyBorder="1" applyAlignment="1">
      <alignment horizontal="left" vertical="center" wrapText="1"/>
    </xf>
    <xf numFmtId="221" fontId="230" fillId="135" borderId="54" xfId="32726" applyNumberFormat="1" applyFont="1" applyFill="1" applyBorder="1" applyAlignment="1">
      <alignment horizontal="right" vertical="center"/>
    </xf>
    <xf numFmtId="221" fontId="230" fillId="135" borderId="55" xfId="32726" applyNumberFormat="1" applyFont="1" applyFill="1" applyBorder="1" applyAlignment="1">
      <alignment horizontal="right" vertical="center"/>
    </xf>
    <xf numFmtId="0" fontId="208" fillId="135" borderId="54" xfId="32726" applyFont="1" applyFill="1" applyBorder="1" applyAlignment="1">
      <alignment horizontal="left" vertical="center" wrapText="1"/>
    </xf>
    <xf numFmtId="0" fontId="229" fillId="135" borderId="56" xfId="32726" applyFont="1" applyFill="1" applyBorder="1" applyAlignment="1">
      <alignment horizontal="left" vertical="center" wrapText="1"/>
    </xf>
    <xf numFmtId="221" fontId="208" fillId="135" borderId="56" xfId="32726" applyNumberFormat="1" applyFont="1" applyFill="1" applyBorder="1" applyAlignment="1">
      <alignment horizontal="right" vertical="center"/>
    </xf>
    <xf numFmtId="221" fontId="208" fillId="135" borderId="57" xfId="32726" applyNumberFormat="1" applyFont="1" applyFill="1" applyBorder="1" applyAlignment="1">
      <alignment horizontal="right" vertical="center"/>
    </xf>
    <xf numFmtId="221" fontId="230" fillId="135" borderId="57" xfId="32726" applyNumberFormat="1" applyFont="1" applyFill="1" applyBorder="1" applyAlignment="1">
      <alignment horizontal="right" vertical="center"/>
    </xf>
    <xf numFmtId="0" fontId="208" fillId="135" borderId="0" xfId="32726" applyFont="1" applyFill="1" applyAlignment="1">
      <alignment horizontal="left" vertical="center" wrapText="1"/>
    </xf>
    <xf numFmtId="221" fontId="208" fillId="135" borderId="51" xfId="32726" applyNumberFormat="1" applyFont="1" applyFill="1" applyBorder="1" applyAlignment="1">
      <alignment horizontal="right" vertical="center"/>
    </xf>
    <xf numFmtId="221" fontId="208" fillId="135" borderId="52" xfId="32726" applyNumberFormat="1" applyFont="1" applyFill="1" applyBorder="1" applyAlignment="1">
      <alignment horizontal="right" vertical="center"/>
    </xf>
    <xf numFmtId="0" fontId="208" fillId="135" borderId="51" xfId="32726" applyFont="1" applyFill="1" applyBorder="1" applyAlignment="1">
      <alignment horizontal="left" vertical="center" wrapText="1"/>
    </xf>
    <xf numFmtId="221" fontId="208" fillId="135" borderId="54" xfId="32726" applyNumberFormat="1" applyFont="1" applyFill="1" applyBorder="1" applyAlignment="1">
      <alignment horizontal="right" vertical="center"/>
    </xf>
    <xf numFmtId="221" fontId="208" fillId="135" borderId="55" xfId="32726" applyNumberFormat="1" applyFont="1" applyFill="1" applyBorder="1" applyAlignment="1">
      <alignment horizontal="right" vertical="center"/>
    </xf>
    <xf numFmtId="0" fontId="227" fillId="132" borderId="51" xfId="32726" applyFont="1" applyFill="1" applyBorder="1" applyAlignment="1">
      <alignment horizontal="left" vertical="center" wrapText="1"/>
    </xf>
    <xf numFmtId="221" fontId="227" fillId="132" borderId="51" xfId="32726" applyNumberFormat="1" applyFont="1" applyFill="1" applyBorder="1" applyAlignment="1">
      <alignment horizontal="right" vertical="center"/>
    </xf>
    <xf numFmtId="221" fontId="227" fillId="132" borderId="52" xfId="32726" applyNumberFormat="1" applyFont="1" applyFill="1" applyBorder="1" applyAlignment="1">
      <alignment horizontal="right" vertical="center"/>
    </xf>
    <xf numFmtId="0" fontId="230" fillId="136" borderId="51" xfId="32726" applyFont="1" applyFill="1" applyBorder="1" applyAlignment="1">
      <alignment horizontal="left" vertical="center" wrapText="1"/>
    </xf>
    <xf numFmtId="221" fontId="230" fillId="136" borderId="51" xfId="32726" applyNumberFormat="1" applyFont="1" applyFill="1" applyBorder="1" applyAlignment="1">
      <alignment horizontal="right" vertical="center"/>
    </xf>
    <xf numFmtId="221" fontId="230" fillId="136" borderId="52" xfId="32726" applyNumberFormat="1" applyFont="1" applyFill="1" applyBorder="1" applyAlignment="1">
      <alignment horizontal="right" vertical="center"/>
    </xf>
    <xf numFmtId="0" fontId="232" fillId="0" borderId="0" xfId="32726" applyFont="1" applyAlignment="1">
      <alignment horizontal="left" vertical="center" wrapText="1"/>
    </xf>
    <xf numFmtId="222" fontId="208" fillId="0" borderId="0" xfId="32726" applyNumberFormat="1" applyFont="1" applyAlignment="1">
      <alignment horizontal="right" vertical="center"/>
    </xf>
    <xf numFmtId="222" fontId="230" fillId="0" borderId="0" xfId="32726" applyNumberFormat="1" applyFont="1" applyAlignment="1">
      <alignment horizontal="right" vertical="center"/>
    </xf>
    <xf numFmtId="0" fontId="233" fillId="0" borderId="51" xfId="32726" applyFont="1" applyBorder="1" applyAlignment="1">
      <alignment horizontal="left" vertical="center" wrapText="1"/>
    </xf>
    <xf numFmtId="221" fontId="233" fillId="0" borderId="51" xfId="32726" applyNumberFormat="1" applyFont="1" applyBorder="1" applyAlignment="1">
      <alignment horizontal="right" vertical="center"/>
    </xf>
    <xf numFmtId="221" fontId="233" fillId="0" borderId="52" xfId="32726" applyNumberFormat="1" applyFont="1" applyBorder="1" applyAlignment="1">
      <alignment horizontal="right" vertical="center"/>
    </xf>
    <xf numFmtId="221" fontId="234" fillId="0" borderId="52" xfId="32726" applyNumberFormat="1" applyFont="1" applyBorder="1" applyAlignment="1">
      <alignment horizontal="right" vertical="center"/>
    </xf>
    <xf numFmtId="0" fontId="230" fillId="137" borderId="58" xfId="32726" applyFont="1" applyFill="1" applyBorder="1" applyAlignment="1">
      <alignment horizontal="left" vertical="center" wrapText="1"/>
    </xf>
    <xf numFmtId="221" fontId="230" fillId="137" borderId="58" xfId="32726" applyNumberFormat="1" applyFont="1" applyFill="1" applyBorder="1" applyAlignment="1">
      <alignment horizontal="right" vertical="center"/>
    </xf>
    <xf numFmtId="221" fontId="230" fillId="137" borderId="59" xfId="32726" applyNumberFormat="1" applyFont="1" applyFill="1" applyBorder="1" applyAlignment="1">
      <alignment horizontal="right" vertical="center"/>
    </xf>
    <xf numFmtId="0" fontId="235" fillId="0" borderId="0" xfId="3" applyFont="1" applyAlignment="1">
      <alignment vertical="center"/>
    </xf>
    <xf numFmtId="4" fontId="235" fillId="0" borderId="0" xfId="3" applyNumberFormat="1" applyFont="1" applyAlignment="1">
      <alignment vertical="center"/>
    </xf>
    <xf numFmtId="4" fontId="208" fillId="0" borderId="0" xfId="32726" applyNumberFormat="1" applyFont="1" applyAlignment="1">
      <alignment horizontal="right" vertical="center"/>
    </xf>
    <xf numFmtId="221" fontId="230" fillId="132" borderId="52" xfId="0" applyNumberFormat="1" applyFont="1" applyFill="1" applyBorder="1" applyAlignment="1">
      <alignment horizontal="right" vertical="center"/>
    </xf>
    <xf numFmtId="4" fontId="230" fillId="138" borderId="0" xfId="32726" applyNumberFormat="1" applyFont="1" applyFill="1" applyAlignment="1">
      <alignment horizontal="right" vertical="center"/>
    </xf>
    <xf numFmtId="0" fontId="208" fillId="7" borderId="0" xfId="32726" applyFont="1" applyFill="1" applyAlignment="1">
      <alignment horizontal="right" vertical="center"/>
    </xf>
    <xf numFmtId="0" fontId="208" fillId="7" borderId="54" xfId="32726" applyFont="1" applyFill="1" applyBorder="1" applyAlignment="1">
      <alignment horizontal="left" vertical="center" wrapText="1"/>
    </xf>
    <xf numFmtId="0" fontId="208" fillId="7" borderId="0" xfId="32726" applyFont="1" applyFill="1" applyAlignment="1">
      <alignment horizontal="center" vertical="center"/>
    </xf>
    <xf numFmtId="4" fontId="208" fillId="7" borderId="0" xfId="32726" applyNumberFormat="1" applyFont="1" applyFill="1" applyAlignment="1">
      <alignment horizontal="right" vertical="center"/>
    </xf>
    <xf numFmtId="0" fontId="37" fillId="0" borderId="0" xfId="32726" applyFont="1" applyAlignment="1">
      <alignment horizontal="left" vertical="top"/>
    </xf>
    <xf numFmtId="0" fontId="236" fillId="132" borderId="51" xfId="32726" applyFont="1" applyFill="1" applyBorder="1" applyAlignment="1">
      <alignment horizontal="left" vertical="center" wrapText="1"/>
    </xf>
    <xf numFmtId="0" fontId="237" fillId="0" borderId="0" xfId="32726" applyFont="1" applyAlignment="1">
      <alignment horizontal="left" vertical="center" wrapText="1"/>
    </xf>
    <xf numFmtId="0" fontId="236" fillId="132" borderId="51" xfId="32726" applyFont="1" applyFill="1" applyBorder="1" applyAlignment="1">
      <alignment horizontal="center" vertical="center" wrapText="1"/>
    </xf>
    <xf numFmtId="0" fontId="236" fillId="132" borderId="52" xfId="32726" applyFont="1" applyFill="1" applyBorder="1" applyAlignment="1">
      <alignment horizontal="center" vertical="center" wrapText="1"/>
    </xf>
    <xf numFmtId="0" fontId="238" fillId="0" borderId="0" xfId="32726" applyFont="1" applyAlignment="1">
      <alignment horizontal="left" vertical="center" wrapText="1"/>
    </xf>
    <xf numFmtId="0" fontId="237" fillId="0" borderId="0" xfId="32726" applyFont="1" applyAlignment="1">
      <alignment horizontal="left" vertical="top" wrapText="1"/>
    </xf>
    <xf numFmtId="0" fontId="236" fillId="132" borderId="53" xfId="32726" applyFont="1" applyFill="1" applyBorder="1" applyAlignment="1">
      <alignment horizontal="left" vertical="center" wrapText="1"/>
    </xf>
    <xf numFmtId="0" fontId="236" fillId="0" borderId="51" xfId="32726" applyFont="1" applyBorder="1" applyAlignment="1">
      <alignment horizontal="left" vertical="center" wrapText="1"/>
    </xf>
    <xf numFmtId="0" fontId="237" fillId="0" borderId="0" xfId="32726" applyFont="1" applyAlignment="1">
      <alignment horizontal="right" vertical="center"/>
    </xf>
    <xf numFmtId="221" fontId="236" fillId="132" borderId="53" xfId="32726" applyNumberFormat="1" applyFont="1" applyFill="1" applyBorder="1" applyAlignment="1">
      <alignment horizontal="right" vertical="center"/>
    </xf>
    <xf numFmtId="222" fontId="238" fillId="0" borderId="0" xfId="32726" applyNumberFormat="1" applyFont="1" applyAlignment="1">
      <alignment horizontal="right" vertical="center"/>
    </xf>
    <xf numFmtId="0" fontId="239" fillId="0" borderId="0" xfId="32726" applyFont="1" applyAlignment="1">
      <alignment horizontal="right" vertical="center" wrapText="1"/>
    </xf>
    <xf numFmtId="0" fontId="237" fillId="0" borderId="0" xfId="32726" applyFont="1" applyAlignment="1">
      <alignment horizontal="left" vertical="center"/>
    </xf>
    <xf numFmtId="0" fontId="236" fillId="137" borderId="51" xfId="32726" applyFont="1" applyFill="1" applyBorder="1" applyAlignment="1">
      <alignment horizontal="left" vertical="center" wrapText="1"/>
    </xf>
    <xf numFmtId="221" fontId="236" fillId="137" borderId="51" xfId="32726" applyNumberFormat="1" applyFont="1" applyFill="1" applyBorder="1" applyAlignment="1">
      <alignment horizontal="right" vertical="center"/>
    </xf>
    <xf numFmtId="221" fontId="236" fillId="137" borderId="52" xfId="32726" applyNumberFormat="1" applyFont="1" applyFill="1" applyBorder="1" applyAlignment="1">
      <alignment horizontal="right" vertical="center"/>
    </xf>
    <xf numFmtId="222" fontId="239" fillId="0" borderId="0" xfId="32726" applyNumberFormat="1" applyFont="1" applyAlignment="1">
      <alignment horizontal="right" vertical="center"/>
    </xf>
    <xf numFmtId="0" fontId="240" fillId="0" borderId="54" xfId="32726" applyFont="1" applyBorder="1" applyAlignment="1">
      <alignment horizontal="left" vertical="center" wrapText="1"/>
    </xf>
    <xf numFmtId="222" fontId="240" fillId="0" borderId="54" xfId="32726" applyNumberFormat="1" applyFont="1" applyBorder="1" applyAlignment="1">
      <alignment horizontal="right" vertical="center"/>
    </xf>
    <xf numFmtId="222" fontId="240" fillId="0" borderId="55" xfId="32726" applyNumberFormat="1" applyFont="1" applyBorder="1" applyAlignment="1">
      <alignment horizontal="right" vertical="center"/>
    </xf>
    <xf numFmtId="222" fontId="240" fillId="0" borderId="0" xfId="32726" applyNumberFormat="1" applyFont="1" applyAlignment="1">
      <alignment horizontal="right" vertical="center"/>
    </xf>
    <xf numFmtId="0" fontId="238" fillId="0" borderId="51" xfId="32726" applyFont="1" applyBorder="1" applyAlignment="1">
      <alignment horizontal="left" vertical="center" wrapText="1"/>
    </xf>
    <xf numFmtId="0" fontId="238" fillId="0" borderId="56" xfId="32726" applyFont="1" applyBorder="1" applyAlignment="1">
      <alignment horizontal="left" vertical="center" wrapText="1"/>
    </xf>
    <xf numFmtId="221" fontId="238" fillId="0" borderId="56" xfId="32726" applyNumberFormat="1" applyFont="1" applyBorder="1" applyAlignment="1">
      <alignment horizontal="right" vertical="center"/>
    </xf>
    <xf numFmtId="221" fontId="238" fillId="0" borderId="57" xfId="32726" applyNumberFormat="1" applyFont="1" applyBorder="1" applyAlignment="1">
      <alignment horizontal="right" vertical="center"/>
    </xf>
    <xf numFmtId="221" fontId="236" fillId="0" borderId="57" xfId="32726" applyNumberFormat="1" applyFont="1" applyBorder="1" applyAlignment="1">
      <alignment horizontal="right" vertical="center"/>
    </xf>
    <xf numFmtId="0" fontId="238" fillId="134" borderId="51" xfId="32726" applyFont="1" applyFill="1" applyBorder="1" applyAlignment="1">
      <alignment horizontal="left" vertical="center" wrapText="1"/>
    </xf>
    <xf numFmtId="221" fontId="238" fillId="134" borderId="51" xfId="32726" applyNumberFormat="1" applyFont="1" applyFill="1" applyBorder="1" applyAlignment="1">
      <alignment horizontal="right" vertical="center"/>
    </xf>
    <xf numFmtId="221" fontId="238" fillId="134" borderId="52" xfId="32726" applyNumberFormat="1" applyFont="1" applyFill="1" applyBorder="1" applyAlignment="1">
      <alignment horizontal="right" vertical="center"/>
    </xf>
    <xf numFmtId="221" fontId="236" fillId="134" borderId="52" xfId="32726" applyNumberFormat="1" applyFont="1" applyFill="1" applyBorder="1" applyAlignment="1">
      <alignment horizontal="right" vertical="center"/>
    </xf>
    <xf numFmtId="0" fontId="241" fillId="0" borderId="54" xfId="32726" applyFont="1" applyBorder="1" applyAlignment="1">
      <alignment horizontal="left" vertical="center" wrapText="1"/>
    </xf>
    <xf numFmtId="221" fontId="241" fillId="0" borderId="54" xfId="32726" applyNumberFormat="1" applyFont="1" applyBorder="1" applyAlignment="1">
      <alignment horizontal="right" vertical="center"/>
    </xf>
    <xf numFmtId="221" fontId="241" fillId="0" borderId="55" xfId="32726" applyNumberFormat="1" applyFont="1" applyBorder="1" applyAlignment="1">
      <alignment horizontal="right" vertical="center"/>
    </xf>
    <xf numFmtId="0" fontId="236" fillId="130" borderId="51" xfId="32726" applyFont="1" applyFill="1" applyBorder="1" applyAlignment="1">
      <alignment horizontal="left" vertical="center" wrapText="1"/>
    </xf>
    <xf numFmtId="221" fontId="236" fillId="130" borderId="51" xfId="32726" applyNumberFormat="1" applyFont="1" applyFill="1" applyBorder="1" applyAlignment="1">
      <alignment horizontal="right" vertical="center"/>
    </xf>
    <xf numFmtId="221" fontId="236" fillId="130" borderId="52" xfId="32726" applyNumberFormat="1" applyFont="1" applyFill="1" applyBorder="1" applyAlignment="1">
      <alignment horizontal="right" vertical="center"/>
    </xf>
    <xf numFmtId="0" fontId="238" fillId="0" borderId="54" xfId="32726" applyFont="1" applyBorder="1" applyAlignment="1">
      <alignment horizontal="left" vertical="center" wrapText="1"/>
    </xf>
    <xf numFmtId="221" fontId="238" fillId="0" borderId="54" xfId="32726" applyNumberFormat="1" applyFont="1" applyBorder="1" applyAlignment="1">
      <alignment horizontal="right" vertical="center"/>
    </xf>
    <xf numFmtId="221" fontId="238" fillId="0" borderId="55" xfId="32726" applyNumberFormat="1" applyFont="1" applyBorder="1" applyAlignment="1">
      <alignment horizontal="right" vertical="center"/>
    </xf>
    <xf numFmtId="221" fontId="236" fillId="0" borderId="55" xfId="32726" applyNumberFormat="1" applyFont="1" applyBorder="1" applyAlignment="1">
      <alignment horizontal="right" vertical="center"/>
    </xf>
    <xf numFmtId="222" fontId="238" fillId="0" borderId="51" xfId="32726" applyNumberFormat="1" applyFont="1" applyBorder="1" applyAlignment="1">
      <alignment horizontal="right" vertical="center"/>
    </xf>
    <xf numFmtId="0" fontId="242" fillId="136" borderId="51" xfId="32726" applyFont="1" applyFill="1" applyBorder="1" applyAlignment="1">
      <alignment horizontal="left" vertical="center" wrapText="1"/>
    </xf>
    <xf numFmtId="0" fontId="242" fillId="0" borderId="51" xfId="32726" applyFont="1" applyBorder="1" applyAlignment="1">
      <alignment horizontal="left" vertical="center" wrapText="1"/>
    </xf>
    <xf numFmtId="221" fontId="242" fillId="136" borderId="51" xfId="32726" applyNumberFormat="1" applyFont="1" applyFill="1" applyBorder="1" applyAlignment="1">
      <alignment horizontal="right" vertical="center"/>
    </xf>
    <xf numFmtId="221" fontId="242" fillId="136" borderId="52" xfId="32726" applyNumberFormat="1" applyFont="1" applyFill="1" applyBorder="1" applyAlignment="1">
      <alignment horizontal="right" vertical="center"/>
    </xf>
    <xf numFmtId="0" fontId="237" fillId="0" borderId="54" xfId="32726" applyFont="1" applyBorder="1" applyAlignment="1">
      <alignment horizontal="left" vertical="center" wrapText="1"/>
    </xf>
    <xf numFmtId="221" fontId="237" fillId="0" borderId="54" xfId="32726" applyNumberFormat="1" applyFont="1" applyBorder="1" applyAlignment="1">
      <alignment horizontal="right" vertical="center"/>
    </xf>
    <xf numFmtId="221" fontId="237" fillId="0" borderId="55" xfId="32726" applyNumberFormat="1" applyFont="1" applyBorder="1" applyAlignment="1">
      <alignment horizontal="right" vertical="center"/>
    </xf>
    <xf numFmtId="0" fontId="237" fillId="0" borderId="56" xfId="32726" applyFont="1" applyBorder="1" applyAlignment="1">
      <alignment horizontal="left" vertical="center" wrapText="1"/>
    </xf>
    <xf numFmtId="221" fontId="237" fillId="0" borderId="56" xfId="32726" applyNumberFormat="1" applyFont="1" applyBorder="1" applyAlignment="1">
      <alignment horizontal="right" vertical="center"/>
    </xf>
    <xf numFmtId="221" fontId="237" fillId="0" borderId="57" xfId="32726" applyNumberFormat="1" applyFont="1" applyBorder="1" applyAlignment="1">
      <alignment horizontal="right" vertical="center"/>
    </xf>
    <xf numFmtId="0" fontId="237" fillId="134" borderId="51" xfId="32726" applyFont="1" applyFill="1" applyBorder="1" applyAlignment="1">
      <alignment horizontal="left" vertical="center" wrapText="1"/>
    </xf>
    <xf numFmtId="222" fontId="237" fillId="0" borderId="51" xfId="32726" applyNumberFormat="1" applyFont="1" applyBorder="1" applyAlignment="1">
      <alignment horizontal="right" vertical="center"/>
    </xf>
    <xf numFmtId="221" fontId="237" fillId="134" borderId="51" xfId="32726" applyNumberFormat="1" applyFont="1" applyFill="1" applyBorder="1" applyAlignment="1">
      <alignment horizontal="right" vertical="center"/>
    </xf>
    <xf numFmtId="221" fontId="237" fillId="134" borderId="52" xfId="32726" applyNumberFormat="1" applyFont="1" applyFill="1" applyBorder="1" applyAlignment="1">
      <alignment horizontal="right" vertical="center"/>
    </xf>
    <xf numFmtId="221" fontId="242" fillId="134" borderId="52" xfId="32726" applyNumberFormat="1" applyFont="1" applyFill="1" applyBorder="1" applyAlignment="1">
      <alignment horizontal="right" vertical="center"/>
    </xf>
    <xf numFmtId="0" fontId="243" fillId="0" borderId="54" xfId="32726" applyFont="1" applyBorder="1" applyAlignment="1">
      <alignment horizontal="left" vertical="center" wrapText="1"/>
    </xf>
    <xf numFmtId="221" fontId="243" fillId="0" borderId="54" xfId="32726" applyNumberFormat="1" applyFont="1" applyBorder="1" applyAlignment="1">
      <alignment horizontal="right" vertical="center"/>
    </xf>
    <xf numFmtId="221" fontId="243" fillId="0" borderId="55" xfId="32726" applyNumberFormat="1" applyFont="1" applyBorder="1" applyAlignment="1">
      <alignment horizontal="right" vertical="center"/>
    </xf>
    <xf numFmtId="0" fontId="237" fillId="0" borderId="51" xfId="32726" applyFont="1" applyBorder="1" applyAlignment="1">
      <alignment horizontal="left" vertical="center" wrapText="1"/>
    </xf>
    <xf numFmtId="0" fontId="236" fillId="130" borderId="54" xfId="32726" applyFont="1" applyFill="1" applyBorder="1" applyAlignment="1">
      <alignment horizontal="left" vertical="center" wrapText="1"/>
    </xf>
    <xf numFmtId="221" fontId="236" fillId="130" borderId="54" xfId="32726" applyNumberFormat="1" applyFont="1" applyFill="1" applyBorder="1" applyAlignment="1">
      <alignment horizontal="right" vertical="center"/>
    </xf>
    <xf numFmtId="221" fontId="236" fillId="130" borderId="55" xfId="32726" applyNumberFormat="1" applyFont="1" applyFill="1" applyBorder="1" applyAlignment="1">
      <alignment horizontal="right" vertical="center"/>
    </xf>
    <xf numFmtId="0" fontId="244" fillId="0" borderId="0" xfId="32726" applyFont="1" applyAlignment="1">
      <alignment horizontal="left" vertical="center" wrapText="1"/>
    </xf>
    <xf numFmtId="222" fontId="236" fillId="0" borderId="0" xfId="32726" applyNumberFormat="1" applyFont="1" applyAlignment="1">
      <alignment horizontal="right" vertical="center"/>
    </xf>
    <xf numFmtId="0" fontId="245" fillId="0" borderId="51" xfId="32726" applyFont="1" applyBorder="1" applyAlignment="1">
      <alignment horizontal="left" vertical="center" wrapText="1"/>
    </xf>
    <xf numFmtId="221" fontId="245" fillId="0" borderId="51" xfId="32726" applyNumberFormat="1" applyFont="1" applyBorder="1" applyAlignment="1">
      <alignment horizontal="right" vertical="center"/>
    </xf>
    <xf numFmtId="221" fontId="245" fillId="0" borderId="52" xfId="32726" applyNumberFormat="1" applyFont="1" applyBorder="1" applyAlignment="1">
      <alignment horizontal="right" vertical="center"/>
    </xf>
    <xf numFmtId="221" fontId="246" fillId="0" borderId="52" xfId="32726" applyNumberFormat="1" applyFont="1" applyBorder="1" applyAlignment="1">
      <alignment horizontal="right" vertical="center"/>
    </xf>
    <xf numFmtId="0" fontId="246" fillId="132" borderId="58" xfId="32726" applyFont="1" applyFill="1" applyBorder="1" applyAlignment="1">
      <alignment horizontal="left" vertical="center" wrapText="1"/>
    </xf>
    <xf numFmtId="0" fontId="245" fillId="0" borderId="54" xfId="32726" applyFont="1" applyBorder="1" applyAlignment="1">
      <alignment horizontal="left" vertical="center" wrapText="1"/>
    </xf>
    <xf numFmtId="221" fontId="246" fillId="132" borderId="58" xfId="32726" applyNumberFormat="1" applyFont="1" applyFill="1" applyBorder="1" applyAlignment="1">
      <alignment horizontal="right" vertical="center"/>
    </xf>
    <xf numFmtId="221" fontId="246" fillId="132" borderId="59" xfId="32726" applyNumberFormat="1" applyFont="1" applyFill="1" applyBorder="1" applyAlignment="1">
      <alignment horizontal="right" vertical="center"/>
    </xf>
    <xf numFmtId="0" fontId="247" fillId="0" borderId="0" xfId="32726" applyFont="1" applyAlignment="1">
      <alignment horizontal="left" vertical="center" wrapText="1"/>
    </xf>
    <xf numFmtId="0" fontId="243" fillId="0" borderId="0" xfId="32726" applyFont="1" applyAlignment="1">
      <alignment horizontal="left" vertical="center" wrapText="1"/>
    </xf>
    <xf numFmtId="222" fontId="243" fillId="0" borderId="0" xfId="32726" applyNumberFormat="1" applyFont="1" applyAlignment="1">
      <alignment horizontal="right" vertical="center"/>
    </xf>
    <xf numFmtId="222" fontId="242" fillId="0" borderId="0" xfId="32726" applyNumberFormat="1" applyFont="1" applyAlignment="1">
      <alignment horizontal="right" vertical="center"/>
    </xf>
    <xf numFmtId="222" fontId="247" fillId="0" borderId="0" xfId="32726" applyNumberFormat="1" applyFont="1" applyAlignment="1">
      <alignment horizontal="right" vertical="center"/>
    </xf>
    <xf numFmtId="0" fontId="248" fillId="0" borderId="51" xfId="32726" applyFont="1" applyBorder="1" applyAlignment="1">
      <alignment horizontal="left" vertical="center" wrapText="1"/>
    </xf>
    <xf numFmtId="222" fontId="248" fillId="0" borderId="51" xfId="32726" applyNumberFormat="1" applyFont="1" applyBorder="1" applyAlignment="1">
      <alignment horizontal="right" vertical="center"/>
    </xf>
    <xf numFmtId="222" fontId="248" fillId="0" borderId="52" xfId="32726" applyNumberFormat="1" applyFont="1" applyBorder="1" applyAlignment="1">
      <alignment horizontal="right" vertical="center"/>
    </xf>
    <xf numFmtId="222" fontId="249" fillId="0" borderId="0" xfId="32726" applyNumberFormat="1" applyFont="1" applyAlignment="1">
      <alignment horizontal="right" vertical="center"/>
    </xf>
    <xf numFmtId="0" fontId="248" fillId="0" borderId="54" xfId="32726" applyFont="1" applyBorder="1" applyAlignment="1">
      <alignment horizontal="left" vertical="center" wrapText="1"/>
    </xf>
    <xf numFmtId="222" fontId="248" fillId="0" borderId="54" xfId="32726" applyNumberFormat="1" applyFont="1" applyBorder="1" applyAlignment="1">
      <alignment horizontal="right" vertical="center"/>
    </xf>
    <xf numFmtId="222" fontId="248" fillId="0" borderId="55" xfId="32726" applyNumberFormat="1" applyFont="1" applyBorder="1" applyAlignment="1">
      <alignment horizontal="right" vertical="center"/>
    </xf>
    <xf numFmtId="0" fontId="238" fillId="0" borderId="54" xfId="32726" applyFont="1" applyFill="1" applyBorder="1" applyAlignment="1">
      <alignment horizontal="left" vertical="center" wrapText="1"/>
    </xf>
    <xf numFmtId="0" fontId="238" fillId="0" borderId="56" xfId="32726" applyFont="1" applyFill="1" applyBorder="1" applyAlignment="1">
      <alignment horizontal="left" vertical="center" wrapText="1"/>
    </xf>
    <xf numFmtId="4" fontId="237" fillId="7" borderId="0" xfId="32726" applyNumberFormat="1" applyFont="1" applyFill="1" applyAlignment="1">
      <alignment horizontal="right" vertical="center"/>
    </xf>
    <xf numFmtId="0" fontId="250" fillId="7" borderId="0" xfId="32726" applyFont="1" applyFill="1" applyAlignment="1">
      <alignment horizontal="center" vertical="center" wrapText="1"/>
    </xf>
    <xf numFmtId="221" fontId="245" fillId="0" borderId="56" xfId="32726" applyNumberFormat="1" applyFont="1" applyBorder="1" applyAlignment="1">
      <alignment horizontal="right" vertical="center"/>
    </xf>
    <xf numFmtId="221" fontId="245" fillId="0" borderId="57" xfId="32726" applyNumberFormat="1" applyFont="1" applyBorder="1" applyAlignment="1">
      <alignment horizontal="right" vertical="center"/>
    </xf>
    <xf numFmtId="0" fontId="251" fillId="0" borderId="54" xfId="32726" applyFont="1" applyBorder="1" applyAlignment="1">
      <alignment horizontal="left" vertical="center" wrapText="1"/>
    </xf>
    <xf numFmtId="49" fontId="250" fillId="0" borderId="0" xfId="32726" applyNumberFormat="1" applyFont="1" applyFill="1" applyAlignment="1">
      <alignment horizontal="center" vertical="center" wrapText="1"/>
    </xf>
    <xf numFmtId="4" fontId="252" fillId="7" borderId="0" xfId="32726" applyNumberFormat="1" applyFont="1" applyFill="1" applyAlignment="1">
      <alignment horizontal="right" vertical="center" wrapText="1"/>
    </xf>
    <xf numFmtId="14" fontId="17" fillId="0" borderId="0" xfId="0" applyNumberFormat="1" applyFont="1"/>
    <xf numFmtId="14" fontId="17" fillId="14" borderId="0" xfId="0" applyNumberFormat="1" applyFont="1" applyFill="1"/>
    <xf numFmtId="4" fontId="15" fillId="14" borderId="5" xfId="0" applyNumberFormat="1" applyFont="1" applyFill="1" applyBorder="1" applyAlignment="1">
      <alignment horizontal="right" vertical="center"/>
    </xf>
    <xf numFmtId="0" fontId="0" fillId="14" borderId="1" xfId="0" applyFill="1" applyBorder="1" applyAlignment="1">
      <alignment vertical="center"/>
    </xf>
    <xf numFmtId="4" fontId="215" fillId="139" borderId="0" xfId="0" applyNumberFormat="1" applyFont="1" applyFill="1" applyAlignment="1">
      <alignment horizontal="right" vertical="center" wrapText="1"/>
    </xf>
    <xf numFmtId="4" fontId="217" fillId="139" borderId="0" xfId="0" applyNumberFormat="1" applyFont="1" applyFill="1" applyAlignment="1">
      <alignment horizontal="right" vertical="center"/>
    </xf>
    <xf numFmtId="4" fontId="17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vertical="center"/>
    </xf>
    <xf numFmtId="49" fontId="17" fillId="22" borderId="0" xfId="0" applyNumberFormat="1" applyFont="1" applyFill="1" applyAlignment="1"/>
    <xf numFmtId="49" fontId="17" fillId="0" borderId="0" xfId="0" applyNumberFormat="1" applyFont="1" applyFill="1" applyAlignment="1"/>
    <xf numFmtId="0" fontId="208" fillId="7" borderId="56" xfId="32726" applyFont="1" applyFill="1" applyBorder="1" applyAlignment="1">
      <alignment horizontal="left" vertical="center" wrapText="1"/>
    </xf>
    <xf numFmtId="222" fontId="163" fillId="0" borderId="0" xfId="32726" applyNumberFormat="1"/>
    <xf numFmtId="0" fontId="208" fillId="0" borderId="0" xfId="32726" applyFont="1" applyFill="1" applyAlignment="1">
      <alignment horizontal="left" vertical="top" wrapText="1"/>
    </xf>
    <xf numFmtId="0" fontId="229" fillId="0" borderId="54" xfId="32726" applyFont="1" applyFill="1" applyBorder="1" applyAlignment="1">
      <alignment horizontal="left" vertical="center" wrapText="1"/>
    </xf>
    <xf numFmtId="0" fontId="208" fillId="0" borderId="0" xfId="32726" applyFont="1" applyFill="1" applyAlignment="1">
      <alignment horizontal="right" vertical="center"/>
    </xf>
    <xf numFmtId="221" fontId="208" fillId="0" borderId="54" xfId="32726" applyNumberFormat="1" applyFont="1" applyFill="1" applyBorder="1" applyAlignment="1">
      <alignment horizontal="right" vertical="center"/>
    </xf>
    <xf numFmtId="221" fontId="208" fillId="0" borderId="55" xfId="32726" applyNumberFormat="1" applyFont="1" applyFill="1" applyBorder="1" applyAlignment="1">
      <alignment horizontal="right" vertical="center"/>
    </xf>
    <xf numFmtId="0" fontId="208" fillId="7" borderId="0" xfId="32726" applyFont="1" applyFill="1" applyAlignment="1">
      <alignment horizontal="left" vertical="center" wrapText="1"/>
    </xf>
    <xf numFmtId="221" fontId="254" fillId="0" borderId="0" xfId="32726" applyNumberFormat="1" applyFont="1" applyAlignment="1">
      <alignment horizontal="right" vertical="center"/>
    </xf>
    <xf numFmtId="221" fontId="255" fillId="0" borderId="0" xfId="32726" applyNumberFormat="1" applyFont="1" applyAlignment="1">
      <alignment horizontal="right" vertical="center"/>
    </xf>
    <xf numFmtId="0" fontId="256" fillId="0" borderId="0" xfId="32726" applyFont="1" applyAlignment="1">
      <alignment horizontal="left" vertical="top" wrapText="1"/>
    </xf>
    <xf numFmtId="0" fontId="255" fillId="0" borderId="0" xfId="32726" applyFont="1" applyAlignment="1">
      <alignment horizontal="left" vertical="center" wrapText="1"/>
    </xf>
    <xf numFmtId="0" fontId="256" fillId="0" borderId="0" xfId="32726" applyFont="1" applyAlignment="1">
      <alignment horizontal="right" vertical="center"/>
    </xf>
    <xf numFmtId="0" fontId="256" fillId="0" borderId="0" xfId="32726" applyFont="1" applyAlignment="1">
      <alignment horizontal="left" vertical="center" wrapText="1"/>
    </xf>
    <xf numFmtId="221" fontId="257" fillId="140" borderId="60" xfId="32726" applyNumberFormat="1" applyFont="1" applyFill="1" applyBorder="1" applyAlignment="1">
      <alignment horizontal="right" vertical="center"/>
    </xf>
    <xf numFmtId="0" fontId="257" fillId="140" borderId="60" xfId="32726" applyFont="1" applyFill="1" applyBorder="1" applyAlignment="1">
      <alignment horizontal="left" vertical="center" wrapText="1"/>
    </xf>
    <xf numFmtId="221" fontId="254" fillId="0" borderId="55" xfId="32726" applyNumberFormat="1" applyFont="1" applyBorder="1" applyAlignment="1">
      <alignment horizontal="right" vertical="center"/>
    </xf>
    <xf numFmtId="221" fontId="254" fillId="0" borderId="54" xfId="32726" applyNumberFormat="1" applyFont="1" applyBorder="1" applyAlignment="1">
      <alignment horizontal="right" vertical="center"/>
    </xf>
    <xf numFmtId="0" fontId="254" fillId="0" borderId="54" xfId="32726" applyFont="1" applyBorder="1" applyAlignment="1">
      <alignment horizontal="left" vertical="center" wrapText="1"/>
    </xf>
    <xf numFmtId="221" fontId="258" fillId="132" borderId="61" xfId="32726" applyNumberFormat="1" applyFont="1" applyFill="1" applyBorder="1" applyAlignment="1">
      <alignment horizontal="right" vertical="center"/>
    </xf>
    <xf numFmtId="0" fontId="258" fillId="132" borderId="61" xfId="32726" applyFont="1" applyFill="1" applyBorder="1" applyAlignment="1">
      <alignment horizontal="left" vertical="center" wrapText="1"/>
    </xf>
    <xf numFmtId="221" fontId="258" fillId="132" borderId="62" xfId="32726" applyNumberFormat="1" applyFont="1" applyFill="1" applyBorder="1" applyAlignment="1">
      <alignment horizontal="right" vertical="center"/>
    </xf>
    <xf numFmtId="221" fontId="258" fillId="132" borderId="63" xfId="32726" applyNumberFormat="1" applyFont="1" applyFill="1" applyBorder="1" applyAlignment="1">
      <alignment horizontal="right" vertical="center"/>
    </xf>
    <xf numFmtId="0" fontId="258" fillId="132" borderId="63" xfId="32726" applyFont="1" applyFill="1" applyBorder="1" applyAlignment="1">
      <alignment horizontal="left" vertical="center" wrapText="1"/>
    </xf>
    <xf numFmtId="221" fontId="258" fillId="132" borderId="64" xfId="32726" applyNumberFormat="1" applyFont="1" applyFill="1" applyBorder="1" applyAlignment="1">
      <alignment horizontal="right" vertical="center"/>
    </xf>
    <xf numFmtId="0" fontId="258" fillId="132" borderId="64" xfId="32726" applyFont="1" applyFill="1" applyBorder="1" applyAlignment="1">
      <alignment horizontal="left" vertical="center" wrapText="1"/>
    </xf>
    <xf numFmtId="221" fontId="258" fillId="130" borderId="65" xfId="32726" applyNumberFormat="1" applyFont="1" applyFill="1" applyBorder="1" applyAlignment="1">
      <alignment horizontal="right" vertical="center"/>
    </xf>
    <xf numFmtId="0" fontId="258" fillId="130" borderId="65" xfId="32726" applyFont="1" applyFill="1" applyBorder="1" applyAlignment="1">
      <alignment horizontal="left" vertical="center" wrapText="1"/>
    </xf>
    <xf numFmtId="221" fontId="258" fillId="130" borderId="66" xfId="32726" applyNumberFormat="1" applyFont="1" applyFill="1" applyBorder="1" applyAlignment="1">
      <alignment horizontal="right" vertical="center"/>
    </xf>
    <xf numFmtId="0" fontId="258" fillId="130" borderId="67" xfId="32726" applyFont="1" applyFill="1" applyBorder="1" applyAlignment="1">
      <alignment horizontal="left" vertical="center" wrapText="1"/>
    </xf>
    <xf numFmtId="221" fontId="258" fillId="137" borderId="68" xfId="32726" applyNumberFormat="1" applyFont="1" applyFill="1" applyBorder="1" applyAlignment="1">
      <alignment horizontal="right" vertical="center"/>
    </xf>
    <xf numFmtId="221" fontId="258" fillId="137" borderId="69" xfId="32726" applyNumberFormat="1" applyFont="1" applyFill="1" applyBorder="1" applyAlignment="1">
      <alignment horizontal="right" vertical="center"/>
    </xf>
    <xf numFmtId="0" fontId="258" fillId="137" borderId="69" xfId="32726" applyFont="1" applyFill="1" applyBorder="1" applyAlignment="1">
      <alignment horizontal="left" vertical="center" wrapText="1"/>
    </xf>
    <xf numFmtId="0" fontId="257" fillId="130" borderId="65" xfId="32726" applyFont="1" applyFill="1" applyBorder="1" applyAlignment="1">
      <alignment horizontal="left" vertical="center" wrapText="1"/>
    </xf>
    <xf numFmtId="0" fontId="254" fillId="0" borderId="0" xfId="32726" applyFont="1" applyAlignment="1">
      <alignment horizontal="left" vertical="center" wrapText="1"/>
    </xf>
    <xf numFmtId="0" fontId="258" fillId="136" borderId="61" xfId="32726" applyFont="1" applyFill="1" applyBorder="1" applyAlignment="1">
      <alignment horizontal="left" vertical="center" wrapText="1"/>
    </xf>
    <xf numFmtId="14" fontId="51" fillId="14" borderId="0" xfId="32726" applyNumberFormat="1" applyFont="1" applyFill="1" applyAlignment="1">
      <alignment horizontal="center" vertical="top"/>
    </xf>
    <xf numFmtId="4" fontId="163" fillId="14" borderId="0" xfId="32726" applyNumberFormat="1" applyFill="1"/>
    <xf numFmtId="221" fontId="259" fillId="0" borderId="0" xfId="32726" applyNumberFormat="1" applyFont="1" applyAlignment="1">
      <alignment horizontal="right" vertical="center"/>
    </xf>
    <xf numFmtId="222" fontId="259" fillId="0" borderId="0" xfId="32726" applyNumberFormat="1" applyFont="1" applyAlignment="1">
      <alignment horizontal="right" vertical="center"/>
    </xf>
    <xf numFmtId="221" fontId="230" fillId="0" borderId="54" xfId="32726" applyNumberFormat="1" applyFont="1" applyBorder="1" applyAlignment="1">
      <alignment horizontal="right" vertical="center"/>
    </xf>
    <xf numFmtId="221" fontId="230" fillId="0" borderId="70" xfId="32726" applyNumberFormat="1" applyFont="1" applyBorder="1" applyAlignment="1">
      <alignment horizontal="right" vertical="center"/>
    </xf>
    <xf numFmtId="0" fontId="230" fillId="0" borderId="54" xfId="32726" applyFont="1" applyBorder="1" applyAlignment="1">
      <alignment horizontal="left" vertical="center" wrapText="1"/>
    </xf>
    <xf numFmtId="221" fontId="208" fillId="0" borderId="70" xfId="32726" applyNumberFormat="1" applyFont="1" applyBorder="1" applyAlignment="1">
      <alignment horizontal="right" vertical="center"/>
    </xf>
    <xf numFmtId="0" fontId="260" fillId="0" borderId="0" xfId="32726" applyFont="1" applyAlignment="1">
      <alignment horizontal="right" vertical="center" wrapText="1"/>
    </xf>
    <xf numFmtId="221" fontId="208" fillId="134" borderId="71" xfId="32726" applyNumberFormat="1" applyFont="1" applyFill="1" applyBorder="1" applyAlignment="1">
      <alignment horizontal="right" vertical="center"/>
    </xf>
    <xf numFmtId="0" fontId="208" fillId="134" borderId="51" xfId="32726" applyFont="1" applyFill="1" applyBorder="1" applyAlignment="1">
      <alignment horizontal="left" vertical="center" wrapText="1"/>
    </xf>
    <xf numFmtId="221" fontId="208" fillId="0" borderId="0" xfId="32726" applyNumberFormat="1" applyFont="1" applyAlignment="1">
      <alignment horizontal="right" vertical="center"/>
    </xf>
    <xf numFmtId="0" fontId="208" fillId="0" borderId="56" xfId="32726" applyFont="1" applyBorder="1" applyAlignment="1">
      <alignment horizontal="left" vertical="center" wrapText="1"/>
    </xf>
    <xf numFmtId="221" fontId="230" fillId="132" borderId="72" xfId="32726" applyNumberFormat="1" applyFont="1" applyFill="1" applyBorder="1" applyAlignment="1">
      <alignment horizontal="right" vertical="center"/>
    </xf>
    <xf numFmtId="221" fontId="230" fillId="132" borderId="73" xfId="32726" applyNumberFormat="1" applyFont="1" applyFill="1" applyBorder="1" applyAlignment="1">
      <alignment horizontal="right" vertical="center"/>
    </xf>
    <xf numFmtId="0" fontId="230" fillId="132" borderId="53" xfId="32726" applyFont="1" applyFill="1" applyBorder="1" applyAlignment="1">
      <alignment horizontal="left" vertical="center" wrapText="1"/>
    </xf>
    <xf numFmtId="221" fontId="208" fillId="134" borderId="54" xfId="32726" applyNumberFormat="1" applyFont="1" applyFill="1" applyBorder="1" applyAlignment="1">
      <alignment horizontal="right" vertical="center"/>
    </xf>
    <xf numFmtId="0" fontId="208" fillId="134" borderId="54" xfId="32726" applyFont="1" applyFill="1" applyBorder="1" applyAlignment="1">
      <alignment horizontal="left" vertical="center" wrapText="1"/>
    </xf>
    <xf numFmtId="221" fontId="230" fillId="132" borderId="53" xfId="32726" applyNumberFormat="1" applyFont="1" applyFill="1" applyBorder="1" applyAlignment="1">
      <alignment horizontal="right" vertical="center"/>
    </xf>
    <xf numFmtId="0" fontId="259" fillId="0" borderId="0" xfId="32726" applyFont="1" applyAlignment="1">
      <alignment horizontal="left" vertical="center" wrapText="1"/>
    </xf>
    <xf numFmtId="0" fontId="230" fillId="132" borderId="51" xfId="32726" applyFont="1" applyFill="1" applyBorder="1" applyAlignment="1">
      <alignment horizontal="center" vertical="center" wrapText="1"/>
    </xf>
    <xf numFmtId="0" fontId="230" fillId="132" borderId="71" xfId="32726" applyFont="1" applyFill="1" applyBorder="1" applyAlignment="1">
      <alignment horizontal="center" vertical="center" wrapText="1"/>
    </xf>
    <xf numFmtId="0" fontId="51" fillId="14" borderId="0" xfId="32726" applyFont="1" applyFill="1" applyAlignment="1">
      <alignment horizontal="center" vertical="top"/>
    </xf>
    <xf numFmtId="4" fontId="0" fillId="5" borderId="1" xfId="0" applyNumberFormat="1" applyFill="1" applyBorder="1"/>
    <xf numFmtId="0" fontId="261" fillId="0" borderId="0" xfId="42996" applyAlignment="1">
      <alignment vertical="top"/>
    </xf>
    <xf numFmtId="4" fontId="261" fillId="0" borderId="0" xfId="42996" applyNumberFormat="1" applyAlignment="1">
      <alignment vertical="top"/>
    </xf>
    <xf numFmtId="4" fontId="261" fillId="0" borderId="0" xfId="42996" applyNumberFormat="1" applyAlignment="1">
      <alignment horizontal="right" vertical="top"/>
    </xf>
    <xf numFmtId="0" fontId="261" fillId="106" borderId="1" xfId="42996" applyFill="1" applyBorder="1" applyAlignment="1">
      <alignment vertical="top"/>
    </xf>
    <xf numFmtId="0" fontId="261" fillId="106" borderId="1" xfId="42996" applyFill="1" applyBorder="1" applyAlignment="1">
      <alignment vertical="top" wrapText="1"/>
    </xf>
    <xf numFmtId="4" fontId="48" fillId="4" borderId="0" xfId="4" applyNumberFormat="1" applyFont="1" applyFill="1" applyAlignment="1">
      <alignment horizontal="right" vertical="center"/>
    </xf>
    <xf numFmtId="0" fontId="262" fillId="0" borderId="0" xfId="32726" applyFont="1" applyAlignment="1">
      <alignment horizontal="right" vertical="center"/>
    </xf>
    <xf numFmtId="0" fontId="262" fillId="0" borderId="0" xfId="32726" applyFont="1"/>
    <xf numFmtId="0" fontId="262" fillId="0" borderId="0" xfId="32726" applyFont="1" applyAlignment="1">
      <alignment horizontal="right"/>
    </xf>
    <xf numFmtId="4" fontId="163" fillId="14" borderId="0" xfId="32726" applyNumberFormat="1" applyFill="1" applyAlignment="1">
      <alignment vertical="center"/>
    </xf>
    <xf numFmtId="221" fontId="208" fillId="14" borderId="70" xfId="32726" applyNumberFormat="1" applyFont="1" applyFill="1" applyBorder="1" applyAlignment="1">
      <alignment horizontal="right" vertical="center"/>
    </xf>
    <xf numFmtId="4" fontId="163" fillId="0" borderId="0" xfId="32726" applyNumberFormat="1"/>
    <xf numFmtId="17" fontId="17" fillId="0" borderId="0" xfId="0" applyNumberFormat="1" applyFont="1"/>
    <xf numFmtId="0" fontId="17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263" fillId="0" borderId="0" xfId="42996" applyFont="1" applyAlignment="1">
      <alignment vertical="top"/>
    </xf>
    <xf numFmtId="4" fontId="261" fillId="3" borderId="1" xfId="42996" applyNumberFormat="1" applyFill="1" applyBorder="1" applyAlignment="1">
      <alignment horizontal="right" vertical="top"/>
    </xf>
    <xf numFmtId="14" fontId="264" fillId="0" borderId="0" xfId="42996" applyNumberFormat="1" applyFont="1" applyAlignment="1">
      <alignment vertical="top"/>
    </xf>
    <xf numFmtId="4" fontId="261" fillId="14" borderId="0" xfId="42996" applyNumberFormat="1" applyFill="1" applyAlignment="1">
      <alignment horizontal="right" vertical="top"/>
    </xf>
    <xf numFmtId="0" fontId="261" fillId="14" borderId="0" xfId="42996" applyFill="1" applyAlignment="1">
      <alignment vertical="top"/>
    </xf>
    <xf numFmtId="4" fontId="261" fillId="7" borderId="0" xfId="42996" applyNumberFormat="1" applyFill="1" applyAlignment="1">
      <alignment horizontal="right" vertical="top"/>
    </xf>
    <xf numFmtId="0" fontId="261" fillId="7" borderId="0" xfId="42996" applyFill="1" applyAlignment="1">
      <alignment vertical="top"/>
    </xf>
    <xf numFmtId="4" fontId="261" fillId="5" borderId="0" xfId="42996" applyNumberFormat="1" applyFill="1" applyAlignment="1">
      <alignment horizontal="right" vertical="top"/>
    </xf>
    <xf numFmtId="0" fontId="261" fillId="5" borderId="0" xfId="42996" applyFill="1" applyAlignment="1">
      <alignment vertical="top"/>
    </xf>
    <xf numFmtId="4" fontId="261" fillId="138" borderId="0" xfId="42996" applyNumberFormat="1" applyFill="1" applyAlignment="1">
      <alignment horizontal="right" vertical="top"/>
    </xf>
    <xf numFmtId="0" fontId="261" fillId="138" borderId="0" xfId="42996" applyFill="1" applyAlignment="1">
      <alignment vertical="top"/>
    </xf>
    <xf numFmtId="0" fontId="265" fillId="0" borderId="0" xfId="0" applyFont="1"/>
    <xf numFmtId="0" fontId="265" fillId="26" borderId="1" xfId="0" applyFont="1" applyFill="1" applyBorder="1"/>
    <xf numFmtId="165" fontId="265" fillId="26" borderId="11" xfId="31937" applyFont="1" applyFill="1" applyBorder="1"/>
    <xf numFmtId="0" fontId="265" fillId="26" borderId="1" xfId="0" applyFont="1" applyFill="1" applyBorder="1" applyAlignment="1">
      <alignment horizontal="center"/>
    </xf>
    <xf numFmtId="0" fontId="80" fillId="0" borderId="0" xfId="0" applyFont="1"/>
    <xf numFmtId="0" fontId="80" fillId="0" borderId="1" xfId="0" applyFont="1" applyBorder="1"/>
    <xf numFmtId="0" fontId="80" fillId="0" borderId="11" xfId="0" applyFont="1" applyBorder="1"/>
    <xf numFmtId="49" fontId="80" fillId="0" borderId="1" xfId="31937" applyNumberFormat="1" applyFont="1" applyBorder="1" applyAlignment="1">
      <alignment horizontal="center"/>
    </xf>
    <xf numFmtId="165" fontId="80" fillId="0" borderId="1" xfId="31937" applyFont="1" applyBorder="1"/>
    <xf numFmtId="4" fontId="80" fillId="0" borderId="1" xfId="31937" applyNumberFormat="1" applyFont="1" applyBorder="1" applyAlignment="1">
      <alignment horizontal="center"/>
    </xf>
    <xf numFmtId="165" fontId="80" fillId="0" borderId="1" xfId="0" applyNumberFormat="1" applyFont="1" applyBorder="1"/>
    <xf numFmtId="0" fontId="266" fillId="0" borderId="0" xfId="0" applyFont="1"/>
    <xf numFmtId="14" fontId="80" fillId="0" borderId="0" xfId="0" applyNumberFormat="1" applyFont="1" applyAlignment="1">
      <alignment horizontal="left" wrapText="1"/>
    </xf>
    <xf numFmtId="0" fontId="80" fillId="0" borderId="21" xfId="0" applyFont="1" applyBorder="1"/>
    <xf numFmtId="0" fontId="265" fillId="0" borderId="11" xfId="0" applyFont="1" applyFill="1" applyBorder="1"/>
    <xf numFmtId="0" fontId="265" fillId="0" borderId="1" xfId="0" applyFont="1" applyBorder="1"/>
    <xf numFmtId="165" fontId="265" fillId="0" borderId="1" xfId="0" applyNumberFormat="1" applyFont="1" applyBorder="1"/>
    <xf numFmtId="165" fontId="265" fillId="128" borderId="74" xfId="0" applyNumberFormat="1" applyFont="1" applyFill="1" applyBorder="1"/>
    <xf numFmtId="49" fontId="80" fillId="128" borderId="30" xfId="0" applyNumberFormat="1" applyFont="1" applyFill="1" applyBorder="1"/>
    <xf numFmtId="0" fontId="17" fillId="0" borderId="0" xfId="0" applyFont="1" applyFill="1" applyAlignment="1">
      <alignment vertical="center" wrapText="1"/>
    </xf>
    <xf numFmtId="0" fontId="17" fillId="14" borderId="0" xfId="0" applyFont="1" applyFill="1" applyAlignment="1">
      <alignment horizontal="left" vertical="center" wrapText="1"/>
    </xf>
    <xf numFmtId="4" fontId="17" fillId="14" borderId="0" xfId="0" applyNumberFormat="1" applyFont="1" applyFill="1" applyAlignment="1">
      <alignment horizontal="center" vertical="center" wrapText="1"/>
    </xf>
    <xf numFmtId="165" fontId="261" fillId="0" borderId="0" xfId="42996" applyNumberFormat="1" applyAlignment="1">
      <alignment vertical="top"/>
    </xf>
    <xf numFmtId="0" fontId="3" fillId="0" borderId="0" xfId="42996" applyFont="1" applyAlignment="1">
      <alignment vertical="top"/>
    </xf>
    <xf numFmtId="0" fontId="45" fillId="7" borderId="0" xfId="0" applyFont="1" applyFill="1" applyAlignment="1">
      <alignment vertical="center"/>
    </xf>
    <xf numFmtId="0" fontId="17" fillId="0" borderId="0" xfId="0" applyFont="1" applyAlignment="1">
      <alignment horizontal="left" vertical="top"/>
    </xf>
    <xf numFmtId="0" fontId="230" fillId="130" borderId="67" xfId="0" applyFont="1" applyFill="1" applyBorder="1" applyAlignment="1">
      <alignment horizontal="left" vertical="center" wrapText="1"/>
    </xf>
    <xf numFmtId="0" fontId="230" fillId="130" borderId="66" xfId="0" applyFont="1" applyFill="1" applyBorder="1" applyAlignment="1">
      <alignment horizontal="left" vertical="center" wrapText="1"/>
    </xf>
    <xf numFmtId="0" fontId="208" fillId="0" borderId="51" xfId="0" applyFont="1" applyBorder="1" applyAlignment="1">
      <alignment horizontal="left" vertical="center" wrapText="1"/>
    </xf>
    <xf numFmtId="221" fontId="208" fillId="0" borderId="52" xfId="0" applyNumberFormat="1" applyFont="1" applyBorder="1" applyAlignment="1">
      <alignment horizontal="right" vertical="center"/>
    </xf>
    <xf numFmtId="222" fontId="208" fillId="0" borderId="52" xfId="0" applyNumberFormat="1" applyFont="1" applyBorder="1" applyAlignment="1">
      <alignment horizontal="right" vertical="center"/>
    </xf>
    <xf numFmtId="0" fontId="208" fillId="0" borderId="52" xfId="0" applyFont="1" applyBorder="1" applyAlignment="1">
      <alignment horizontal="left" vertical="center" wrapText="1"/>
    </xf>
    <xf numFmtId="0" fontId="230" fillId="132" borderId="75" xfId="0" applyFont="1" applyFill="1" applyBorder="1" applyAlignment="1">
      <alignment horizontal="left" vertical="center" wrapText="1"/>
    </xf>
    <xf numFmtId="221" fontId="230" fillId="132" borderId="76" xfId="0" applyNumberFormat="1" applyFont="1" applyFill="1" applyBorder="1" applyAlignment="1">
      <alignment horizontal="right" vertical="center"/>
    </xf>
    <xf numFmtId="0" fontId="230" fillId="132" borderId="76" xfId="0" applyFont="1" applyFill="1" applyBorder="1" applyAlignment="1">
      <alignment horizontal="left" vertical="center" wrapText="1"/>
    </xf>
    <xf numFmtId="49" fontId="13" fillId="0" borderId="0" xfId="0" applyNumberFormat="1" applyFont="1" applyFill="1" applyAlignment="1">
      <alignment horizontal="center" vertical="center" wrapText="1"/>
    </xf>
    <xf numFmtId="49" fontId="17" fillId="0" borderId="0" xfId="0" applyNumberFormat="1" applyFont="1" applyFill="1" applyAlignment="1">
      <alignment horizontal="center"/>
    </xf>
    <xf numFmtId="17" fontId="0" fillId="14" borderId="0" xfId="0" applyNumberFormat="1" applyFill="1" applyAlignment="1">
      <alignment horizontal="center"/>
    </xf>
    <xf numFmtId="4" fontId="17" fillId="5" borderId="0" xfId="0" applyNumberFormat="1" applyFont="1" applyFill="1" applyAlignment="1">
      <alignment horizontal="center"/>
    </xf>
    <xf numFmtId="0" fontId="221" fillId="0" borderId="0" xfId="0" applyFont="1" applyFill="1" applyBorder="1" applyAlignment="1">
      <alignment vertical="center" wrapText="1"/>
    </xf>
    <xf numFmtId="0" fontId="17" fillId="14" borderId="0" xfId="0" applyFont="1" applyFill="1" applyAlignment="1">
      <alignment horizontal="center" vertical="center" wrapText="1"/>
    </xf>
    <xf numFmtId="0" fontId="17" fillId="7" borderId="1" xfId="0" applyFont="1" applyFill="1" applyBorder="1" applyAlignment="1">
      <alignment horizontal="center" vertical="center" wrapText="1"/>
    </xf>
    <xf numFmtId="4" fontId="17" fillId="7" borderId="1" xfId="0" applyNumberFormat="1" applyFont="1" applyFill="1" applyBorder="1"/>
    <xf numFmtId="4" fontId="48" fillId="7" borderId="0" xfId="10" applyNumberFormat="1" applyFont="1" applyFill="1" applyAlignment="1">
      <alignment vertical="center"/>
    </xf>
    <xf numFmtId="4" fontId="163" fillId="0" borderId="0" xfId="32726" applyNumberFormat="1" applyAlignment="1">
      <alignment horizontal="center" vertical="center"/>
    </xf>
    <xf numFmtId="4" fontId="0" fillId="0" borderId="9" xfId="0" applyNumberFormat="1" applyBorder="1" applyAlignment="1">
      <alignment horizontal="center"/>
    </xf>
    <xf numFmtId="4" fontId="57" fillId="13" borderId="0" xfId="42996" applyNumberFormat="1" applyFont="1" applyFill="1" applyAlignment="1">
      <alignment vertical="top"/>
    </xf>
    <xf numFmtId="0" fontId="13" fillId="138" borderId="2" xfId="4" applyFont="1" applyFill="1" applyBorder="1" applyAlignment="1">
      <alignment vertical="center" wrapText="1"/>
    </xf>
    <xf numFmtId="4" fontId="13" fillId="138" borderId="0" xfId="4" applyNumberFormat="1" applyFont="1" applyFill="1" applyAlignment="1">
      <alignment vertical="center"/>
    </xf>
    <xf numFmtId="4" fontId="13" fillId="138" borderId="0" xfId="10" applyNumberFormat="1" applyFont="1" applyFill="1" applyAlignment="1">
      <alignment vertical="center"/>
    </xf>
    <xf numFmtId="4" fontId="13" fillId="138" borderId="2" xfId="4" applyNumberFormat="1" applyFont="1" applyFill="1" applyBorder="1" applyAlignment="1">
      <alignment vertical="center"/>
    </xf>
    <xf numFmtId="4" fontId="38" fillId="7" borderId="0" xfId="0" applyNumberFormat="1" applyFont="1" applyFill="1"/>
    <xf numFmtId="4" fontId="3" fillId="0" borderId="0" xfId="42996" applyNumberFormat="1" applyFont="1" applyAlignment="1">
      <alignment vertical="top"/>
    </xf>
    <xf numFmtId="165" fontId="261" fillId="14" borderId="0" xfId="42996" applyNumberFormat="1" applyFill="1" applyAlignment="1">
      <alignment vertical="top"/>
    </xf>
    <xf numFmtId="180" fontId="261" fillId="14" borderId="0" xfId="42996" applyNumberFormat="1" applyFill="1" applyAlignment="1">
      <alignment vertical="top"/>
    </xf>
    <xf numFmtId="220" fontId="0" fillId="0" borderId="0" xfId="42994" applyNumberFormat="1" applyFont="1" applyFill="1"/>
    <xf numFmtId="0" fontId="17" fillId="0" borderId="1" xfId="0" applyFont="1" applyBorder="1" applyAlignment="1">
      <alignment horizontal="center"/>
    </xf>
    <xf numFmtId="4" fontId="17" fillId="12" borderId="1" xfId="0" applyNumberFormat="1" applyFont="1" applyFill="1" applyBorder="1"/>
    <xf numFmtId="0" fontId="13" fillId="20" borderId="2" xfId="4" applyFont="1" applyFill="1" applyBorder="1" applyAlignment="1">
      <alignment vertical="center" wrapText="1"/>
    </xf>
    <xf numFmtId="4" fontId="13" fillId="20" borderId="0" xfId="4" applyNumberFormat="1" applyFont="1" applyFill="1" applyAlignment="1">
      <alignment vertical="center"/>
    </xf>
    <xf numFmtId="4" fontId="13" fillId="20" borderId="0" xfId="10" applyNumberFormat="1" applyFont="1" applyFill="1" applyAlignment="1">
      <alignment vertical="center"/>
    </xf>
    <xf numFmtId="49" fontId="17" fillId="20" borderId="0" xfId="0" applyNumberFormat="1" applyFont="1" applyFill="1"/>
    <xf numFmtId="4" fontId="13" fillId="20" borderId="0" xfId="4" applyNumberFormat="1" applyFont="1" applyFill="1" applyBorder="1" applyAlignment="1">
      <alignment vertical="center"/>
    </xf>
    <xf numFmtId="4" fontId="13" fillId="20" borderId="0" xfId="10" applyNumberFormat="1" applyFont="1" applyFill="1" applyBorder="1" applyAlignment="1">
      <alignment vertical="center"/>
    </xf>
    <xf numFmtId="0" fontId="13" fillId="20" borderId="0" xfId="4" applyFont="1" applyFill="1" applyAlignment="1">
      <alignment vertical="center"/>
    </xf>
    <xf numFmtId="0" fontId="13" fillId="7" borderId="0" xfId="3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49" fontId="10" fillId="0" borderId="0" xfId="0" applyNumberFormat="1" applyFont="1" applyFill="1" applyAlignment="1">
      <alignment horizontal="center" vertical="center" wrapText="1"/>
    </xf>
    <xf numFmtId="4" fontId="11" fillId="27" borderId="0" xfId="0" applyNumberFormat="1" applyFont="1" applyFill="1" applyAlignment="1">
      <alignment horizontal="right" vertical="center"/>
    </xf>
    <xf numFmtId="0" fontId="38" fillId="0" borderId="0" xfId="0" applyFont="1" applyAlignment="1">
      <alignment vertical="center"/>
    </xf>
    <xf numFmtId="0" fontId="17" fillId="0" borderId="1" xfId="0" applyFont="1" applyBorder="1" applyAlignment="1">
      <alignment horizontal="center"/>
    </xf>
    <xf numFmtId="4" fontId="17" fillId="0" borderId="14" xfId="0" applyNumberFormat="1" applyFont="1" applyFill="1" applyBorder="1" applyAlignment="1">
      <alignment wrapText="1"/>
    </xf>
    <xf numFmtId="4" fontId="17" fillId="0" borderId="0" xfId="0" applyNumberFormat="1" applyFont="1" applyFill="1" applyBorder="1" applyAlignment="1">
      <alignment wrapText="1"/>
    </xf>
    <xf numFmtId="0" fontId="0" fillId="14" borderId="0" xfId="0" applyFill="1" applyAlignment="1">
      <alignment horizontal="center"/>
    </xf>
    <xf numFmtId="49" fontId="17" fillId="0" borderId="0" xfId="0" applyNumberFormat="1" applyFont="1" applyFill="1" applyAlignment="1">
      <alignment vertical="center"/>
    </xf>
    <xf numFmtId="4" fontId="17" fillId="141" borderId="0" xfId="0" applyNumberFormat="1" applyFont="1" applyFill="1"/>
    <xf numFmtId="0" fontId="13" fillId="0" borderId="0" xfId="4" applyFont="1" applyAlignment="1">
      <alignment horizontal="center" vertical="center"/>
    </xf>
    <xf numFmtId="44" fontId="48" fillId="12" borderId="0" xfId="42997" applyFont="1" applyFill="1" applyAlignment="1">
      <alignment vertical="center"/>
    </xf>
    <xf numFmtId="4" fontId="0" fillId="24" borderId="0" xfId="0" applyNumberFormat="1" applyFill="1"/>
    <xf numFmtId="0" fontId="13" fillId="0" borderId="0" xfId="4" applyFont="1" applyAlignment="1">
      <alignment horizontal="right" vertical="center"/>
    </xf>
    <xf numFmtId="223" fontId="13" fillId="0" borderId="0" xfId="4" applyNumberFormat="1" applyFont="1" applyAlignment="1">
      <alignment vertical="center"/>
    </xf>
    <xf numFmtId="49" fontId="51" fillId="0" borderId="0" xfId="0" applyNumberFormat="1" applyFont="1" applyAlignment="1">
      <alignment horizontal="center" wrapText="1"/>
    </xf>
    <xf numFmtId="49" fontId="262" fillId="0" borderId="1" xfId="0" applyNumberFormat="1" applyFont="1" applyFill="1" applyBorder="1" applyAlignment="1">
      <alignment vertical="center"/>
    </xf>
    <xf numFmtId="4" fontId="262" fillId="5" borderId="1" xfId="0" applyNumberFormat="1" applyFont="1" applyFill="1" applyBorder="1" applyAlignment="1">
      <alignment vertical="center"/>
    </xf>
    <xf numFmtId="49" fontId="262" fillId="5" borderId="1" xfId="0" applyNumberFormat="1" applyFont="1" applyFill="1" applyBorder="1" applyAlignment="1">
      <alignment vertical="center"/>
    </xf>
    <xf numFmtId="49" fontId="262" fillId="0" borderId="0" xfId="0" applyNumberFormat="1" applyFont="1" applyFill="1" applyAlignment="1">
      <alignment vertical="center"/>
    </xf>
    <xf numFmtId="4" fontId="262" fillId="0" borderId="0" xfId="0" applyNumberFormat="1" applyFont="1" applyFill="1" applyAlignment="1">
      <alignment vertical="center"/>
    </xf>
    <xf numFmtId="4" fontId="49" fillId="9" borderId="0" xfId="4" applyNumberFormat="1" applyFont="1" applyFill="1" applyAlignment="1">
      <alignment vertical="center"/>
    </xf>
    <xf numFmtId="4" fontId="48" fillId="7" borderId="0" xfId="4" applyNumberFormat="1" applyFont="1" applyFill="1" applyAlignment="1">
      <alignment vertical="center"/>
    </xf>
    <xf numFmtId="0" fontId="13" fillId="0" borderId="0" xfId="4" applyFont="1" applyFill="1" applyAlignment="1">
      <alignment horizontal="center" vertical="center"/>
    </xf>
    <xf numFmtId="4" fontId="13" fillId="0" borderId="0" xfId="4" applyNumberFormat="1" applyFont="1" applyFill="1" applyAlignment="1">
      <alignment horizontal="center" vertical="center"/>
    </xf>
    <xf numFmtId="223" fontId="13" fillId="14" borderId="0" xfId="4" applyNumberFormat="1" applyFont="1" applyFill="1" applyAlignment="1">
      <alignment vertical="center"/>
    </xf>
    <xf numFmtId="9" fontId="13" fillId="0" borderId="0" xfId="42994" applyFont="1" applyAlignment="1">
      <alignment vertical="center"/>
    </xf>
    <xf numFmtId="49" fontId="250" fillId="7" borderId="0" xfId="32726" applyNumberFormat="1" applyFont="1" applyFill="1" applyAlignment="1">
      <alignment horizontal="center" vertical="center" wrapText="1"/>
    </xf>
    <xf numFmtId="0" fontId="227" fillId="130" borderId="51" xfId="32726" applyFont="1" applyFill="1" applyBorder="1" applyAlignment="1">
      <alignment horizontal="left" vertical="center" wrapText="1"/>
    </xf>
    <xf numFmtId="4" fontId="268" fillId="0" borderId="0" xfId="4" applyNumberFormat="1" applyFont="1" applyFill="1" applyAlignment="1">
      <alignment vertical="center"/>
    </xf>
    <xf numFmtId="224" fontId="268" fillId="0" borderId="0" xfId="4" applyNumberFormat="1" applyFont="1" applyFill="1" applyAlignment="1">
      <alignment vertical="center"/>
    </xf>
    <xf numFmtId="4" fontId="268" fillId="0" borderId="0" xfId="4" applyNumberFormat="1" applyFont="1" applyFill="1" applyAlignment="1">
      <alignment horizontal="center" vertical="center"/>
    </xf>
    <xf numFmtId="4" fontId="268" fillId="14" borderId="0" xfId="4" applyNumberFormat="1" applyFont="1" applyFill="1" applyAlignment="1">
      <alignment horizontal="center" vertical="center"/>
    </xf>
    <xf numFmtId="4" fontId="268" fillId="5" borderId="0" xfId="4" applyNumberFormat="1" applyFont="1" applyFill="1" applyAlignment="1">
      <alignment horizontal="center" vertical="center"/>
    </xf>
    <xf numFmtId="4" fontId="268" fillId="5" borderId="0" xfId="4" applyNumberFormat="1" applyFont="1" applyFill="1" applyAlignment="1">
      <alignment vertical="center"/>
    </xf>
    <xf numFmtId="49" fontId="268" fillId="0" borderId="0" xfId="4" applyNumberFormat="1" applyFont="1" applyFill="1" applyAlignment="1">
      <alignment vertical="center"/>
    </xf>
    <xf numFmtId="4" fontId="271" fillId="0" borderId="0" xfId="4" applyNumberFormat="1" applyFont="1" applyFill="1" applyAlignment="1">
      <alignment vertical="center"/>
    </xf>
    <xf numFmtId="44" fontId="268" fillId="0" borderId="0" xfId="42997" applyFont="1" applyFill="1" applyAlignment="1">
      <alignment vertical="center"/>
    </xf>
    <xf numFmtId="4" fontId="272" fillId="0" borderId="0" xfId="4" applyNumberFormat="1" applyFont="1" applyFill="1" applyAlignment="1">
      <alignment vertical="center"/>
    </xf>
    <xf numFmtId="4" fontId="268" fillId="0" borderId="0" xfId="4" applyNumberFormat="1" applyFont="1" applyFill="1" applyAlignment="1">
      <alignment vertical="center" wrapText="1"/>
    </xf>
    <xf numFmtId="4" fontId="271" fillId="12" borderId="0" xfId="4" applyNumberFormat="1" applyFont="1" applyFill="1" applyAlignment="1">
      <alignment vertical="center"/>
    </xf>
    <xf numFmtId="4" fontId="268" fillId="7" borderId="0" xfId="4" applyNumberFormat="1" applyFont="1" applyFill="1" applyAlignment="1">
      <alignment vertical="center" wrapText="1"/>
    </xf>
    <xf numFmtId="4" fontId="48" fillId="24" borderId="0" xfId="4" applyNumberFormat="1" applyFont="1" applyFill="1" applyAlignment="1">
      <alignment vertical="center"/>
    </xf>
    <xf numFmtId="0" fontId="17" fillId="0" borderId="0" xfId="0" applyFont="1" applyFill="1" applyAlignment="1">
      <alignment horizontal="center" vertical="center" wrapText="1"/>
    </xf>
    <xf numFmtId="4" fontId="273" fillId="0" borderId="0" xfId="4" applyNumberFormat="1" applyFont="1" applyFill="1" applyAlignment="1">
      <alignment vertical="center"/>
    </xf>
    <xf numFmtId="4" fontId="17" fillId="19" borderId="0" xfId="0" applyNumberFormat="1" applyFont="1" applyFill="1" applyBorder="1"/>
    <xf numFmtId="4" fontId="13" fillId="0" borderId="0" xfId="3" applyNumberFormat="1" applyFont="1" applyFill="1" applyBorder="1" applyAlignment="1">
      <alignment horizontal="center" vertical="center"/>
    </xf>
    <xf numFmtId="4" fontId="17" fillId="6" borderId="86" xfId="0" applyNumberFormat="1" applyFont="1" applyFill="1" applyBorder="1"/>
    <xf numFmtId="4" fontId="17" fillId="6" borderId="0" xfId="0" applyNumberFormat="1" applyFont="1" applyFill="1" applyBorder="1"/>
    <xf numFmtId="4" fontId="21" fillId="0" borderId="0" xfId="3" applyNumberFormat="1" applyFont="1" applyFill="1" applyBorder="1" applyAlignment="1">
      <alignment vertical="center"/>
    </xf>
    <xf numFmtId="4" fontId="21" fillId="7" borderId="0" xfId="3" applyNumberFormat="1" applyFont="1" applyFill="1" applyBorder="1" applyAlignment="1">
      <alignment vertical="center"/>
    </xf>
    <xf numFmtId="221" fontId="163" fillId="0" borderId="0" xfId="32726" applyNumberFormat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4" fontId="13" fillId="14" borderId="0" xfId="8" applyNumberFormat="1" applyFont="1" applyFill="1" applyBorder="1"/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Border="1" applyAlignment="1">
      <alignment vertical="center"/>
    </xf>
    <xf numFmtId="4" fontId="17" fillId="7" borderId="0" xfId="0" applyNumberFormat="1" applyFont="1" applyFill="1" applyAlignment="1">
      <alignment vertical="center"/>
    </xf>
    <xf numFmtId="4" fontId="0" fillId="0" borderId="0" xfId="0" applyNumberFormat="1" applyFont="1" applyAlignment="1">
      <alignment vertical="center"/>
    </xf>
    <xf numFmtId="0" fontId="17" fillId="0" borderId="0" xfId="0" applyFont="1" applyFill="1" applyBorder="1" applyAlignment="1">
      <alignment vertical="center"/>
    </xf>
    <xf numFmtId="4" fontId="17" fillId="14" borderId="0" xfId="0" applyNumberFormat="1" applyFont="1" applyFill="1" applyBorder="1" applyAlignment="1">
      <alignment vertical="center"/>
    </xf>
    <xf numFmtId="4" fontId="17" fillId="0" borderId="0" xfId="0" applyNumberFormat="1" applyFont="1" applyFill="1" applyAlignment="1">
      <alignment vertical="center"/>
    </xf>
    <xf numFmtId="4" fontId="0" fillId="0" borderId="0" xfId="0" applyNumberFormat="1" applyFont="1" applyFill="1" applyAlignment="1">
      <alignment vertical="center"/>
    </xf>
    <xf numFmtId="0" fontId="0" fillId="7" borderId="0" xfId="0" applyFont="1" applyFill="1" applyAlignment="1">
      <alignment vertical="center"/>
    </xf>
    <xf numFmtId="223" fontId="0" fillId="7" borderId="0" xfId="0" applyNumberFormat="1" applyFont="1" applyFill="1" applyAlignment="1">
      <alignment vertical="center"/>
    </xf>
    <xf numFmtId="0" fontId="17" fillId="14" borderId="0" xfId="0" applyFont="1" applyFill="1" applyAlignment="1">
      <alignment horizontal="center" vertical="center"/>
    </xf>
    <xf numFmtId="220" fontId="0" fillId="0" borderId="0" xfId="42994" applyNumberFormat="1" applyFont="1" applyAlignment="1">
      <alignment vertical="center"/>
    </xf>
    <xf numFmtId="223" fontId="0" fillId="0" borderId="0" xfId="0" applyNumberFormat="1" applyFont="1" applyFill="1" applyAlignment="1">
      <alignment vertical="center"/>
    </xf>
    <xf numFmtId="0" fontId="17" fillId="0" borderId="0" xfId="0" applyFont="1" applyAlignment="1">
      <alignment horizontal="center" vertical="center"/>
    </xf>
    <xf numFmtId="0" fontId="205" fillId="0" borderId="0" xfId="0" applyFont="1" applyAlignment="1">
      <alignment horizontal="left" vertical="center"/>
    </xf>
    <xf numFmtId="0" fontId="52" fillId="0" borderId="0" xfId="0" applyFont="1" applyAlignment="1">
      <alignment horizontal="right" vertical="center"/>
    </xf>
    <xf numFmtId="0" fontId="205" fillId="0" borderId="0" xfId="0" applyFont="1" applyFill="1" applyAlignment="1">
      <alignment horizontal="left" vertical="center"/>
    </xf>
    <xf numFmtId="0" fontId="0" fillId="7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4" fontId="17" fillId="7" borderId="1" xfId="0" applyNumberFormat="1" applyFont="1" applyFill="1" applyBorder="1" applyAlignment="1">
      <alignment vertical="center"/>
    </xf>
    <xf numFmtId="0" fontId="0" fillId="5" borderId="0" xfId="0" applyFont="1" applyFill="1" applyAlignment="1">
      <alignment vertical="center"/>
    </xf>
    <xf numFmtId="0" fontId="17" fillId="14" borderId="0" xfId="0" applyFont="1" applyFill="1" applyAlignment="1">
      <alignment vertical="center"/>
    </xf>
    <xf numFmtId="178" fontId="0" fillId="0" borderId="0" xfId="0" applyNumberFormat="1" applyFont="1" applyAlignment="1">
      <alignment vertical="center"/>
    </xf>
    <xf numFmtId="0" fontId="17" fillId="2" borderId="0" xfId="0" applyFont="1" applyFill="1" applyAlignment="1">
      <alignment vertical="center"/>
    </xf>
    <xf numFmtId="4" fontId="17" fillId="2" borderId="0" xfId="0" applyNumberFormat="1" applyFont="1" applyFill="1" applyAlignment="1">
      <alignment vertical="center"/>
    </xf>
    <xf numFmtId="4" fontId="269" fillId="0" borderId="0" xfId="0" applyNumberFormat="1" applyFont="1" applyFill="1" applyAlignment="1">
      <alignment vertical="center"/>
    </xf>
    <xf numFmtId="14" fontId="45" fillId="14" borderId="0" xfId="0" applyNumberFormat="1" applyFont="1" applyFill="1" applyAlignment="1">
      <alignment horizontal="center" vertical="center"/>
    </xf>
    <xf numFmtId="0" fontId="50" fillId="141" borderId="0" xfId="0" applyFont="1" applyFill="1" applyAlignment="1">
      <alignment horizontal="center" vertical="center"/>
    </xf>
    <xf numFmtId="49" fontId="35" fillId="8" borderId="0" xfId="0" applyNumberFormat="1" applyFont="1" applyFill="1" applyAlignment="1">
      <alignment vertical="center"/>
    </xf>
    <xf numFmtId="4" fontId="35" fillId="8" borderId="0" xfId="0" applyNumberFormat="1" applyFont="1" applyFill="1" applyAlignment="1">
      <alignment vertical="center"/>
    </xf>
    <xf numFmtId="4" fontId="269" fillId="0" borderId="0" xfId="0" applyNumberFormat="1" applyFont="1" applyFill="1" applyAlignment="1">
      <alignment horizontal="center" vertical="center"/>
    </xf>
    <xf numFmtId="4" fontId="35" fillId="141" borderId="0" xfId="0" applyNumberFormat="1" applyFont="1" applyFill="1" applyAlignment="1">
      <alignment vertical="center"/>
    </xf>
    <xf numFmtId="4" fontId="35" fillId="0" borderId="0" xfId="0" applyNumberFormat="1" applyFont="1" applyFill="1" applyAlignment="1">
      <alignment vertical="center"/>
    </xf>
    <xf numFmtId="49" fontId="50" fillId="5" borderId="0" xfId="0" applyNumberFormat="1" applyFont="1" applyFill="1" applyAlignment="1">
      <alignment vertical="center"/>
    </xf>
    <xf numFmtId="4" fontId="50" fillId="5" borderId="0" xfId="0" applyNumberFormat="1" applyFont="1" applyFill="1" applyAlignment="1">
      <alignment vertical="center"/>
    </xf>
    <xf numFmtId="49" fontId="45" fillId="9" borderId="0" xfId="0" applyNumberFormat="1" applyFont="1" applyFill="1" applyAlignment="1">
      <alignment vertical="center"/>
    </xf>
    <xf numFmtId="4" fontId="45" fillId="9" borderId="0" xfId="0" applyNumberFormat="1" applyFont="1" applyFill="1" applyAlignment="1">
      <alignment vertical="center"/>
    </xf>
    <xf numFmtId="4" fontId="270" fillId="0" borderId="0" xfId="0" applyNumberFormat="1" applyFont="1" applyFill="1" applyAlignment="1">
      <alignment vertical="center"/>
    </xf>
    <xf numFmtId="49" fontId="17" fillId="10" borderId="0" xfId="0" applyNumberFormat="1" applyFont="1" applyFill="1" applyAlignment="1">
      <alignment vertical="center"/>
    </xf>
    <xf numFmtId="4" fontId="17" fillId="10" borderId="0" xfId="0" applyNumberFormat="1" applyFont="1" applyFill="1" applyAlignment="1">
      <alignment vertical="center"/>
    </xf>
    <xf numFmtId="49" fontId="17" fillId="11" borderId="0" xfId="0" applyNumberFormat="1" applyFont="1" applyFill="1" applyAlignment="1">
      <alignment vertical="center"/>
    </xf>
    <xf numFmtId="4" fontId="17" fillId="11" borderId="0" xfId="0" applyNumberFormat="1" applyFont="1" applyFill="1" applyAlignment="1">
      <alignment vertical="center"/>
    </xf>
    <xf numFmtId="0" fontId="17" fillId="0" borderId="77" xfId="0" applyFont="1" applyBorder="1" applyAlignment="1">
      <alignment vertical="center"/>
    </xf>
    <xf numFmtId="0" fontId="17" fillId="0" borderId="78" xfId="0" applyFont="1" applyBorder="1" applyAlignment="1">
      <alignment vertical="center"/>
    </xf>
    <xf numFmtId="0" fontId="17" fillId="0" borderId="79" xfId="0" applyFont="1" applyBorder="1" applyAlignment="1">
      <alignment vertical="center"/>
    </xf>
    <xf numFmtId="0" fontId="17" fillId="0" borderId="80" xfId="0" applyFont="1" applyBorder="1" applyAlignment="1">
      <alignment vertical="center"/>
    </xf>
    <xf numFmtId="0" fontId="17" fillId="0" borderId="83" xfId="0" applyFont="1" applyBorder="1" applyAlignment="1">
      <alignment vertical="center"/>
    </xf>
    <xf numFmtId="0" fontId="17" fillId="0" borderId="84" xfId="0" applyFont="1" applyBorder="1" applyAlignment="1">
      <alignment vertical="center"/>
    </xf>
    <xf numFmtId="0" fontId="17" fillId="0" borderId="85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17" fillId="0" borderId="82" xfId="0" applyFont="1" applyBorder="1" applyAlignment="1">
      <alignment vertical="center"/>
    </xf>
    <xf numFmtId="0" fontId="17" fillId="0" borderId="81" xfId="0" applyFont="1" applyBorder="1" applyAlignment="1">
      <alignment vertical="center"/>
    </xf>
    <xf numFmtId="49" fontId="17" fillId="12" borderId="0" xfId="0" applyNumberFormat="1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45" fillId="9" borderId="0" xfId="0" applyFont="1" applyFill="1" applyAlignment="1">
      <alignment vertical="center"/>
    </xf>
    <xf numFmtId="49" fontId="45" fillId="13" borderId="0" xfId="0" applyNumberFormat="1" applyFont="1" applyFill="1" applyAlignment="1">
      <alignment vertical="center"/>
    </xf>
    <xf numFmtId="4" fontId="45" fillId="13" borderId="0" xfId="0" applyNumberFormat="1" applyFont="1" applyFill="1" applyAlignment="1">
      <alignment vertical="center"/>
    </xf>
    <xf numFmtId="49" fontId="17" fillId="24" borderId="0" xfId="0" applyNumberFormat="1" applyFont="1" applyFill="1" applyAlignment="1">
      <alignment vertical="center"/>
    </xf>
    <xf numFmtId="0" fontId="50" fillId="5" borderId="0" xfId="0" applyFont="1" applyFill="1" applyAlignment="1">
      <alignment vertical="center"/>
    </xf>
    <xf numFmtId="4" fontId="269" fillId="14" borderId="0" xfId="0" applyNumberFormat="1" applyFont="1" applyFill="1" applyAlignment="1">
      <alignment horizontal="center" vertical="center"/>
    </xf>
    <xf numFmtId="49" fontId="17" fillId="7" borderId="0" xfId="0" applyNumberFormat="1" applyFont="1" applyFill="1" applyAlignment="1">
      <alignment vertical="center"/>
    </xf>
    <xf numFmtId="0" fontId="17" fillId="10" borderId="0" xfId="0" applyFont="1" applyFill="1" applyAlignment="1">
      <alignment vertical="center"/>
    </xf>
    <xf numFmtId="0" fontId="45" fillId="0" borderId="0" xfId="0" applyFont="1" applyAlignment="1">
      <alignment horizontal="center" vertical="center"/>
    </xf>
    <xf numFmtId="0" fontId="17" fillId="24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44" fontId="17" fillId="12" borderId="0" xfId="42997" applyFont="1" applyFill="1" applyAlignment="1">
      <alignment vertical="center"/>
    </xf>
    <xf numFmtId="44" fontId="17" fillId="0" borderId="0" xfId="42997" applyFont="1" applyFill="1" applyAlignment="1">
      <alignment vertical="center"/>
    </xf>
    <xf numFmtId="44" fontId="17" fillId="0" borderId="0" xfId="42997" applyFont="1" applyAlignment="1">
      <alignment vertical="center"/>
    </xf>
    <xf numFmtId="44" fontId="45" fillId="0" borderId="0" xfId="42997" applyFont="1" applyAlignment="1">
      <alignment horizontal="center" vertical="center"/>
    </xf>
    <xf numFmtId="49" fontId="17" fillId="19" borderId="0" xfId="0" applyNumberFormat="1" applyFont="1" applyFill="1" applyAlignment="1">
      <alignment vertical="center"/>
    </xf>
    <xf numFmtId="49" fontId="17" fillId="0" borderId="0" xfId="0" applyNumberFormat="1" applyFont="1" applyAlignment="1">
      <alignment vertical="center"/>
    </xf>
    <xf numFmtId="49" fontId="17" fillId="129" borderId="0" xfId="0" applyNumberFormat="1" applyFont="1" applyFill="1" applyAlignment="1">
      <alignment vertical="center"/>
    </xf>
    <xf numFmtId="49" fontId="17" fillId="14" borderId="0" xfId="0" applyNumberFormat="1" applyFont="1" applyFill="1" applyAlignment="1">
      <alignment vertical="center"/>
    </xf>
    <xf numFmtId="0" fontId="269" fillId="0" borderId="0" xfId="0" applyFont="1" applyFill="1" applyAlignment="1">
      <alignment horizontal="left" vertical="center"/>
    </xf>
    <xf numFmtId="0" fontId="17" fillId="128" borderId="0" xfId="0" applyFont="1" applyFill="1" applyAlignment="1">
      <alignment vertical="center"/>
    </xf>
    <xf numFmtId="4" fontId="17" fillId="24" borderId="0" xfId="0" applyNumberFormat="1" applyFont="1" applyFill="1" applyAlignment="1">
      <alignment vertical="center"/>
    </xf>
    <xf numFmtId="0" fontId="17" fillId="12" borderId="0" xfId="0" applyFont="1" applyFill="1" applyAlignment="1">
      <alignment vertical="center"/>
    </xf>
    <xf numFmtId="4" fontId="17" fillId="12" borderId="0" xfId="0" applyNumberFormat="1" applyFont="1" applyFill="1" applyAlignment="1">
      <alignment vertical="center"/>
    </xf>
    <xf numFmtId="4" fontId="269" fillId="19" borderId="0" xfId="0" applyNumberFormat="1" applyFont="1" applyFill="1" applyAlignment="1">
      <alignment vertical="center"/>
    </xf>
    <xf numFmtId="0" fontId="274" fillId="0" borderId="0" xfId="0" applyFont="1" applyFill="1" applyAlignment="1">
      <alignment horizontal="left" vertical="center"/>
    </xf>
    <xf numFmtId="0" fontId="17" fillId="0" borderId="1" xfId="0" applyFont="1" applyFill="1" applyBorder="1" applyAlignment="1">
      <alignment horizontal="center"/>
    </xf>
    <xf numFmtId="225" fontId="0" fillId="0" borderId="0" xfId="42994" applyNumberFormat="1" applyFont="1" applyFill="1" applyAlignment="1">
      <alignment vertical="center"/>
    </xf>
    <xf numFmtId="4" fontId="269" fillId="5" borderId="0" xfId="0" applyNumberFormat="1" applyFont="1" applyFill="1" applyAlignment="1">
      <alignment vertical="center"/>
    </xf>
    <xf numFmtId="4" fontId="270" fillId="12" borderId="0" xfId="0" applyNumberFormat="1" applyFont="1" applyFill="1" applyAlignment="1">
      <alignment horizontal="center" vertical="center"/>
    </xf>
    <xf numFmtId="49" fontId="13" fillId="12" borderId="0" xfId="0" applyNumberFormat="1" applyFont="1" applyFill="1" applyAlignment="1">
      <alignment vertical="center"/>
    </xf>
    <xf numFmtId="4" fontId="17" fillId="0" borderId="0" xfId="0" applyNumberFormat="1" applyFont="1" applyFill="1" applyBorder="1" applyAlignment="1">
      <alignment horizontal="center"/>
    </xf>
    <xf numFmtId="0" fontId="7" fillId="7" borderId="0" xfId="0" applyFont="1" applyFill="1" applyBorder="1" applyAlignment="1">
      <alignment vertical="center" wrapText="1"/>
    </xf>
    <xf numFmtId="0" fontId="15" fillId="7" borderId="0" xfId="0" applyFont="1" applyFill="1" applyBorder="1" applyAlignment="1">
      <alignment vertical="center" wrapText="1"/>
    </xf>
    <xf numFmtId="4" fontId="268" fillId="7" borderId="0" xfId="4" applyNumberFormat="1" applyFont="1" applyFill="1" applyAlignment="1">
      <alignment vertical="center"/>
    </xf>
    <xf numFmtId="4" fontId="11" fillId="0" borderId="0" xfId="0" applyNumberFormat="1" applyFont="1" applyFill="1" applyAlignment="1">
      <alignment horizontal="right" vertical="center" wrapText="1"/>
    </xf>
    <xf numFmtId="4" fontId="0" fillId="0" borderId="0" xfId="0" applyNumberFormat="1"/>
    <xf numFmtId="10" fontId="223" fillId="0" borderId="0" xfId="0" applyNumberFormat="1" applyFont="1" applyFill="1" applyAlignment="1">
      <alignment horizontal="left" vertical="center" wrapText="1"/>
    </xf>
    <xf numFmtId="0" fontId="223" fillId="0" borderId="0" xfId="0" applyFont="1" applyFill="1" applyAlignment="1">
      <alignment horizontal="left" vertical="center" wrapText="1"/>
    </xf>
    <xf numFmtId="10" fontId="223" fillId="15" borderId="0" xfId="0" applyNumberFormat="1" applyFont="1" applyFill="1" applyAlignment="1">
      <alignment horizontal="left" vertical="center" wrapText="1"/>
    </xf>
    <xf numFmtId="10" fontId="223" fillId="15" borderId="0" xfId="0" applyNumberFormat="1" applyFont="1" applyFill="1" applyAlignment="1">
      <alignment horizontal="left" vertical="center"/>
    </xf>
    <xf numFmtId="0" fontId="223" fillId="15" borderId="0" xfId="0" applyFont="1" applyFill="1" applyAlignment="1">
      <alignment horizontal="left" vertical="center"/>
    </xf>
    <xf numFmtId="220" fontId="0" fillId="0" borderId="0" xfId="42994" applyNumberFormat="1" applyFont="1"/>
    <xf numFmtId="0" fontId="7" fillId="0" borderId="0" xfId="0" applyFont="1" applyFill="1" applyBorder="1" applyAlignment="1">
      <alignment horizontal="center" vertical="center" wrapText="1"/>
    </xf>
    <xf numFmtId="4" fontId="277" fillId="15" borderId="0" xfId="0" applyNumberFormat="1" applyFont="1" applyFill="1" applyAlignment="1">
      <alignment horizontal="right" vertical="center" wrapText="1"/>
    </xf>
    <xf numFmtId="4" fontId="277" fillId="0" borderId="0" xfId="0" applyNumberFormat="1" applyFont="1" applyFill="1" applyAlignment="1">
      <alignment horizontal="right" vertical="center" wrapText="1"/>
    </xf>
    <xf numFmtId="0" fontId="279" fillId="0" borderId="0" xfId="0" applyFont="1"/>
    <xf numFmtId="4" fontId="277" fillId="15" borderId="5" xfId="0" applyNumberFormat="1" applyFont="1" applyFill="1" applyBorder="1" applyAlignment="1">
      <alignment horizontal="right" vertical="center" wrapText="1"/>
    </xf>
    <xf numFmtId="4" fontId="277" fillId="0" borderId="5" xfId="0" applyNumberFormat="1" applyFont="1" applyFill="1" applyBorder="1" applyAlignment="1">
      <alignment horizontal="right" vertical="center" wrapText="1"/>
    </xf>
    <xf numFmtId="4" fontId="280" fillId="0" borderId="0" xfId="0" applyNumberFormat="1" applyFont="1" applyFill="1" applyAlignment="1">
      <alignment horizontal="right" vertical="center" wrapText="1"/>
    </xf>
    <xf numFmtId="4" fontId="277" fillId="15" borderId="87" xfId="0" applyNumberFormat="1" applyFont="1" applyFill="1" applyBorder="1" applyAlignment="1">
      <alignment horizontal="right" vertical="center" wrapText="1"/>
    </xf>
    <xf numFmtId="4" fontId="277" fillId="0" borderId="87" xfId="0" applyNumberFormat="1" applyFont="1" applyFill="1" applyBorder="1" applyAlignment="1">
      <alignment horizontal="right" vertical="center" wrapText="1"/>
    </xf>
    <xf numFmtId="0" fontId="9" fillId="0" borderId="88" xfId="0" applyFont="1" applyBorder="1" applyAlignment="1">
      <alignment horizontal="left" vertical="center"/>
    </xf>
    <xf numFmtId="49" fontId="12" fillId="0" borderId="88" xfId="0" applyNumberFormat="1" applyFont="1" applyBorder="1" applyAlignment="1">
      <alignment horizontal="center" vertical="center"/>
    </xf>
    <xf numFmtId="4" fontId="16" fillId="0" borderId="88" xfId="0" applyNumberFormat="1" applyFont="1" applyBorder="1" applyAlignment="1">
      <alignment horizontal="right" vertical="center" wrapText="1"/>
    </xf>
    <xf numFmtId="4" fontId="16" fillId="0" borderId="88" xfId="0" applyNumberFormat="1" applyFont="1" applyFill="1" applyBorder="1" applyAlignment="1">
      <alignment horizontal="right" vertical="center" wrapText="1"/>
    </xf>
    <xf numFmtId="4" fontId="279" fillId="0" borderId="0" xfId="0" applyNumberFormat="1" applyFont="1"/>
    <xf numFmtId="0" fontId="277" fillId="0" borderId="0" xfId="0" applyFont="1" applyAlignment="1">
      <alignment horizontal="center" vertical="center" wrapText="1"/>
    </xf>
    <xf numFmtId="4" fontId="277" fillId="15" borderId="0" xfId="0" applyNumberFormat="1" applyFont="1" applyFill="1" applyAlignment="1">
      <alignment horizontal="right" vertical="center"/>
    </xf>
    <xf numFmtId="4" fontId="277" fillId="0" borderId="0" xfId="0" applyNumberFormat="1" applyFont="1" applyFill="1" applyAlignment="1">
      <alignment horizontal="right" vertical="center"/>
    </xf>
    <xf numFmtId="0" fontId="277" fillId="0" borderId="0" xfId="0" applyFont="1" applyAlignment="1">
      <alignment horizontal="justify" vertical="center"/>
    </xf>
    <xf numFmtId="4" fontId="277" fillId="15" borderId="87" xfId="0" applyNumberFormat="1" applyFont="1" applyFill="1" applyBorder="1" applyAlignment="1">
      <alignment horizontal="right" vertical="center"/>
    </xf>
    <xf numFmtId="4" fontId="277" fillId="0" borderId="87" xfId="0" applyNumberFormat="1" applyFont="1" applyFill="1" applyBorder="1" applyAlignment="1">
      <alignment horizontal="right" vertical="center"/>
    </xf>
    <xf numFmtId="4" fontId="280" fillId="14" borderId="0" xfId="0" applyNumberFormat="1" applyFont="1" applyFill="1"/>
    <xf numFmtId="0" fontId="280" fillId="15" borderId="0" xfId="0" applyFont="1" applyFill="1" applyAlignment="1">
      <alignment horizontal="right" vertical="center"/>
    </xf>
    <xf numFmtId="0" fontId="277" fillId="0" borderId="88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4" fontId="13" fillId="0" borderId="0" xfId="0" applyNumberFormat="1" applyFont="1" applyBorder="1" applyAlignment="1">
      <alignment horizontal="right" vertical="center"/>
    </xf>
    <xf numFmtId="4" fontId="13" fillId="0" borderId="0" xfId="0" applyNumberFormat="1" applyFont="1" applyBorder="1" applyAlignment="1">
      <alignment horizontal="right" vertical="center" wrapText="1"/>
    </xf>
    <xf numFmtId="4" fontId="13" fillId="0" borderId="0" xfId="0" applyNumberFormat="1" applyFont="1" applyFill="1" applyBorder="1" applyAlignment="1">
      <alignment horizontal="right" vertical="center"/>
    </xf>
    <xf numFmtId="4" fontId="21" fillId="0" borderId="0" xfId="0" applyNumberFormat="1" applyFont="1" applyFill="1" applyBorder="1" applyAlignment="1">
      <alignment horizontal="right" vertical="center"/>
    </xf>
    <xf numFmtId="0" fontId="22" fillId="0" borderId="0" xfId="0" applyFont="1" applyBorder="1" applyAlignment="1">
      <alignment horizontal="left" vertical="center" wrapText="1"/>
    </xf>
    <xf numFmtId="4" fontId="9" fillId="0" borderId="0" xfId="0" applyNumberFormat="1" applyFont="1" applyBorder="1" applyAlignment="1">
      <alignment horizontal="right" vertical="center"/>
    </xf>
    <xf numFmtId="4" fontId="9" fillId="0" borderId="0" xfId="0" applyNumberFormat="1" applyFont="1" applyBorder="1" applyAlignment="1">
      <alignment horizontal="right" vertical="center" wrapText="1"/>
    </xf>
    <xf numFmtId="4" fontId="11" fillId="0" borderId="0" xfId="0" applyNumberFormat="1" applyFont="1" applyBorder="1" applyAlignment="1">
      <alignment horizontal="right" vertical="center"/>
    </xf>
    <xf numFmtId="4" fontId="11" fillId="0" borderId="0" xfId="0" applyNumberFormat="1" applyFont="1" applyBorder="1" applyAlignment="1">
      <alignment horizontal="right" vertical="center" wrapText="1"/>
    </xf>
    <xf numFmtId="4" fontId="7" fillId="0" borderId="0" xfId="0" applyNumberFormat="1" applyFont="1" applyBorder="1" applyAlignment="1">
      <alignment horizontal="right" vertical="center"/>
    </xf>
    <xf numFmtId="4" fontId="11" fillId="0" borderId="0" xfId="0" applyNumberFormat="1" applyFont="1" applyBorder="1" applyAlignment="1">
      <alignment horizontal="center" vertical="center"/>
    </xf>
    <xf numFmtId="4" fontId="11" fillId="0" borderId="0" xfId="0" applyNumberFormat="1" applyFont="1" applyFill="1" applyBorder="1" applyAlignment="1">
      <alignment horizontal="right" vertical="center"/>
    </xf>
    <xf numFmtId="0" fontId="11" fillId="15" borderId="0" xfId="0" applyFont="1" applyFill="1" applyBorder="1" applyAlignment="1">
      <alignment horizontal="left" vertical="center"/>
    </xf>
    <xf numFmtId="4" fontId="13" fillId="15" borderId="0" xfId="0" applyNumberFormat="1" applyFont="1" applyFill="1" applyBorder="1" applyAlignment="1">
      <alignment horizontal="right" vertical="center"/>
    </xf>
    <xf numFmtId="4" fontId="13" fillId="15" borderId="0" xfId="0" applyNumberFormat="1" applyFont="1" applyFill="1" applyBorder="1" applyAlignment="1">
      <alignment horizontal="right" vertical="center" wrapText="1"/>
    </xf>
    <xf numFmtId="4" fontId="21" fillId="15" borderId="0" xfId="0" applyNumberFormat="1" applyFont="1" applyFill="1" applyBorder="1" applyAlignment="1">
      <alignment horizontal="right" vertical="center"/>
    </xf>
    <xf numFmtId="4" fontId="277" fillId="15" borderId="0" xfId="0" applyNumberFormat="1" applyFont="1" applyFill="1" applyBorder="1" applyAlignment="1">
      <alignment horizontal="right" vertical="center"/>
    </xf>
    <xf numFmtId="4" fontId="277" fillId="15" borderId="0" xfId="0" applyNumberFormat="1" applyFont="1" applyFill="1" applyBorder="1" applyAlignment="1">
      <alignment horizontal="right" vertical="center" wrapText="1"/>
    </xf>
    <xf numFmtId="0" fontId="22" fillId="15" borderId="0" xfId="0" applyFont="1" applyFill="1" applyBorder="1" applyAlignment="1">
      <alignment horizontal="left" vertical="center"/>
    </xf>
    <xf numFmtId="4" fontId="9" fillId="15" borderId="0" xfId="0" applyNumberFormat="1" applyFont="1" applyFill="1" applyBorder="1" applyAlignment="1">
      <alignment horizontal="right" vertical="center"/>
    </xf>
    <xf numFmtId="4" fontId="9" fillId="15" borderId="0" xfId="0" applyNumberFormat="1" applyFont="1" applyFill="1" applyBorder="1" applyAlignment="1">
      <alignment horizontal="right" vertical="center" wrapText="1"/>
    </xf>
    <xf numFmtId="0" fontId="13" fillId="15" borderId="0" xfId="0" applyFont="1" applyFill="1" applyBorder="1" applyAlignment="1">
      <alignment horizontal="left" vertical="center"/>
    </xf>
    <xf numFmtId="4" fontId="11" fillId="15" borderId="0" xfId="0" applyNumberFormat="1" applyFont="1" applyFill="1" applyBorder="1" applyAlignment="1">
      <alignment horizontal="right" vertical="center"/>
    </xf>
    <xf numFmtId="4" fontId="11" fillId="15" borderId="0" xfId="0" applyNumberFormat="1" applyFont="1" applyFill="1" applyBorder="1" applyAlignment="1">
      <alignment horizontal="right" vertical="center" wrapText="1"/>
    </xf>
    <xf numFmtId="4" fontId="7" fillId="15" borderId="0" xfId="0" applyNumberFormat="1" applyFont="1" applyFill="1" applyBorder="1" applyAlignment="1">
      <alignment horizontal="right" vertical="center"/>
    </xf>
    <xf numFmtId="0" fontId="277" fillId="0" borderId="87" xfId="0" applyFont="1" applyBorder="1" applyAlignment="1">
      <alignment horizontal="left" vertical="center" wrapText="1"/>
    </xf>
    <xf numFmtId="4" fontId="277" fillId="0" borderId="87" xfId="0" applyNumberFormat="1" applyFont="1" applyBorder="1" applyAlignment="1">
      <alignment horizontal="right" vertical="center" wrapText="1"/>
    </xf>
    <xf numFmtId="0" fontId="13" fillId="0" borderId="91" xfId="0" applyFont="1" applyBorder="1" applyAlignment="1">
      <alignment vertical="center"/>
    </xf>
    <xf numFmtId="0" fontId="7" fillId="0" borderId="91" xfId="0" applyFont="1" applyBorder="1" applyAlignment="1">
      <alignment horizontal="center" vertical="center" wrapText="1"/>
    </xf>
    <xf numFmtId="0" fontId="13" fillId="0" borderId="91" xfId="0" applyFont="1" applyBorder="1" applyAlignment="1">
      <alignment horizontal="left" vertical="center" wrapText="1"/>
    </xf>
    <xf numFmtId="0" fontId="13" fillId="0" borderId="91" xfId="0" applyFont="1" applyBorder="1" applyAlignment="1">
      <alignment horizontal="right" vertical="center" wrapText="1"/>
    </xf>
    <xf numFmtId="0" fontId="13" fillId="0" borderId="91" xfId="0" applyFont="1" applyBorder="1" applyAlignment="1">
      <alignment horizontal="right" vertical="center"/>
    </xf>
    <xf numFmtId="0" fontId="281" fillId="0" borderId="0" xfId="0" applyFont="1" applyAlignment="1">
      <alignment horizontal="justify" vertical="center"/>
    </xf>
    <xf numFmtId="0" fontId="277" fillId="0" borderId="0" xfId="0" applyFont="1" applyAlignment="1">
      <alignment horizontal="left" vertical="center" wrapText="1"/>
    </xf>
    <xf numFmtId="0" fontId="277" fillId="15" borderId="0" xfId="0" applyFont="1" applyFill="1" applyAlignment="1">
      <alignment horizontal="right" vertical="center" wrapText="1"/>
    </xf>
    <xf numFmtId="0" fontId="277" fillId="15" borderId="0" xfId="0" applyFont="1" applyFill="1" applyAlignment="1">
      <alignment horizontal="right" vertical="center"/>
    </xf>
    <xf numFmtId="4" fontId="280" fillId="0" borderId="0" xfId="0" applyNumberFormat="1" applyFont="1"/>
    <xf numFmtId="4" fontId="283" fillId="15" borderId="0" xfId="0" applyNumberFormat="1" applyFont="1" applyFill="1" applyAlignment="1">
      <alignment horizontal="right" vertical="center" wrapText="1"/>
    </xf>
    <xf numFmtId="4" fontId="283" fillId="15" borderId="0" xfId="0" applyNumberFormat="1" applyFont="1" applyFill="1" applyAlignment="1">
      <alignment horizontal="right" vertical="center"/>
    </xf>
    <xf numFmtId="0" fontId="277" fillId="0" borderId="5" xfId="0" applyFont="1" applyBorder="1" applyAlignment="1">
      <alignment horizontal="left" vertical="center" wrapText="1"/>
    </xf>
    <xf numFmtId="0" fontId="7" fillId="15" borderId="89" xfId="0" applyFont="1" applyFill="1" applyBorder="1" applyAlignment="1">
      <alignment horizontal="center" vertical="center" wrapText="1"/>
    </xf>
    <xf numFmtId="0" fontId="7" fillId="0" borderId="89" xfId="0" applyFont="1" applyFill="1" applyBorder="1" applyAlignment="1">
      <alignment horizontal="center" vertical="center" wrapText="1"/>
    </xf>
    <xf numFmtId="0" fontId="7" fillId="15" borderId="88" xfId="0" applyFont="1" applyFill="1" applyBorder="1" applyAlignment="1">
      <alignment horizontal="center" vertical="center" wrapText="1"/>
    </xf>
    <xf numFmtId="0" fontId="7" fillId="0" borderId="88" xfId="0" applyFont="1" applyFill="1" applyBorder="1" applyAlignment="1">
      <alignment horizontal="center" vertical="center" wrapText="1"/>
    </xf>
    <xf numFmtId="0" fontId="224" fillId="15" borderId="0" xfId="0" applyFont="1" applyFill="1" applyBorder="1" applyAlignment="1">
      <alignment horizontal="left" vertical="center"/>
    </xf>
    <xf numFmtId="0" fontId="224" fillId="0" borderId="0" xfId="0" applyFont="1" applyFill="1" applyBorder="1" applyAlignment="1">
      <alignment horizontal="left" vertical="center" wrapText="1"/>
    </xf>
    <xf numFmtId="0" fontId="224" fillId="15" borderId="87" xfId="0" applyFont="1" applyFill="1" applyBorder="1" applyAlignment="1">
      <alignment horizontal="left" vertical="center"/>
    </xf>
    <xf numFmtId="0" fontId="224" fillId="0" borderId="87" xfId="0" applyFont="1" applyFill="1" applyBorder="1" applyAlignment="1">
      <alignment horizontal="left" vertical="center" wrapText="1"/>
    </xf>
    <xf numFmtId="0" fontId="277" fillId="0" borderId="0" xfId="0" applyFont="1" applyBorder="1" applyAlignment="1">
      <alignment horizontal="left" vertical="center" wrapText="1"/>
    </xf>
    <xf numFmtId="0" fontId="7" fillId="0" borderId="87" xfId="0" applyFont="1" applyFill="1" applyBorder="1" applyAlignment="1">
      <alignment horizontal="center" vertical="center" wrapText="1"/>
    </xf>
    <xf numFmtId="0" fontId="284" fillId="0" borderId="90" xfId="0" applyFont="1" applyBorder="1" applyAlignment="1">
      <alignment horizontal="left" vertical="center" wrapText="1"/>
    </xf>
    <xf numFmtId="4" fontId="284" fillId="15" borderId="90" xfId="0" applyNumberFormat="1" applyFont="1" applyFill="1" applyBorder="1" applyAlignment="1">
      <alignment horizontal="right" vertical="center" wrapText="1"/>
    </xf>
    <xf numFmtId="0" fontId="277" fillId="0" borderId="0" xfId="0" applyFont="1" applyFill="1" applyAlignment="1">
      <alignment horizontal="right" vertical="center" wrapText="1"/>
    </xf>
    <xf numFmtId="0" fontId="277" fillId="0" borderId="0" xfId="0" applyFont="1" applyFill="1" applyAlignment="1">
      <alignment horizontal="right" vertical="center"/>
    </xf>
    <xf numFmtId="0" fontId="280" fillId="0" borderId="0" xfId="0" applyFont="1"/>
    <xf numFmtId="0" fontId="284" fillId="0" borderId="88" xfId="0" applyFont="1" applyBorder="1" applyAlignment="1">
      <alignment horizontal="left" vertical="center" wrapText="1"/>
    </xf>
    <xf numFmtId="4" fontId="284" fillId="0" borderId="88" xfId="0" applyNumberFormat="1" applyFont="1" applyFill="1" applyBorder="1" applyAlignment="1">
      <alignment horizontal="right" vertical="center" wrapText="1"/>
    </xf>
    <xf numFmtId="4" fontId="284" fillId="0" borderId="90" xfId="0" applyNumberFormat="1" applyFont="1" applyFill="1" applyBorder="1" applyAlignment="1">
      <alignment horizontal="right" vertical="center" wrapText="1"/>
    </xf>
    <xf numFmtId="0" fontId="7" fillId="0" borderId="92" xfId="0" applyFont="1" applyFill="1" applyBorder="1" applyAlignment="1">
      <alignment horizontal="center" vertical="center" wrapText="1"/>
    </xf>
    <xf numFmtId="4" fontId="280" fillId="14" borderId="0" xfId="0" applyNumberFormat="1" applyFont="1" applyFill="1" applyAlignment="1">
      <alignment horizontal="center"/>
    </xf>
    <xf numFmtId="0" fontId="279" fillId="0" borderId="0" xfId="0" applyFont="1" applyFill="1"/>
    <xf numFmtId="0" fontId="13" fillId="0" borderId="0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right" vertical="center" wrapText="1"/>
    </xf>
    <xf numFmtId="0" fontId="11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 wrapText="1"/>
    </xf>
    <xf numFmtId="0" fontId="13" fillId="0" borderId="90" xfId="0" applyFont="1" applyBorder="1" applyAlignment="1">
      <alignment horizontal="left" vertical="center" wrapText="1"/>
    </xf>
    <xf numFmtId="0" fontId="11" fillId="0" borderId="90" xfId="0" applyFont="1" applyBorder="1" applyAlignment="1">
      <alignment horizontal="right" vertical="center" wrapText="1"/>
    </xf>
    <xf numFmtId="0" fontId="11" fillId="0" borderId="90" xfId="0" applyFont="1" applyBorder="1" applyAlignment="1">
      <alignment horizontal="right" vertical="center"/>
    </xf>
    <xf numFmtId="0" fontId="7" fillId="0" borderId="90" xfId="0" applyFont="1" applyBorder="1" applyAlignment="1">
      <alignment horizontal="right" vertical="center" wrapText="1"/>
    </xf>
    <xf numFmtId="0" fontId="13" fillId="0" borderId="92" xfId="0" applyFont="1" applyBorder="1" applyAlignment="1">
      <alignment horizontal="left" vertical="center" wrapText="1"/>
    </xf>
    <xf numFmtId="4" fontId="11" fillId="15" borderId="92" xfId="0" applyNumberFormat="1" applyFont="1" applyFill="1" applyBorder="1" applyAlignment="1">
      <alignment horizontal="right" vertical="center" wrapText="1"/>
    </xf>
    <xf numFmtId="4" fontId="11" fillId="15" borderId="92" xfId="0" applyNumberFormat="1" applyFont="1" applyFill="1" applyBorder="1" applyAlignment="1">
      <alignment horizontal="right" vertical="center"/>
    </xf>
    <xf numFmtId="4" fontId="7" fillId="15" borderId="92" xfId="0" applyNumberFormat="1" applyFont="1" applyFill="1" applyBorder="1" applyAlignment="1">
      <alignment horizontal="right" vertical="center" wrapText="1"/>
    </xf>
    <xf numFmtId="4" fontId="7" fillId="15" borderId="0" xfId="0" applyNumberFormat="1" applyFont="1" applyFill="1" applyBorder="1" applyAlignment="1">
      <alignment horizontal="right" vertical="center" wrapText="1"/>
    </xf>
    <xf numFmtId="0" fontId="277" fillId="0" borderId="0" xfId="0" applyFont="1" applyFill="1" applyBorder="1" applyAlignment="1">
      <alignment horizontal="left" vertical="center" wrapText="1"/>
    </xf>
    <xf numFmtId="4" fontId="277" fillId="0" borderId="0" xfId="0" applyNumberFormat="1" applyFont="1" applyFill="1" applyBorder="1" applyAlignment="1">
      <alignment horizontal="right" vertical="center" wrapText="1"/>
    </xf>
    <xf numFmtId="0" fontId="13" fillId="0" borderId="0" xfId="0" applyFont="1" applyFill="1" applyBorder="1" applyAlignment="1">
      <alignment horizontal="left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4" fontId="7" fillId="0" borderId="0" xfId="0" applyNumberFormat="1" applyFont="1" applyFill="1" applyBorder="1" applyAlignment="1">
      <alignment horizontal="right" vertical="center" wrapText="1"/>
    </xf>
    <xf numFmtId="0" fontId="13" fillId="0" borderId="90" xfId="0" applyFont="1" applyFill="1" applyBorder="1" applyAlignment="1">
      <alignment horizontal="left" vertical="center" wrapText="1"/>
    </xf>
    <xf numFmtId="0" fontId="11" fillId="0" borderId="90" xfId="0" applyFont="1" applyFill="1" applyBorder="1" applyAlignment="1">
      <alignment horizontal="right" vertical="center" wrapText="1"/>
    </xf>
    <xf numFmtId="0" fontId="11" fillId="0" borderId="90" xfId="0" applyFont="1" applyFill="1" applyBorder="1" applyAlignment="1">
      <alignment horizontal="right" vertical="center"/>
    </xf>
    <xf numFmtId="0" fontId="7" fillId="0" borderId="90" xfId="0" applyFont="1" applyFill="1" applyBorder="1" applyAlignment="1">
      <alignment horizontal="right" vertical="center" wrapText="1"/>
    </xf>
    <xf numFmtId="0" fontId="277" fillId="0" borderId="87" xfId="0" applyFont="1" applyFill="1" applyBorder="1" applyAlignment="1">
      <alignment horizontal="left" vertical="center" wrapText="1"/>
    </xf>
    <xf numFmtId="4" fontId="277" fillId="0" borderId="0" xfId="0" applyNumberFormat="1" applyFont="1" applyFill="1" applyBorder="1" applyAlignment="1">
      <alignment vertical="center" wrapText="1"/>
    </xf>
    <xf numFmtId="0" fontId="279" fillId="0" borderId="0" xfId="0" applyFont="1" applyFill="1" applyBorder="1"/>
    <xf numFmtId="4" fontId="280" fillId="14" borderId="0" xfId="0" applyNumberFormat="1" applyFont="1" applyFill="1" applyBorder="1"/>
    <xf numFmtId="4" fontId="11" fillId="15" borderId="0" xfId="0" applyNumberFormat="1" applyFont="1" applyFill="1" applyBorder="1" applyAlignment="1">
      <alignment vertical="center" wrapText="1"/>
    </xf>
    <xf numFmtId="0" fontId="11" fillId="0" borderId="88" xfId="0" applyFont="1" applyBorder="1" applyAlignment="1">
      <alignment horizontal="center" vertical="center" wrapText="1"/>
    </xf>
    <xf numFmtId="4" fontId="277" fillId="15" borderId="0" xfId="0" applyNumberFormat="1" applyFont="1" applyFill="1" applyBorder="1" applyAlignment="1">
      <alignment vertical="center" wrapText="1"/>
    </xf>
    <xf numFmtId="0" fontId="15" fillId="0" borderId="89" xfId="0" applyFont="1" applyBorder="1" applyAlignment="1">
      <alignment horizontal="left" vertical="center" wrapText="1"/>
    </xf>
    <xf numFmtId="4" fontId="9" fillId="14" borderId="89" xfId="0" applyNumberFormat="1" applyFont="1" applyFill="1" applyBorder="1" applyAlignment="1">
      <alignment vertical="center" wrapText="1"/>
    </xf>
    <xf numFmtId="0" fontId="0" fillId="0" borderId="88" xfId="0" applyBorder="1"/>
    <xf numFmtId="0" fontId="279" fillId="0" borderId="0" xfId="0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89" xfId="0" applyFont="1" applyFill="1" applyBorder="1" applyAlignment="1">
      <alignment horizontal="left" vertical="center" wrapText="1"/>
    </xf>
    <xf numFmtId="4" fontId="11" fillId="0" borderId="89" xfId="0" applyNumberFormat="1" applyFont="1" applyFill="1" applyBorder="1" applyAlignment="1">
      <alignment vertical="center" wrapText="1"/>
    </xf>
    <xf numFmtId="0" fontId="280" fillId="0" borderId="88" xfId="0" applyFont="1" applyFill="1" applyBorder="1" applyAlignment="1">
      <alignment horizontal="left" vertical="center" wrapText="1"/>
    </xf>
    <xf numFmtId="4" fontId="277" fillId="0" borderId="88" xfId="0" applyNumberFormat="1" applyFont="1" applyFill="1" applyBorder="1" applyAlignment="1">
      <alignment vertical="center" wrapText="1"/>
    </xf>
    <xf numFmtId="0" fontId="285" fillId="0" borderId="0" xfId="0" applyFont="1" applyAlignment="1">
      <alignment horizontal="justify" vertical="center"/>
    </xf>
    <xf numFmtId="0" fontId="277" fillId="0" borderId="88" xfId="0" applyFont="1" applyBorder="1" applyAlignment="1">
      <alignment horizontal="justify" vertical="center" wrapText="1"/>
    </xf>
    <xf numFmtId="4" fontId="277" fillId="15" borderId="88" xfId="0" applyNumberFormat="1" applyFont="1" applyFill="1" applyBorder="1" applyAlignment="1">
      <alignment horizontal="right" vertical="center" wrapText="1"/>
    </xf>
    <xf numFmtId="4" fontId="277" fillId="0" borderId="88" xfId="0" applyNumberFormat="1" applyFont="1" applyFill="1" applyBorder="1" applyAlignment="1">
      <alignment horizontal="right" vertical="center" wrapText="1"/>
    </xf>
    <xf numFmtId="0" fontId="11" fillId="0" borderId="87" xfId="0" applyFont="1" applyBorder="1" applyAlignment="1">
      <alignment horizontal="left" vertical="center" wrapText="1"/>
    </xf>
    <xf numFmtId="4" fontId="11" fillId="15" borderId="87" xfId="0" applyNumberFormat="1" applyFont="1" applyFill="1" applyBorder="1" applyAlignment="1">
      <alignment horizontal="right" vertical="center"/>
    </xf>
    <xf numFmtId="4" fontId="11" fillId="0" borderId="87" xfId="0" applyNumberFormat="1" applyFont="1" applyFill="1" applyBorder="1" applyAlignment="1">
      <alignment horizontal="right" vertical="center"/>
    </xf>
    <xf numFmtId="4" fontId="9" fillId="0" borderId="0" xfId="0" applyNumberFormat="1" applyFont="1" applyFill="1" applyBorder="1" applyAlignment="1">
      <alignment horizontal="right" vertical="center"/>
    </xf>
    <xf numFmtId="0" fontId="277" fillId="0" borderId="90" xfId="0" applyFont="1" applyBorder="1" applyAlignment="1">
      <alignment horizontal="left" vertical="center" wrapText="1"/>
    </xf>
    <xf numFmtId="4" fontId="277" fillId="15" borderId="90" xfId="0" applyNumberFormat="1" applyFont="1" applyFill="1" applyBorder="1" applyAlignment="1">
      <alignment horizontal="right" vertical="center"/>
    </xf>
    <xf numFmtId="4" fontId="277" fillId="0" borderId="90" xfId="0" applyNumberFormat="1" applyFont="1" applyFill="1" applyBorder="1" applyAlignment="1">
      <alignment horizontal="right" vertical="center"/>
    </xf>
    <xf numFmtId="0" fontId="0" fillId="0" borderId="92" xfId="0" applyBorder="1"/>
    <xf numFmtId="4" fontId="17" fillId="14" borderId="92" xfId="0" applyNumberFormat="1" applyFont="1" applyFill="1" applyBorder="1"/>
    <xf numFmtId="0" fontId="277" fillId="0" borderId="89" xfId="0" applyFont="1" applyBorder="1" applyAlignment="1">
      <alignment horizontal="left" vertical="center" wrapText="1"/>
    </xf>
    <xf numFmtId="0" fontId="277" fillId="15" borderId="89" xfId="0" applyFont="1" applyFill="1" applyBorder="1" applyAlignment="1">
      <alignment horizontal="right" vertical="center"/>
    </xf>
    <xf numFmtId="0" fontId="277" fillId="0" borderId="89" xfId="0" applyFont="1" applyFill="1" applyBorder="1" applyAlignment="1">
      <alignment horizontal="right" vertical="center"/>
    </xf>
    <xf numFmtId="4" fontId="277" fillId="15" borderId="88" xfId="0" applyNumberFormat="1" applyFont="1" applyFill="1" applyBorder="1" applyAlignment="1">
      <alignment horizontal="right" vertical="center"/>
    </xf>
    <xf numFmtId="4" fontId="277" fillId="0" borderId="88" xfId="0" applyNumberFormat="1" applyFont="1" applyFill="1" applyBorder="1" applyAlignment="1">
      <alignment horizontal="right" vertical="center"/>
    </xf>
    <xf numFmtId="0" fontId="277" fillId="15" borderId="0" xfId="0" applyFont="1" applyFill="1" applyAlignment="1">
      <alignment horizontal="left" vertical="center" wrapText="1"/>
    </xf>
    <xf numFmtId="0" fontId="21" fillId="15" borderId="89" xfId="0" applyFont="1" applyFill="1" applyBorder="1" applyAlignment="1">
      <alignment horizontal="center" vertical="center" wrapText="1"/>
    </xf>
    <xf numFmtId="0" fontId="21" fillId="0" borderId="89" xfId="0" applyFont="1" applyBorder="1" applyAlignment="1">
      <alignment horizontal="center" vertical="center" wrapText="1"/>
    </xf>
    <xf numFmtId="0" fontId="21" fillId="15" borderId="88" xfId="0" applyFont="1" applyFill="1" applyBorder="1" applyAlignment="1">
      <alignment horizontal="center" vertical="center" wrapText="1"/>
    </xf>
    <xf numFmtId="0" fontId="21" fillId="0" borderId="88" xfId="0" applyFont="1" applyBorder="1" applyAlignment="1">
      <alignment horizontal="center" vertical="center" wrapText="1"/>
    </xf>
    <xf numFmtId="4" fontId="277" fillId="0" borderId="0" xfId="0" applyNumberFormat="1" applyFont="1" applyAlignment="1">
      <alignment horizontal="right" vertical="center" wrapText="1"/>
    </xf>
    <xf numFmtId="4" fontId="280" fillId="0" borderId="0" xfId="0" applyNumberFormat="1" applyFont="1" applyAlignment="1">
      <alignment horizontal="right" vertical="center" wrapText="1"/>
    </xf>
    <xf numFmtId="4" fontId="280" fillId="22" borderId="0" xfId="4" applyNumberFormat="1" applyFont="1" applyFill="1" applyAlignment="1">
      <alignment vertical="center"/>
    </xf>
    <xf numFmtId="4" fontId="277" fillId="0" borderId="0" xfId="0" applyNumberFormat="1" applyFont="1" applyBorder="1" applyAlignment="1">
      <alignment horizontal="right" vertical="center" wrapText="1"/>
    </xf>
    <xf numFmtId="0" fontId="0" fillId="0" borderId="90" xfId="0" applyBorder="1"/>
    <xf numFmtId="4" fontId="17" fillId="14" borderId="90" xfId="0" applyNumberFormat="1" applyFont="1" applyFill="1" applyBorder="1"/>
    <xf numFmtId="0" fontId="281" fillId="0" borderId="90" xfId="0" applyFont="1" applyBorder="1"/>
    <xf numFmtId="0" fontId="279" fillId="0" borderId="90" xfId="0" applyFont="1" applyBorder="1"/>
    <xf numFmtId="0" fontId="21" fillId="15" borderId="92" xfId="0" applyFont="1" applyFill="1" applyBorder="1" applyAlignment="1">
      <alignment horizontal="center" vertical="center" wrapText="1"/>
    </xf>
    <xf numFmtId="0" fontId="21" fillId="0" borderId="92" xfId="0" applyFont="1" applyBorder="1" applyAlignment="1">
      <alignment horizontal="center" vertical="center" wrapText="1"/>
    </xf>
    <xf numFmtId="0" fontId="21" fillId="15" borderId="87" xfId="0" applyFont="1" applyFill="1" applyBorder="1" applyAlignment="1">
      <alignment horizontal="center" vertical="center" wrapText="1"/>
    </xf>
    <xf numFmtId="0" fontId="21" fillId="0" borderId="87" xfId="0" applyFont="1" applyBorder="1" applyAlignment="1">
      <alignment horizontal="center" vertical="center" wrapText="1"/>
    </xf>
    <xf numFmtId="10" fontId="277" fillId="15" borderId="87" xfId="0" applyNumberFormat="1" applyFont="1" applyFill="1" applyBorder="1" applyAlignment="1">
      <alignment horizontal="right" vertical="center"/>
    </xf>
    <xf numFmtId="10" fontId="277" fillId="0" borderId="87" xfId="0" applyNumberFormat="1" applyFont="1" applyBorder="1" applyAlignment="1">
      <alignment horizontal="right" vertical="center" wrapText="1"/>
    </xf>
    <xf numFmtId="0" fontId="286" fillId="0" borderId="0" xfId="0" applyFont="1" applyFill="1" applyAlignment="1">
      <alignment vertical="center"/>
    </xf>
    <xf numFmtId="0" fontId="11" fillId="0" borderId="88" xfId="0" applyFont="1" applyBorder="1" applyAlignment="1">
      <alignment horizontal="left" vertical="center" wrapText="1"/>
    </xf>
    <xf numFmtId="4" fontId="11" fillId="15" borderId="88" xfId="0" applyNumberFormat="1" applyFont="1" applyFill="1" applyBorder="1" applyAlignment="1">
      <alignment horizontal="right" vertical="center"/>
    </xf>
    <xf numFmtId="4" fontId="11" fillId="0" borderId="88" xfId="0" applyNumberFormat="1" applyFont="1" applyBorder="1" applyAlignment="1">
      <alignment horizontal="right" vertical="center" wrapText="1"/>
    </xf>
    <xf numFmtId="0" fontId="21" fillId="0" borderId="89" xfId="0" applyFont="1" applyBorder="1" applyAlignment="1">
      <alignment vertical="center" wrapText="1"/>
    </xf>
    <xf numFmtId="0" fontId="280" fillId="0" borderId="88" xfId="0" applyFont="1" applyBorder="1" applyAlignment="1">
      <alignment horizontal="left" vertical="center" wrapText="1"/>
    </xf>
    <xf numFmtId="4" fontId="277" fillId="15" borderId="88" xfId="0" applyNumberFormat="1" applyFont="1" applyFill="1" applyBorder="1" applyAlignment="1">
      <alignment vertical="center" wrapText="1"/>
    </xf>
    <xf numFmtId="0" fontId="21" fillId="0" borderId="89" xfId="0" applyFont="1" applyFill="1" applyBorder="1" applyAlignment="1">
      <alignment vertical="center" wrapText="1"/>
    </xf>
    <xf numFmtId="0" fontId="0" fillId="0" borderId="0" xfId="0" applyBorder="1"/>
    <xf numFmtId="4" fontId="277" fillId="15" borderId="0" xfId="0" applyNumberFormat="1" applyFont="1" applyFill="1" applyAlignment="1">
      <alignment vertical="center" wrapText="1"/>
    </xf>
    <xf numFmtId="4" fontId="277" fillId="0" borderId="89" xfId="0" applyNumberFormat="1" applyFont="1" applyFill="1" applyBorder="1" applyAlignment="1">
      <alignment vertical="center" wrapText="1"/>
    </xf>
    <xf numFmtId="4" fontId="214" fillId="0" borderId="0" xfId="0" applyNumberFormat="1" applyFont="1" applyFill="1" applyBorder="1" applyAlignment="1">
      <alignment horizontal="right" vertical="center" wrapText="1"/>
    </xf>
    <xf numFmtId="0" fontId="214" fillId="0" borderId="0" xfId="0" applyFont="1" applyFill="1" applyBorder="1" applyAlignment="1">
      <alignment horizontal="left" vertical="center" wrapText="1"/>
    </xf>
    <xf numFmtId="10" fontId="0" fillId="14" borderId="0" xfId="42994" applyNumberFormat="1" applyFont="1" applyFill="1" applyAlignment="1">
      <alignment vertical="center"/>
    </xf>
    <xf numFmtId="0" fontId="288" fillId="0" borderId="0" xfId="0" applyFont="1" applyAlignment="1">
      <alignment horizontal="center" vertical="center"/>
    </xf>
    <xf numFmtId="0" fontId="288" fillId="0" borderId="0" xfId="0" applyFont="1" applyFill="1" applyAlignment="1">
      <alignment vertical="center" wrapText="1"/>
    </xf>
    <xf numFmtId="0" fontId="288" fillId="0" borderId="0" xfId="0" applyFont="1" applyFill="1" applyAlignment="1">
      <alignment horizontal="center" vertical="center"/>
    </xf>
    <xf numFmtId="0" fontId="44" fillId="0" borderId="0" xfId="0" applyFont="1" applyFill="1" applyBorder="1" applyAlignment="1">
      <alignment horizontal="center" vertical="center" wrapText="1"/>
    </xf>
    <xf numFmtId="0" fontId="289" fillId="0" borderId="0" xfId="0" applyFont="1" applyAlignment="1">
      <alignment vertical="center"/>
    </xf>
    <xf numFmtId="49" fontId="290" fillId="0" borderId="0" xfId="0" applyNumberFormat="1" applyFont="1"/>
    <xf numFmtId="4" fontId="290" fillId="0" borderId="0" xfId="0" applyNumberFormat="1" applyFont="1"/>
    <xf numFmtId="4" fontId="290" fillId="0" borderId="0" xfId="0" applyNumberFormat="1" applyFont="1" applyFill="1"/>
    <xf numFmtId="0" fontId="290" fillId="0" borderId="0" xfId="0" applyFont="1"/>
    <xf numFmtId="0" fontId="291" fillId="0" borderId="0" xfId="0" applyFont="1" applyAlignment="1">
      <alignment horizontal="left" vertical="center"/>
    </xf>
    <xf numFmtId="49" fontId="292" fillId="0" borderId="0" xfId="0" applyNumberFormat="1" applyFont="1" applyAlignment="1">
      <alignment horizontal="center" vertical="center"/>
    </xf>
    <xf numFmtId="4" fontId="292" fillId="15" borderId="0" xfId="0" applyNumberFormat="1" applyFont="1" applyFill="1" applyAlignment="1">
      <alignment horizontal="right" vertical="center" wrapText="1"/>
    </xf>
    <xf numFmtId="4" fontId="292" fillId="0" borderId="0" xfId="0" applyNumberFormat="1" applyFont="1" applyFill="1" applyAlignment="1">
      <alignment horizontal="right" vertical="center" wrapText="1"/>
    </xf>
    <xf numFmtId="49" fontId="293" fillId="0" borderId="0" xfId="0" applyNumberFormat="1" applyFont="1" applyAlignment="1">
      <alignment horizontal="center" vertical="center"/>
    </xf>
    <xf numFmtId="4" fontId="291" fillId="15" borderId="0" xfId="0" applyNumberFormat="1" applyFont="1" applyFill="1" applyAlignment="1">
      <alignment horizontal="right" vertical="center" wrapText="1"/>
    </xf>
    <xf numFmtId="4" fontId="291" fillId="0" borderId="0" xfId="0" applyNumberFormat="1" applyFont="1" applyFill="1" applyAlignment="1">
      <alignment horizontal="right" vertical="center" wrapText="1"/>
    </xf>
    <xf numFmtId="49" fontId="294" fillId="0" borderId="0" xfId="0" applyNumberFormat="1" applyFont="1" applyAlignment="1">
      <alignment horizontal="center" vertical="center"/>
    </xf>
    <xf numFmtId="49" fontId="295" fillId="0" borderId="0" xfId="0" applyNumberFormat="1" applyFont="1" applyAlignment="1">
      <alignment horizontal="center" vertical="center"/>
    </xf>
    <xf numFmtId="4" fontId="295" fillId="15" borderId="0" xfId="0" applyNumberFormat="1" applyFont="1" applyFill="1" applyAlignment="1">
      <alignment horizontal="right" vertical="center" wrapText="1"/>
    </xf>
    <xf numFmtId="4" fontId="295" fillId="0" borderId="0" xfId="0" applyNumberFormat="1" applyFont="1" applyFill="1" applyAlignment="1">
      <alignment horizontal="right" vertical="center" wrapText="1"/>
    </xf>
    <xf numFmtId="0" fontId="291" fillId="0" borderId="0" xfId="0" applyFont="1" applyAlignment="1">
      <alignment horizontal="center" vertical="center" wrapText="1"/>
    </xf>
    <xf numFmtId="4" fontId="291" fillId="15" borderId="0" xfId="0" applyNumberFormat="1" applyFont="1" applyFill="1" applyAlignment="1">
      <alignment horizontal="right" vertical="center"/>
    </xf>
    <xf numFmtId="4" fontId="291" fillId="0" borderId="0" xfId="0" applyNumberFormat="1" applyFont="1" applyFill="1" applyAlignment="1">
      <alignment horizontal="right" vertical="center"/>
    </xf>
    <xf numFmtId="49" fontId="294" fillId="0" borderId="0" xfId="0" applyNumberFormat="1" applyFont="1" applyAlignment="1">
      <alignment horizontal="center" vertical="center" wrapText="1"/>
    </xf>
    <xf numFmtId="0" fontId="291" fillId="0" borderId="0" xfId="0" applyFont="1" applyAlignment="1">
      <alignment horizontal="justify" vertical="center"/>
    </xf>
    <xf numFmtId="49" fontId="291" fillId="0" borderId="0" xfId="0" applyNumberFormat="1" applyFont="1" applyAlignment="1">
      <alignment horizontal="center" vertical="center" wrapText="1"/>
    </xf>
    <xf numFmtId="0" fontId="296" fillId="0" borderId="0" xfId="0" applyFont="1" applyAlignment="1">
      <alignment horizontal="right" vertical="center" wrapText="1"/>
    </xf>
    <xf numFmtId="49" fontId="296" fillId="0" borderId="0" xfId="0" applyNumberFormat="1" applyFont="1" applyAlignment="1">
      <alignment horizontal="center" vertical="center" wrapText="1"/>
    </xf>
    <xf numFmtId="49" fontId="297" fillId="0" borderId="0" xfId="0" applyNumberFormat="1" applyFont="1" applyAlignment="1">
      <alignment horizontal="center" vertical="center" wrapText="1"/>
    </xf>
    <xf numFmtId="0" fontId="297" fillId="0" borderId="0" xfId="0" applyFont="1" applyAlignment="1">
      <alignment horizontal="center" vertical="center" wrapText="1"/>
    </xf>
    <xf numFmtId="0" fontId="291" fillId="15" borderId="0" xfId="0" applyFont="1" applyFill="1" applyBorder="1" applyAlignment="1">
      <alignment horizontal="left" vertical="center"/>
    </xf>
    <xf numFmtId="4" fontId="291" fillId="15" borderId="0" xfId="0" applyNumberFormat="1" applyFont="1" applyFill="1" applyBorder="1" applyAlignment="1">
      <alignment horizontal="right" vertical="center"/>
    </xf>
    <xf numFmtId="4" fontId="291" fillId="15" borderId="0" xfId="0" applyNumberFormat="1" applyFont="1" applyFill="1" applyBorder="1" applyAlignment="1">
      <alignment horizontal="right" vertical="center" wrapText="1"/>
    </xf>
    <xf numFmtId="4" fontId="295" fillId="14" borderId="0" xfId="0" applyNumberFormat="1" applyFont="1" applyFill="1"/>
    <xf numFmtId="0" fontId="295" fillId="0" borderId="0" xfId="0" applyFont="1" applyAlignment="1">
      <alignment horizontal="center" vertical="center" wrapText="1"/>
    </xf>
    <xf numFmtId="0" fontId="295" fillId="15" borderId="0" xfId="0" applyFont="1" applyFill="1" applyAlignment="1">
      <alignment horizontal="right" vertical="center"/>
    </xf>
    <xf numFmtId="0" fontId="295" fillId="0" borderId="0" xfId="0" applyFont="1" applyFill="1" applyAlignment="1">
      <alignment horizontal="right" vertical="center"/>
    </xf>
    <xf numFmtId="4" fontId="295" fillId="0" borderId="0" xfId="0" applyNumberFormat="1" applyFont="1" applyFill="1" applyAlignment="1">
      <alignment vertical="center"/>
    </xf>
    <xf numFmtId="4" fontId="295" fillId="15" borderId="0" xfId="0" applyNumberFormat="1" applyFont="1" applyFill="1" applyAlignment="1">
      <alignment horizontal="right" vertical="center"/>
    </xf>
    <xf numFmtId="4" fontId="295" fillId="0" borderId="0" xfId="0" applyNumberFormat="1" applyFont="1" applyFill="1" applyAlignment="1">
      <alignment horizontal="right" vertical="center"/>
    </xf>
    <xf numFmtId="0" fontId="298" fillId="0" borderId="0" xfId="0" applyFont="1" applyAlignment="1">
      <alignment horizontal="center" vertical="center" wrapText="1"/>
    </xf>
    <xf numFmtId="0" fontId="7" fillId="0" borderId="93" xfId="0" applyFont="1" applyBorder="1" applyAlignment="1">
      <alignment horizontal="left" vertical="center"/>
    </xf>
    <xf numFmtId="49" fontId="7" fillId="0" borderId="93" xfId="0" applyNumberFormat="1" applyFont="1" applyBorder="1" applyAlignment="1">
      <alignment horizontal="center" vertical="center"/>
    </xf>
    <xf numFmtId="4" fontId="7" fillId="15" borderId="93" xfId="0" applyNumberFormat="1" applyFont="1" applyFill="1" applyBorder="1" applyAlignment="1">
      <alignment horizontal="center" vertical="center" wrapText="1"/>
    </xf>
    <xf numFmtId="4" fontId="7" fillId="0" borderId="93" xfId="0" applyNumberFormat="1" applyFont="1" applyFill="1" applyBorder="1" applyAlignment="1">
      <alignment horizontal="center" vertical="center" wrapText="1"/>
    </xf>
    <xf numFmtId="0" fontId="291" fillId="0" borderId="94" xfId="0" applyFont="1" applyBorder="1" applyAlignment="1">
      <alignment horizontal="left" vertical="center"/>
    </xf>
    <xf numFmtId="49" fontId="294" fillId="0" borderId="94" xfId="0" applyNumberFormat="1" applyFont="1" applyBorder="1" applyAlignment="1">
      <alignment horizontal="center" vertical="center"/>
    </xf>
    <xf numFmtId="4" fontId="291" fillId="15" borderId="94" xfId="0" applyNumberFormat="1" applyFont="1" applyFill="1" applyBorder="1" applyAlignment="1">
      <alignment horizontal="right" vertical="center" wrapText="1"/>
    </xf>
    <xf numFmtId="4" fontId="291" fillId="0" borderId="94" xfId="0" applyNumberFormat="1" applyFont="1" applyFill="1" applyBorder="1" applyAlignment="1">
      <alignment horizontal="right" vertical="center" wrapText="1"/>
    </xf>
    <xf numFmtId="0" fontId="277" fillId="0" borderId="94" xfId="0" applyFont="1" applyBorder="1" applyAlignment="1">
      <alignment horizontal="left" vertical="center"/>
    </xf>
    <xf numFmtId="49" fontId="278" fillId="0" borderId="94" xfId="0" applyNumberFormat="1" applyFont="1" applyBorder="1" applyAlignment="1">
      <alignment horizontal="center" vertical="center"/>
    </xf>
    <xf numFmtId="4" fontId="277" fillId="15" borderId="94" xfId="0" applyNumberFormat="1" applyFont="1" applyFill="1" applyBorder="1" applyAlignment="1">
      <alignment horizontal="right" vertical="center" wrapText="1"/>
    </xf>
    <xf numFmtId="4" fontId="277" fillId="0" borderId="94" xfId="0" applyNumberFormat="1" applyFont="1" applyFill="1" applyBorder="1" applyAlignment="1">
      <alignment horizontal="right" vertical="center" wrapText="1"/>
    </xf>
    <xf numFmtId="0" fontId="7" fillId="15" borderId="95" xfId="0" applyFont="1" applyFill="1" applyBorder="1" applyAlignment="1">
      <alignment horizontal="center" vertical="center"/>
    </xf>
    <xf numFmtId="0" fontId="7" fillId="0" borderId="95" xfId="0" applyFont="1" applyFill="1" applyBorder="1" applyAlignment="1">
      <alignment horizontal="center" vertical="center"/>
    </xf>
    <xf numFmtId="0" fontId="7" fillId="15" borderId="96" xfId="0" applyFont="1" applyFill="1" applyBorder="1" applyAlignment="1">
      <alignment horizontal="center" vertical="center"/>
    </xf>
    <xf numFmtId="0" fontId="7" fillId="0" borderId="96" xfId="0" applyFont="1" applyFill="1" applyBorder="1" applyAlignment="1">
      <alignment horizontal="center" vertical="center"/>
    </xf>
    <xf numFmtId="49" fontId="294" fillId="0" borderId="94" xfId="0" applyNumberFormat="1" applyFont="1" applyBorder="1" applyAlignment="1">
      <alignment horizontal="center" vertical="center" wrapText="1"/>
    </xf>
    <xf numFmtId="4" fontId="291" fillId="15" borderId="94" xfId="0" applyNumberFormat="1" applyFont="1" applyFill="1" applyBorder="1" applyAlignment="1">
      <alignment horizontal="right" vertical="center"/>
    </xf>
    <xf numFmtId="4" fontId="291" fillId="0" borderId="94" xfId="0" applyNumberFormat="1" applyFont="1" applyFill="1" applyBorder="1" applyAlignment="1">
      <alignment horizontal="right" vertical="center"/>
    </xf>
    <xf numFmtId="49" fontId="291" fillId="0" borderId="94" xfId="0" applyNumberFormat="1" applyFont="1" applyBorder="1" applyAlignment="1">
      <alignment horizontal="left" vertical="center" wrapText="1"/>
    </xf>
    <xf numFmtId="0" fontId="7" fillId="0" borderId="95" xfId="0" applyFont="1" applyBorder="1" applyAlignment="1">
      <alignment horizontal="center" vertical="center" wrapText="1"/>
    </xf>
    <xf numFmtId="0" fontId="7" fillId="0" borderId="96" xfId="0" applyFont="1" applyBorder="1" applyAlignment="1">
      <alignment horizontal="center" vertical="center" wrapText="1"/>
    </xf>
    <xf numFmtId="0" fontId="291" fillId="0" borderId="94" xfId="0" applyFont="1" applyBorder="1" applyAlignment="1">
      <alignment horizontal="left" vertical="center" wrapText="1"/>
    </xf>
    <xf numFmtId="4" fontId="291" fillId="0" borderId="94" xfId="0" applyNumberFormat="1" applyFont="1" applyBorder="1" applyAlignment="1">
      <alignment horizontal="right" vertical="center"/>
    </xf>
    <xf numFmtId="4" fontId="291" fillId="0" borderId="94" xfId="0" applyNumberFormat="1" applyFont="1" applyBorder="1" applyAlignment="1">
      <alignment horizontal="right" vertical="center" wrapText="1"/>
    </xf>
    <xf numFmtId="0" fontId="291" fillId="0" borderId="96" xfId="0" applyFont="1" applyBorder="1" applyAlignment="1">
      <alignment horizontal="left" vertical="center" wrapText="1"/>
    </xf>
    <xf numFmtId="4" fontId="291" fillId="0" borderId="96" xfId="0" applyNumberFormat="1" applyFont="1" applyBorder="1" applyAlignment="1">
      <alignment horizontal="right" vertical="center"/>
    </xf>
    <xf numFmtId="4" fontId="291" fillId="0" borderId="96" xfId="0" applyNumberFormat="1" applyFont="1" applyBorder="1" applyAlignment="1">
      <alignment horizontal="right" vertical="center" wrapText="1"/>
    </xf>
    <xf numFmtId="0" fontId="291" fillId="15" borderId="94" xfId="0" applyFont="1" applyFill="1" applyBorder="1" applyAlignment="1">
      <alignment horizontal="left" vertical="center"/>
    </xf>
    <xf numFmtId="0" fontId="291" fillId="0" borderId="94" xfId="0" applyFont="1" applyBorder="1" applyAlignment="1">
      <alignment horizontal="justify" vertical="center"/>
    </xf>
    <xf numFmtId="0" fontId="291" fillId="0" borderId="94" xfId="0" applyFont="1" applyBorder="1" applyAlignment="1">
      <alignment horizontal="center" vertical="center" wrapText="1"/>
    </xf>
    <xf numFmtId="0" fontId="298" fillId="0" borderId="94" xfId="0" applyFont="1" applyBorder="1" applyAlignment="1">
      <alignment horizontal="center" vertical="center" wrapText="1"/>
    </xf>
    <xf numFmtId="0" fontId="289" fillId="0" borderId="0" xfId="0" applyFont="1" applyAlignment="1">
      <alignment horizontal="justify" vertical="center"/>
    </xf>
    <xf numFmtId="0" fontId="290" fillId="0" borderId="0" xfId="0" applyFont="1" applyAlignment="1">
      <alignment vertical="center"/>
    </xf>
    <xf numFmtId="0" fontId="291" fillId="0" borderId="0" xfId="0" applyFont="1" applyBorder="1" applyAlignment="1">
      <alignment vertical="center" wrapText="1"/>
    </xf>
    <xf numFmtId="0" fontId="295" fillId="0" borderId="0" xfId="0" applyFont="1" applyFill="1" applyAlignment="1">
      <alignment vertical="center" wrapText="1"/>
    </xf>
    <xf numFmtId="0" fontId="290" fillId="0" borderId="0" xfId="0" applyFont="1" applyFill="1" applyAlignment="1">
      <alignment vertical="center" wrapText="1"/>
    </xf>
    <xf numFmtId="0" fontId="291" fillId="0" borderId="0" xfId="0" applyFont="1" applyAlignment="1">
      <alignment vertical="center" wrapText="1"/>
    </xf>
    <xf numFmtId="4" fontId="295" fillId="0" borderId="0" xfId="0" applyNumberFormat="1" applyFont="1" applyFill="1" applyAlignment="1">
      <alignment horizontal="left" vertical="center" wrapText="1"/>
    </xf>
    <xf numFmtId="4" fontId="295" fillId="0" borderId="0" xfId="0" applyNumberFormat="1" applyFont="1" applyAlignment="1">
      <alignment horizontal="center" vertical="center"/>
    </xf>
    <xf numFmtId="0" fontId="291" fillId="0" borderId="0" xfId="0" applyFont="1" applyAlignment="1">
      <alignment horizontal="left" vertical="center" wrapText="1"/>
    </xf>
    <xf numFmtId="4" fontId="291" fillId="0" borderId="0" xfId="0" applyNumberFormat="1" applyFont="1" applyBorder="1" applyAlignment="1">
      <alignment horizontal="right" vertical="center" wrapText="1"/>
    </xf>
    <xf numFmtId="4" fontId="300" fillId="0" borderId="0" xfId="0" applyNumberFormat="1" applyFont="1" applyBorder="1" applyAlignment="1">
      <alignment horizontal="right" vertical="center" wrapText="1"/>
    </xf>
    <xf numFmtId="0" fontId="295" fillId="0" borderId="0" xfId="0" applyFont="1" applyFill="1" applyAlignment="1">
      <alignment horizontal="left" vertical="center" wrapText="1"/>
    </xf>
    <xf numFmtId="0" fontId="295" fillId="0" borderId="0" xfId="0" applyFont="1" applyAlignment="1">
      <alignment vertical="center"/>
    </xf>
    <xf numFmtId="0" fontId="291" fillId="0" borderId="0" xfId="0" applyFont="1" applyFill="1" applyBorder="1" applyAlignment="1">
      <alignment vertical="center" wrapText="1"/>
    </xf>
    <xf numFmtId="0" fontId="290" fillId="0" borderId="0" xfId="0" applyFont="1" applyFill="1" applyAlignment="1">
      <alignment vertical="center"/>
    </xf>
    <xf numFmtId="0" fontId="291" fillId="0" borderId="0" xfId="0" applyFont="1" applyFill="1" applyAlignment="1">
      <alignment vertical="center" wrapText="1"/>
    </xf>
    <xf numFmtId="0" fontId="291" fillId="0" borderId="0" xfId="0" applyFont="1" applyFill="1" applyAlignment="1">
      <alignment horizontal="left" vertical="center" wrapText="1"/>
    </xf>
    <xf numFmtId="4" fontId="291" fillId="0" borderId="0" xfId="0" applyNumberFormat="1" applyFont="1" applyFill="1" applyBorder="1" applyAlignment="1">
      <alignment horizontal="right" vertical="center" wrapText="1"/>
    </xf>
    <xf numFmtId="4" fontId="300" fillId="0" borderId="0" xfId="0" applyNumberFormat="1" applyFont="1" applyFill="1" applyBorder="1" applyAlignment="1">
      <alignment horizontal="right" vertical="center" wrapText="1"/>
    </xf>
    <xf numFmtId="4" fontId="295" fillId="14" borderId="0" xfId="0" applyNumberFormat="1" applyFont="1" applyFill="1" applyAlignment="1">
      <alignment vertical="center"/>
    </xf>
    <xf numFmtId="0" fontId="301" fillId="0" borderId="0" xfId="0" applyFont="1" applyFill="1" applyBorder="1" applyAlignment="1">
      <alignment vertical="center" wrapText="1"/>
    </xf>
    <xf numFmtId="0" fontId="300" fillId="0" borderId="0" xfId="0" applyFont="1" applyFill="1" applyBorder="1" applyAlignment="1">
      <alignment vertical="center" wrapText="1"/>
    </xf>
    <xf numFmtId="0" fontId="290" fillId="0" borderId="0" xfId="0" applyFont="1" applyFill="1" applyBorder="1" applyAlignment="1">
      <alignment vertical="center"/>
    </xf>
    <xf numFmtId="0" fontId="291" fillId="0" borderId="0" xfId="0" applyFont="1" applyFill="1" applyBorder="1" applyAlignment="1">
      <alignment horizontal="right" vertical="center" wrapText="1"/>
    </xf>
    <xf numFmtId="4" fontId="291" fillId="0" borderId="0" xfId="0" applyNumberFormat="1" applyFont="1" applyFill="1" applyBorder="1" applyAlignment="1">
      <alignment vertical="center" wrapText="1"/>
    </xf>
    <xf numFmtId="0" fontId="291" fillId="0" borderId="0" xfId="0" applyFont="1" applyBorder="1" applyAlignment="1">
      <alignment horizontal="left" vertical="center" wrapText="1"/>
    </xf>
    <xf numFmtId="0" fontId="291" fillId="0" borderId="0" xfId="0" applyFont="1" applyAlignment="1">
      <alignment horizontal="justify" vertical="center" wrapText="1"/>
    </xf>
    <xf numFmtId="0" fontId="295" fillId="7" borderId="0" xfId="0" applyFont="1" applyFill="1" applyAlignment="1">
      <alignment horizontal="center" vertical="center"/>
    </xf>
    <xf numFmtId="0" fontId="302" fillId="0" borderId="0" xfId="0" applyFont="1" applyAlignment="1">
      <alignment horizontal="justify" vertical="center"/>
    </xf>
    <xf numFmtId="0" fontId="304" fillId="0" borderId="0" xfId="0" applyFont="1" applyAlignment="1">
      <alignment horizontal="justify" vertical="center"/>
    </xf>
    <xf numFmtId="0" fontId="295" fillId="0" borderId="0" xfId="0" applyFont="1" applyFill="1" applyBorder="1" applyAlignment="1">
      <alignment vertical="center"/>
    </xf>
    <xf numFmtId="4" fontId="305" fillId="0" borderId="0" xfId="0" applyNumberFormat="1" applyFont="1" applyFill="1" applyBorder="1" applyAlignment="1">
      <alignment vertical="center" wrapText="1"/>
    </xf>
    <xf numFmtId="4" fontId="295" fillId="0" borderId="0" xfId="0" applyNumberFormat="1" applyFont="1" applyFill="1" applyBorder="1" applyAlignment="1">
      <alignment vertical="center"/>
    </xf>
    <xf numFmtId="0" fontId="295" fillId="0" borderId="0" xfId="0" applyFont="1" applyBorder="1" applyAlignment="1">
      <alignment horizontal="left" vertical="center" wrapText="1"/>
    </xf>
    <xf numFmtId="4" fontId="295" fillId="15" borderId="0" xfId="0" applyNumberFormat="1" applyFont="1" applyFill="1" applyBorder="1" applyAlignment="1">
      <alignment horizontal="right" vertical="center" wrapText="1"/>
    </xf>
    <xf numFmtId="0" fontId="305" fillId="0" borderId="0" xfId="0" applyFont="1" applyFill="1" applyBorder="1" applyAlignment="1">
      <alignment vertical="center" wrapText="1"/>
    </xf>
    <xf numFmtId="4" fontId="295" fillId="0" borderId="0" xfId="0" applyNumberFormat="1" applyFont="1" applyFill="1" applyBorder="1" applyAlignment="1">
      <alignment horizontal="right" vertical="center" wrapText="1"/>
    </xf>
    <xf numFmtId="4" fontId="306" fillId="0" borderId="0" xfId="0" applyNumberFormat="1" applyFont="1" applyFill="1" applyBorder="1" applyAlignment="1">
      <alignment vertical="center" wrapText="1"/>
    </xf>
    <xf numFmtId="0" fontId="306" fillId="0" borderId="0" xfId="0" applyFont="1" applyFill="1" applyBorder="1" applyAlignment="1">
      <alignment vertical="center" wrapText="1"/>
    </xf>
    <xf numFmtId="0" fontId="300" fillId="0" borderId="0" xfId="0" applyFont="1" applyBorder="1" applyAlignment="1">
      <alignment horizontal="justify" vertical="center" wrapText="1"/>
    </xf>
    <xf numFmtId="0" fontId="305" fillId="0" borderId="0" xfId="0" applyFont="1" applyFill="1" applyAlignment="1">
      <alignment horizontal="left" vertical="center" wrapText="1"/>
    </xf>
    <xf numFmtId="4" fontId="305" fillId="15" borderId="0" xfId="0" applyNumberFormat="1" applyFont="1" applyFill="1" applyAlignment="1">
      <alignment vertical="center" wrapText="1"/>
    </xf>
    <xf numFmtId="0" fontId="306" fillId="0" borderId="0" xfId="0" applyFont="1" applyFill="1" applyAlignment="1">
      <alignment horizontal="left" vertical="center" wrapText="1"/>
    </xf>
    <xf numFmtId="4" fontId="306" fillId="15" borderId="0" xfId="0" applyNumberFormat="1" applyFont="1" applyFill="1" applyAlignment="1">
      <alignment vertical="center" wrapText="1"/>
    </xf>
    <xf numFmtId="4" fontId="305" fillId="0" borderId="0" xfId="0" applyNumberFormat="1" applyFont="1" applyFill="1" applyAlignment="1">
      <alignment vertical="center" wrapText="1"/>
    </xf>
    <xf numFmtId="4" fontId="306" fillId="0" borderId="0" xfId="0" applyNumberFormat="1" applyFont="1" applyFill="1" applyAlignment="1">
      <alignment vertical="center" wrapText="1"/>
    </xf>
    <xf numFmtId="0" fontId="291" fillId="23" borderId="0" xfId="0" applyFont="1" applyFill="1" applyAlignment="1">
      <alignment horizontal="right" vertical="center"/>
    </xf>
    <xf numFmtId="0" fontId="291" fillId="0" borderId="0" xfId="0" applyFont="1" applyFill="1" applyAlignment="1">
      <alignment horizontal="right" vertical="center"/>
    </xf>
    <xf numFmtId="0" fontId="307" fillId="0" borderId="0" xfId="0" applyFont="1" applyBorder="1" applyAlignment="1">
      <alignment horizontal="justify" vertical="center" wrapText="1"/>
    </xf>
    <xf numFmtId="0" fontId="295" fillId="14" borderId="0" xfId="0" applyFont="1" applyFill="1" applyAlignment="1">
      <alignment horizontal="center" vertical="center" wrapText="1"/>
    </xf>
    <xf numFmtId="4" fontId="295" fillId="0" borderId="0" xfId="0" applyNumberFormat="1" applyFont="1" applyAlignment="1">
      <alignment vertical="center"/>
    </xf>
    <xf numFmtId="0" fontId="291" fillId="0" borderId="0" xfId="0" applyFont="1" applyFill="1" applyAlignment="1">
      <alignment horizontal="left" vertical="center"/>
    </xf>
    <xf numFmtId="4" fontId="295" fillId="7" borderId="1" xfId="0" applyNumberFormat="1" applyFont="1" applyFill="1" applyBorder="1" applyAlignment="1">
      <alignment horizontal="center" vertical="center"/>
    </xf>
    <xf numFmtId="4" fontId="290" fillId="0" borderId="0" xfId="0" applyNumberFormat="1" applyFont="1" applyAlignment="1">
      <alignment vertical="center"/>
    </xf>
    <xf numFmtId="4" fontId="295" fillId="4" borderId="0" xfId="4" applyNumberFormat="1" applyFont="1" applyFill="1" applyAlignment="1">
      <alignment vertical="center"/>
    </xf>
    <xf numFmtId="4" fontId="311" fillId="14" borderId="0" xfId="4" applyNumberFormat="1" applyFont="1" applyFill="1" applyAlignment="1">
      <alignment vertical="center"/>
    </xf>
    <xf numFmtId="0" fontId="295" fillId="14" borderId="0" xfId="0" applyFont="1" applyFill="1" applyAlignment="1">
      <alignment vertical="center"/>
    </xf>
    <xf numFmtId="4" fontId="290" fillId="0" borderId="0" xfId="0" applyNumberFormat="1" applyFont="1" applyFill="1" applyAlignment="1">
      <alignment vertical="center"/>
    </xf>
    <xf numFmtId="4" fontId="295" fillId="0" borderId="0" xfId="0" applyNumberFormat="1" applyFont="1" applyFill="1" applyAlignment="1">
      <alignment vertical="center" wrapText="1"/>
    </xf>
    <xf numFmtId="0" fontId="7" fillId="0" borderId="93" xfId="0" applyFont="1" applyBorder="1" applyAlignment="1">
      <alignment horizontal="center" vertical="center"/>
    </xf>
    <xf numFmtId="0" fontId="222" fillId="0" borderId="9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left" vertical="center"/>
    </xf>
    <xf numFmtId="0" fontId="11" fillId="0" borderId="96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/>
    </xf>
    <xf numFmtId="0" fontId="21" fillId="15" borderId="95" xfId="0" applyFont="1" applyFill="1" applyBorder="1" applyAlignment="1">
      <alignment horizontal="center" vertical="center" wrapText="1"/>
    </xf>
    <xf numFmtId="0" fontId="21" fillId="0" borderId="95" xfId="0" applyFont="1" applyFill="1" applyBorder="1" applyAlignment="1">
      <alignment horizontal="center" vertical="center" wrapText="1"/>
    </xf>
    <xf numFmtId="0" fontId="21" fillId="15" borderId="96" xfId="0" applyFont="1" applyFill="1" applyBorder="1" applyAlignment="1">
      <alignment horizontal="center" vertical="center" wrapText="1"/>
    </xf>
    <xf numFmtId="0" fontId="21" fillId="0" borderId="96" xfId="0" applyFont="1" applyFill="1" applyBorder="1" applyAlignment="1">
      <alignment horizontal="center" vertical="center" wrapText="1"/>
    </xf>
    <xf numFmtId="0" fontId="21" fillId="0" borderId="93" xfId="0" applyFont="1" applyBorder="1" applyAlignment="1">
      <alignment horizontal="center" vertical="center" wrapText="1"/>
    </xf>
    <xf numFmtId="0" fontId="291" fillId="0" borderId="94" xfId="0" applyFont="1" applyBorder="1" applyAlignment="1">
      <alignment vertical="center" wrapText="1"/>
    </xf>
    <xf numFmtId="0" fontId="291" fillId="0" borderId="97" xfId="0" applyFont="1" applyBorder="1" applyAlignment="1">
      <alignment vertical="center" wrapText="1"/>
    </xf>
    <xf numFmtId="4" fontId="291" fillId="15" borderId="97" xfId="0" applyNumberFormat="1" applyFont="1" applyFill="1" applyBorder="1" applyAlignment="1">
      <alignment horizontal="right" vertical="center" wrapText="1"/>
    </xf>
    <xf numFmtId="0" fontId="21" fillId="0" borderId="93" xfId="0" applyFont="1" applyFill="1" applyBorder="1" applyAlignment="1">
      <alignment horizontal="center" vertical="center" wrapText="1"/>
    </xf>
    <xf numFmtId="0" fontId="291" fillId="0" borderId="94" xfId="0" applyFont="1" applyFill="1" applyBorder="1" applyAlignment="1">
      <alignment vertical="center" wrapText="1"/>
    </xf>
    <xf numFmtId="0" fontId="291" fillId="0" borderId="97" xfId="0" applyFont="1" applyFill="1" applyBorder="1" applyAlignment="1">
      <alignment vertical="center" wrapText="1"/>
    </xf>
    <xf numFmtId="4" fontId="291" fillId="0" borderId="97" xfId="0" applyNumberFormat="1" applyFont="1" applyFill="1" applyBorder="1" applyAlignment="1">
      <alignment horizontal="right" vertical="center" wrapText="1"/>
    </xf>
    <xf numFmtId="0" fontId="11" fillId="0" borderId="93" xfId="0" applyFont="1" applyBorder="1" applyAlignment="1">
      <alignment horizontal="center" vertical="center"/>
    </xf>
    <xf numFmtId="0" fontId="11" fillId="0" borderId="93" xfId="0" applyFont="1" applyBorder="1" applyAlignment="1">
      <alignment horizontal="center" vertical="center" wrapText="1"/>
    </xf>
    <xf numFmtId="0" fontId="15" fillId="0" borderId="93" xfId="0" applyFont="1" applyBorder="1" applyAlignment="1">
      <alignment vertical="center" wrapText="1"/>
    </xf>
    <xf numFmtId="0" fontId="210" fillId="0" borderId="93" xfId="0" applyFont="1" applyBorder="1" applyAlignment="1">
      <alignment horizontal="center" vertical="center" wrapText="1"/>
    </xf>
    <xf numFmtId="0" fontId="15" fillId="0" borderId="93" xfId="0" applyFont="1" applyFill="1" applyBorder="1" applyAlignment="1">
      <alignment vertical="center" wrapText="1"/>
    </xf>
    <xf numFmtId="0" fontId="210" fillId="0" borderId="93" xfId="0" applyFont="1" applyFill="1" applyBorder="1" applyAlignment="1">
      <alignment horizontal="center" vertical="center" wrapText="1"/>
    </xf>
    <xf numFmtId="0" fontId="7" fillId="15" borderId="95" xfId="0" applyFont="1" applyFill="1" applyBorder="1" applyAlignment="1">
      <alignment horizontal="center" vertical="center" wrapText="1"/>
    </xf>
    <xf numFmtId="0" fontId="7" fillId="0" borderId="95" xfId="0" applyFont="1" applyFill="1" applyBorder="1" applyAlignment="1">
      <alignment horizontal="center" vertical="center" wrapText="1"/>
    </xf>
    <xf numFmtId="0" fontId="7" fillId="15" borderId="96" xfId="0" applyFont="1" applyFill="1" applyBorder="1" applyAlignment="1">
      <alignment horizontal="center" vertical="center" wrapText="1"/>
    </xf>
    <xf numFmtId="0" fontId="7" fillId="0" borderId="96" xfId="0" applyFont="1" applyFill="1" applyBorder="1" applyAlignment="1">
      <alignment horizontal="center" vertical="center" wrapText="1"/>
    </xf>
    <xf numFmtId="0" fontId="13" fillId="0" borderId="96" xfId="0" applyFont="1" applyBorder="1" applyAlignment="1">
      <alignment horizontal="left" vertical="center" wrapText="1"/>
    </xf>
    <xf numFmtId="4" fontId="13" fillId="15" borderId="96" xfId="0" applyNumberFormat="1" applyFont="1" applyFill="1" applyBorder="1" applyAlignment="1">
      <alignment horizontal="right" vertical="center"/>
    </xf>
    <xf numFmtId="4" fontId="13" fillId="0" borderId="96" xfId="0" applyNumberFormat="1" applyFont="1" applyFill="1" applyBorder="1" applyAlignment="1">
      <alignment horizontal="right" vertical="center"/>
    </xf>
    <xf numFmtId="0" fontId="291" fillId="0" borderId="98" xfId="0" applyFont="1" applyBorder="1" applyAlignment="1">
      <alignment horizontal="left" vertical="center" wrapText="1"/>
    </xf>
    <xf numFmtId="4" fontId="291" fillId="15" borderId="98" xfId="0" applyNumberFormat="1" applyFont="1" applyFill="1" applyBorder="1" applyAlignment="1">
      <alignment horizontal="right" vertical="center"/>
    </xf>
    <xf numFmtId="4" fontId="291" fillId="0" borderId="98" xfId="0" applyNumberFormat="1" applyFont="1" applyFill="1" applyBorder="1" applyAlignment="1">
      <alignment horizontal="right" vertical="center"/>
    </xf>
    <xf numFmtId="0" fontId="13" fillId="0" borderId="94" xfId="0" applyFont="1" applyBorder="1" applyAlignment="1">
      <alignment horizontal="left" vertical="center" wrapText="1"/>
    </xf>
    <xf numFmtId="4" fontId="212" fillId="15" borderId="94" xfId="0" applyNumberFormat="1" applyFont="1" applyFill="1" applyBorder="1" applyAlignment="1">
      <alignment horizontal="right" vertical="center"/>
    </xf>
    <xf numFmtId="4" fontId="212" fillId="0" borderId="94" xfId="0" applyNumberFormat="1" applyFont="1" applyFill="1" applyBorder="1" applyAlignment="1">
      <alignment horizontal="right" vertical="center"/>
    </xf>
    <xf numFmtId="0" fontId="303" fillId="0" borderId="94" xfId="0" applyFont="1" applyBorder="1" applyAlignment="1">
      <alignment horizontal="justify" vertical="center" wrapText="1"/>
    </xf>
    <xf numFmtId="4" fontId="303" fillId="15" borderId="94" xfId="0" applyNumberFormat="1" applyFont="1" applyFill="1" applyBorder="1" applyAlignment="1">
      <alignment horizontal="right" vertical="center"/>
    </xf>
    <xf numFmtId="4" fontId="303" fillId="0" borderId="94" xfId="0" applyNumberFormat="1" applyFont="1" applyFill="1" applyBorder="1" applyAlignment="1">
      <alignment horizontal="right" vertical="center"/>
    </xf>
    <xf numFmtId="0" fontId="13" fillId="0" borderId="95" xfId="0" applyFont="1" applyBorder="1" applyAlignment="1">
      <alignment horizontal="center" vertical="center"/>
    </xf>
    <xf numFmtId="0" fontId="13" fillId="0" borderId="96" xfId="0" applyFont="1" applyBorder="1" applyAlignment="1">
      <alignment vertical="center"/>
    </xf>
    <xf numFmtId="0" fontId="213" fillId="0" borderId="93" xfId="0" applyFont="1" applyBorder="1" applyAlignment="1">
      <alignment horizontal="center" vertical="center" wrapText="1"/>
    </xf>
    <xf numFmtId="0" fontId="7" fillId="15" borderId="93" xfId="0" applyFont="1" applyFill="1" applyBorder="1" applyAlignment="1">
      <alignment horizontal="center" vertical="center" wrapText="1"/>
    </xf>
    <xf numFmtId="0" fontId="295" fillId="0" borderId="94" xfId="0" applyFont="1" applyBorder="1" applyAlignment="1">
      <alignment horizontal="left" vertical="center" wrapText="1"/>
    </xf>
    <xf numFmtId="4" fontId="295" fillId="15" borderId="94" xfId="0" applyNumberFormat="1" applyFont="1" applyFill="1" applyBorder="1" applyAlignment="1">
      <alignment horizontal="right" vertical="center" wrapText="1"/>
    </xf>
    <xf numFmtId="0" fontId="11" fillId="0" borderId="93" xfId="0" applyFont="1" applyFill="1" applyBorder="1" applyAlignment="1">
      <alignment horizontal="center" vertical="center" wrapText="1"/>
    </xf>
    <xf numFmtId="0" fontId="7" fillId="0" borderId="93" xfId="0" applyFont="1" applyFill="1" applyBorder="1" applyAlignment="1">
      <alignment horizontal="center" vertical="center" wrapText="1"/>
    </xf>
    <xf numFmtId="0" fontId="291" fillId="0" borderId="94" xfId="0" applyFont="1" applyFill="1" applyBorder="1" applyAlignment="1">
      <alignment horizontal="left" vertical="center" wrapText="1"/>
    </xf>
    <xf numFmtId="0" fontId="295" fillId="0" borderId="94" xfId="0" applyFont="1" applyFill="1" applyBorder="1" applyAlignment="1">
      <alignment horizontal="left" vertical="center" wrapText="1"/>
    </xf>
    <xf numFmtId="4" fontId="295" fillId="0" borderId="94" xfId="0" applyNumberFormat="1" applyFont="1" applyFill="1" applyBorder="1" applyAlignment="1">
      <alignment horizontal="right" vertical="center" wrapText="1"/>
    </xf>
    <xf numFmtId="0" fontId="305" fillId="0" borderId="94" xfId="0" applyFont="1" applyFill="1" applyBorder="1" applyAlignment="1">
      <alignment horizontal="left" vertical="center" wrapText="1"/>
    </xf>
    <xf numFmtId="4" fontId="305" fillId="15" borderId="94" xfId="0" applyNumberFormat="1" applyFont="1" applyFill="1" applyBorder="1" applyAlignment="1">
      <alignment vertical="center" wrapText="1"/>
    </xf>
    <xf numFmtId="0" fontId="306" fillId="0" borderId="0" xfId="0" applyFont="1" applyFill="1" applyBorder="1" applyAlignment="1">
      <alignment horizontal="left" vertical="center" wrapText="1"/>
    </xf>
    <xf numFmtId="4" fontId="306" fillId="15" borderId="0" xfId="0" applyNumberFormat="1" applyFont="1" applyFill="1" applyBorder="1" applyAlignment="1">
      <alignment vertical="center" wrapText="1"/>
    </xf>
    <xf numFmtId="0" fontId="0" fillId="0" borderId="95" xfId="0" applyFont="1" applyBorder="1" applyAlignment="1">
      <alignment vertical="center"/>
    </xf>
    <xf numFmtId="4" fontId="17" fillId="14" borderId="95" xfId="0" applyNumberFormat="1" applyFont="1" applyFill="1" applyBorder="1" applyAlignment="1">
      <alignment vertical="center"/>
    </xf>
    <xf numFmtId="0" fontId="0" fillId="0" borderId="96" xfId="0" applyFont="1" applyBorder="1" applyAlignment="1">
      <alignment vertical="center"/>
    </xf>
    <xf numFmtId="4" fontId="305" fillId="0" borderId="94" xfId="0" applyNumberFormat="1" applyFont="1" applyFill="1" applyBorder="1" applyAlignment="1">
      <alignment vertical="center" wrapText="1"/>
    </xf>
    <xf numFmtId="0" fontId="306" fillId="0" borderId="96" xfId="0" applyFont="1" applyFill="1" applyBorder="1" applyAlignment="1">
      <alignment horizontal="left" vertical="center" wrapText="1"/>
    </xf>
    <xf numFmtId="4" fontId="306" fillId="0" borderId="96" xfId="0" applyNumberFormat="1" applyFont="1" applyFill="1" applyBorder="1" applyAlignment="1">
      <alignment vertical="center" wrapText="1"/>
    </xf>
    <xf numFmtId="0" fontId="7" fillId="0" borderId="93" xfId="0" applyFont="1" applyBorder="1" applyAlignment="1">
      <alignment horizontal="center" vertical="center" wrapText="1"/>
    </xf>
    <xf numFmtId="0" fontId="7" fillId="23" borderId="95" xfId="0" applyFont="1" applyFill="1" applyBorder="1" applyAlignment="1">
      <alignment horizontal="center" vertical="center" wrapText="1"/>
    </xf>
    <xf numFmtId="0" fontId="7" fillId="23" borderId="96" xfId="0" applyFont="1" applyFill="1" applyBorder="1" applyAlignment="1">
      <alignment horizontal="center" vertical="center" wrapText="1"/>
    </xf>
    <xf numFmtId="0" fontId="11" fillId="0" borderId="96" xfId="0" applyFont="1" applyBorder="1" applyAlignment="1">
      <alignment horizontal="left" vertical="center" wrapText="1"/>
    </xf>
    <xf numFmtId="4" fontId="11" fillId="23" borderId="96" xfId="0" applyNumberFormat="1" applyFont="1" applyFill="1" applyBorder="1" applyAlignment="1">
      <alignment horizontal="right" vertical="center"/>
    </xf>
    <xf numFmtId="4" fontId="11" fillId="0" borderId="96" xfId="0" applyNumberFormat="1" applyFont="1" applyFill="1" applyBorder="1" applyAlignment="1">
      <alignment horizontal="right" vertical="center"/>
    </xf>
    <xf numFmtId="0" fontId="21" fillId="27" borderId="95" xfId="0" applyFont="1" applyFill="1" applyBorder="1" applyAlignment="1">
      <alignment horizontal="center" vertical="center" wrapText="1"/>
    </xf>
    <xf numFmtId="4" fontId="291" fillId="27" borderId="94" xfId="0" applyNumberFormat="1" applyFont="1" applyFill="1" applyBorder="1" applyAlignment="1">
      <alignment horizontal="right" vertical="center"/>
    </xf>
    <xf numFmtId="0" fontId="292" fillId="0" borderId="99" xfId="0" applyFont="1" applyBorder="1" applyAlignment="1">
      <alignment horizontal="left" vertical="center" wrapText="1"/>
    </xf>
    <xf numFmtId="0" fontId="292" fillId="0" borderId="94" xfId="0" applyFont="1" applyBorder="1" applyAlignment="1">
      <alignment horizontal="left" vertical="center" wrapText="1"/>
    </xf>
    <xf numFmtId="4" fontId="291" fillId="0" borderId="94" xfId="0" applyNumberFormat="1" applyFont="1" applyFill="1" applyBorder="1" applyAlignment="1">
      <alignment horizontal="right" vertical="center"/>
    </xf>
    <xf numFmtId="0" fontId="13" fillId="0" borderId="95" xfId="0" applyFont="1" applyBorder="1" applyAlignment="1">
      <alignment horizontal="justify" vertical="center"/>
    </xf>
    <xf numFmtId="0" fontId="21" fillId="15" borderId="95" xfId="0" applyFont="1" applyFill="1" applyBorder="1" applyAlignment="1">
      <alignment horizontal="center" vertical="center" wrapText="1"/>
    </xf>
    <xf numFmtId="0" fontId="21" fillId="0" borderId="95" xfId="0" applyFont="1" applyFill="1" applyBorder="1" applyAlignment="1">
      <alignment horizontal="center" vertical="center" wrapText="1"/>
    </xf>
    <xf numFmtId="4" fontId="291" fillId="15" borderId="94" xfId="0" applyNumberFormat="1" applyFont="1" applyFill="1" applyBorder="1" applyAlignment="1">
      <alignment vertical="center"/>
    </xf>
    <xf numFmtId="4" fontId="291" fillId="0" borderId="94" xfId="0" applyNumberFormat="1" applyFont="1" applyFill="1" applyBorder="1" applyAlignment="1">
      <alignment vertical="center"/>
    </xf>
    <xf numFmtId="0" fontId="305" fillId="15" borderId="93" xfId="0" applyFont="1" applyFill="1" applyBorder="1" applyAlignment="1">
      <alignment horizontal="left" vertical="center" wrapText="1"/>
    </xf>
    <xf numFmtId="0" fontId="215" fillId="15" borderId="93" xfId="0" applyFont="1" applyFill="1" applyBorder="1" applyAlignment="1">
      <alignment horizontal="center" vertical="center" wrapText="1"/>
    </xf>
    <xf numFmtId="0" fontId="305" fillId="15" borderId="94" xfId="0" applyFont="1" applyFill="1" applyBorder="1" applyAlignment="1">
      <alignment horizontal="left" vertical="center" wrapText="1"/>
    </xf>
    <xf numFmtId="0" fontId="305" fillId="15" borderId="94" xfId="0" applyFont="1" applyFill="1" applyBorder="1" applyAlignment="1">
      <alignment horizontal="right" vertical="center" wrapText="1"/>
    </xf>
    <xf numFmtId="4" fontId="305" fillId="15" borderId="94" xfId="0" applyNumberFormat="1" applyFont="1" applyFill="1" applyBorder="1" applyAlignment="1">
      <alignment horizontal="right" vertical="center" wrapText="1"/>
    </xf>
    <xf numFmtId="0" fontId="305" fillId="0" borderId="93" xfId="0" applyFont="1" applyFill="1" applyBorder="1" applyAlignment="1">
      <alignment horizontal="left" vertical="center" wrapText="1"/>
    </xf>
    <xf numFmtId="0" fontId="215" fillId="0" borderId="93" xfId="0" applyFont="1" applyFill="1" applyBorder="1" applyAlignment="1">
      <alignment horizontal="center" vertical="center" wrapText="1"/>
    </xf>
    <xf numFmtId="0" fontId="305" fillId="0" borderId="94" xfId="0" applyFont="1" applyFill="1" applyBorder="1" applyAlignment="1">
      <alignment horizontal="right" vertical="center" wrapText="1"/>
    </xf>
    <xf numFmtId="4" fontId="305" fillId="0" borderId="94" xfId="0" applyNumberFormat="1" applyFont="1" applyFill="1" applyBorder="1" applyAlignment="1">
      <alignment horizontal="right" vertical="center" wrapText="1"/>
    </xf>
    <xf numFmtId="0" fontId="210" fillId="15" borderId="96" xfId="0" applyFont="1" applyFill="1" applyBorder="1" applyAlignment="1">
      <alignment horizontal="center" vertical="center" wrapText="1"/>
    </xf>
    <xf numFmtId="0" fontId="210" fillId="15" borderId="96" xfId="0" applyFont="1" applyFill="1" applyBorder="1" applyAlignment="1">
      <alignment horizontal="center" vertical="center"/>
    </xf>
    <xf numFmtId="0" fontId="21" fillId="0" borderId="96" xfId="0" applyFont="1" applyFill="1" applyBorder="1" applyAlignment="1">
      <alignment horizontal="center" vertical="center" wrapText="1"/>
    </xf>
    <xf numFmtId="0" fontId="210" fillId="0" borderId="96" xfId="0" applyFont="1" applyFill="1" applyBorder="1" applyAlignment="1">
      <alignment horizontal="center" vertical="center" wrapText="1"/>
    </xf>
    <xf numFmtId="0" fontId="210" fillId="0" borderId="96" xfId="0" applyFont="1" applyFill="1" applyBorder="1" applyAlignment="1">
      <alignment horizontal="center" vertical="center"/>
    </xf>
    <xf numFmtId="0" fontId="291" fillId="0" borderId="93" xfId="0" applyFont="1" applyBorder="1" applyAlignment="1">
      <alignment horizontal="left" vertical="center" wrapText="1"/>
    </xf>
    <xf numFmtId="4" fontId="291" fillId="15" borderId="93" xfId="0" applyNumberFormat="1" applyFont="1" applyFill="1" applyBorder="1" applyAlignment="1">
      <alignment horizontal="right" vertical="center" wrapText="1"/>
    </xf>
    <xf numFmtId="0" fontId="291" fillId="0" borderId="93" xfId="0" applyFont="1" applyFill="1" applyBorder="1" applyAlignment="1">
      <alignment horizontal="left" vertical="center" wrapText="1"/>
    </xf>
    <xf numFmtId="4" fontId="291" fillId="0" borderId="93" xfId="0" applyNumberFormat="1" applyFont="1" applyFill="1" applyBorder="1" applyAlignment="1">
      <alignment horizontal="right" vertical="center" wrapText="1"/>
    </xf>
    <xf numFmtId="0" fontId="21" fillId="15" borderId="96" xfId="0" applyFont="1" applyFill="1" applyBorder="1" applyAlignment="1">
      <alignment horizontal="center" vertical="center" wrapText="1"/>
    </xf>
    <xf numFmtId="0" fontId="21" fillId="0" borderId="96" xfId="0" applyFont="1" applyBorder="1" applyAlignment="1">
      <alignment horizontal="center" vertical="center" wrapText="1"/>
    </xf>
    <xf numFmtId="0" fontId="42" fillId="15" borderId="96" xfId="0" applyFont="1" applyFill="1" applyBorder="1" applyAlignment="1">
      <alignment horizontal="center" vertical="center" wrapText="1"/>
    </xf>
    <xf numFmtId="0" fontId="42" fillId="0" borderId="96" xfId="0" applyFont="1" applyFill="1" applyBorder="1" applyAlignment="1">
      <alignment horizontal="center" vertical="center" wrapText="1"/>
    </xf>
    <xf numFmtId="9" fontId="291" fillId="15" borderId="94" xfId="42994" applyFont="1" applyFill="1" applyBorder="1" applyAlignment="1">
      <alignment horizontal="right" vertical="center"/>
    </xf>
    <xf numFmtId="9" fontId="291" fillId="0" borderId="94" xfId="42994" applyFont="1" applyFill="1" applyBorder="1" applyAlignment="1">
      <alignment horizontal="right" vertical="center"/>
    </xf>
    <xf numFmtId="0" fontId="219" fillId="0" borderId="93" xfId="0" applyFont="1" applyBorder="1" applyAlignment="1">
      <alignment horizontal="left" vertical="center" wrapText="1"/>
    </xf>
    <xf numFmtId="0" fontId="21" fillId="15" borderId="93" xfId="0" applyFont="1" applyFill="1" applyBorder="1" applyAlignment="1">
      <alignment horizontal="center" vertical="center" wrapText="1"/>
    </xf>
    <xf numFmtId="0" fontId="291" fillId="0" borderId="99" xfId="0" applyFont="1" applyBorder="1" applyAlignment="1">
      <alignment horizontal="left" vertical="center" wrapText="1"/>
    </xf>
    <xf numFmtId="4" fontId="291" fillId="15" borderId="99" xfId="0" applyNumberFormat="1" applyFont="1" applyFill="1" applyBorder="1" applyAlignment="1">
      <alignment horizontal="right" vertical="center"/>
    </xf>
    <xf numFmtId="4" fontId="291" fillId="15" borderId="99" xfId="0" applyNumberFormat="1" applyFont="1" applyFill="1" applyBorder="1" applyAlignment="1">
      <alignment horizontal="right" vertical="center" wrapText="1"/>
    </xf>
    <xf numFmtId="0" fontId="219" fillId="0" borderId="93" xfId="0" applyFont="1" applyFill="1" applyBorder="1" applyAlignment="1">
      <alignment horizontal="left" vertical="center" wrapText="1"/>
    </xf>
    <xf numFmtId="0" fontId="291" fillId="0" borderId="99" xfId="0" applyFont="1" applyFill="1" applyBorder="1" applyAlignment="1">
      <alignment horizontal="left" vertical="center" wrapText="1"/>
    </xf>
    <xf numFmtId="4" fontId="291" fillId="0" borderId="99" xfId="0" applyNumberFormat="1" applyFont="1" applyFill="1" applyBorder="1" applyAlignment="1">
      <alignment horizontal="right" vertical="center"/>
    </xf>
    <xf numFmtId="4" fontId="291" fillId="0" borderId="99" xfId="0" applyNumberFormat="1" applyFont="1" applyFill="1" applyBorder="1" applyAlignment="1">
      <alignment horizontal="right" vertical="center" wrapText="1"/>
    </xf>
    <xf numFmtId="0" fontId="211" fillId="0" borderId="95" xfId="0" applyFont="1" applyBorder="1" applyAlignment="1">
      <alignment horizontal="justify" vertical="center" wrapText="1"/>
    </xf>
    <xf numFmtId="0" fontId="211" fillId="0" borderId="96" xfId="0" applyFont="1" applyBorder="1" applyAlignment="1">
      <alignment horizontal="left" vertical="center" wrapText="1"/>
    </xf>
    <xf numFmtId="0" fontId="13" fillId="15" borderId="96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290" fillId="0" borderId="0" xfId="0" applyFont="1" applyFill="1"/>
    <xf numFmtId="4" fontId="7" fillId="15" borderId="95" xfId="0" applyNumberFormat="1" applyFont="1" applyFill="1" applyBorder="1" applyAlignment="1">
      <alignment horizontal="center" vertical="center" wrapText="1"/>
    </xf>
    <xf numFmtId="4" fontId="7" fillId="0" borderId="95" xfId="0" applyNumberFormat="1" applyFont="1" applyFill="1" applyBorder="1" applyAlignment="1">
      <alignment horizontal="center" vertical="center" wrapText="1"/>
    </xf>
    <xf numFmtId="4" fontId="7" fillId="15" borderId="96" xfId="0" applyNumberFormat="1" applyFont="1" applyFill="1" applyBorder="1" applyAlignment="1">
      <alignment horizontal="center" vertical="center" wrapText="1"/>
    </xf>
    <xf numFmtId="4" fontId="7" fillId="0" borderId="96" xfId="0" applyNumberFormat="1" applyFont="1" applyFill="1" applyBorder="1" applyAlignment="1">
      <alignment horizontal="center" vertical="center" wrapText="1"/>
    </xf>
    <xf numFmtId="4" fontId="7" fillId="23" borderId="95" xfId="0" applyNumberFormat="1" applyFont="1" applyFill="1" applyBorder="1" applyAlignment="1">
      <alignment horizontal="center" vertical="center" wrapText="1"/>
    </xf>
    <xf numFmtId="4" fontId="7" fillId="23" borderId="96" xfId="0" applyNumberFormat="1" applyFont="1" applyFill="1" applyBorder="1" applyAlignment="1">
      <alignment horizontal="center" vertical="center" wrapText="1"/>
    </xf>
    <xf numFmtId="4" fontId="291" fillId="23" borderId="94" xfId="0" applyNumberFormat="1" applyFont="1" applyFill="1" applyBorder="1" applyAlignment="1">
      <alignment horizontal="right" vertical="center"/>
    </xf>
    <xf numFmtId="0" fontId="295" fillId="0" borderId="0" xfId="0" applyFont="1"/>
    <xf numFmtId="0" fontId="291" fillId="15" borderId="0" xfId="0" applyFont="1" applyFill="1" applyBorder="1" applyAlignment="1">
      <alignment vertical="center" wrapText="1"/>
    </xf>
    <xf numFmtId="0" fontId="290" fillId="0" borderId="0" xfId="0" applyFont="1" applyFill="1" applyBorder="1"/>
    <xf numFmtId="4" fontId="21" fillId="23" borderId="0" xfId="0" applyNumberFormat="1" applyFont="1" applyFill="1" applyAlignment="1">
      <alignment horizontal="right" vertical="center" wrapText="1"/>
    </xf>
    <xf numFmtId="4" fontId="291" fillId="23" borderId="0" xfId="0" applyNumberFormat="1" applyFont="1" applyFill="1" applyAlignment="1">
      <alignment horizontal="right" vertical="center" wrapText="1"/>
    </xf>
    <xf numFmtId="4" fontId="295" fillId="23" borderId="0" xfId="0" applyNumberFormat="1" applyFont="1" applyFill="1" applyAlignment="1">
      <alignment horizontal="right" vertical="center" wrapText="1"/>
    </xf>
    <xf numFmtId="0" fontId="13" fillId="15" borderId="94" xfId="0" applyFont="1" applyFill="1" applyBorder="1" applyAlignment="1">
      <alignment horizontal="left" vertical="center" wrapText="1"/>
    </xf>
    <xf numFmtId="4" fontId="11" fillId="15" borderId="94" xfId="0" applyNumberFormat="1" applyFont="1" applyFill="1" applyBorder="1" applyAlignment="1">
      <alignment horizontal="right" vertical="center" wrapText="1"/>
    </xf>
    <xf numFmtId="0" fontId="13" fillId="0" borderId="94" xfId="0" applyFont="1" applyFill="1" applyBorder="1" applyAlignment="1">
      <alignment horizontal="left" vertical="center" wrapText="1"/>
    </xf>
    <xf numFmtId="4" fontId="11" fillId="0" borderId="94" xfId="0" applyNumberFormat="1" applyFont="1" applyFill="1" applyBorder="1" applyAlignment="1">
      <alignment horizontal="right" vertical="center" wrapText="1"/>
    </xf>
    <xf numFmtId="0" fontId="291" fillId="15" borderId="93" xfId="0" applyFont="1" applyFill="1" applyBorder="1" applyAlignment="1">
      <alignment horizontal="center" vertical="center" wrapText="1"/>
    </xf>
    <xf numFmtId="0" fontId="21" fillId="0" borderId="94" xfId="0" applyFont="1" applyBorder="1" applyAlignment="1">
      <alignment horizontal="left" vertical="center" wrapText="1"/>
    </xf>
    <xf numFmtId="4" fontId="21" fillId="15" borderId="94" xfId="0" applyNumberFormat="1" applyFont="1" applyFill="1" applyBorder="1" applyAlignment="1">
      <alignment horizontal="right" vertical="center" wrapText="1"/>
    </xf>
    <xf numFmtId="0" fontId="291" fillId="0" borderId="93" xfId="0" applyFont="1" applyFill="1" applyBorder="1" applyAlignment="1">
      <alignment horizontal="center" vertical="center" wrapText="1"/>
    </xf>
    <xf numFmtId="0" fontId="21" fillId="0" borderId="94" xfId="0" applyFont="1" applyFill="1" applyBorder="1" applyAlignment="1">
      <alignment horizontal="left" vertical="center" wrapText="1"/>
    </xf>
    <xf numFmtId="4" fontId="21" fillId="0" borderId="94" xfId="0" applyNumberFormat="1" applyFont="1" applyFill="1" applyBorder="1" applyAlignment="1">
      <alignment horizontal="right" vertical="center" wrapText="1"/>
    </xf>
    <xf numFmtId="0" fontId="21" fillId="23" borderId="93" xfId="0" applyFont="1" applyFill="1" applyBorder="1" applyAlignment="1">
      <alignment horizontal="center" vertical="center" wrapText="1"/>
    </xf>
    <xf numFmtId="0" fontId="291" fillId="23" borderId="93" xfId="0" applyFont="1" applyFill="1" applyBorder="1" applyAlignment="1">
      <alignment horizontal="center" vertical="center" wrapText="1"/>
    </xf>
    <xf numFmtId="4" fontId="21" fillId="23" borderId="94" xfId="0" applyNumberFormat="1" applyFont="1" applyFill="1" applyBorder="1" applyAlignment="1">
      <alignment horizontal="right" vertical="center" wrapText="1"/>
    </xf>
    <xf numFmtId="4" fontId="291" fillId="23" borderId="94" xfId="0" applyNumberFormat="1" applyFont="1" applyFill="1" applyBorder="1" applyAlignment="1">
      <alignment horizontal="right" vertical="center" wrapText="1"/>
    </xf>
    <xf numFmtId="4" fontId="0" fillId="0" borderId="0" xfId="0" applyNumberFormat="1" applyFill="1" applyBorder="1"/>
    <xf numFmtId="4" fontId="13" fillId="14" borderId="0" xfId="10" applyNumberFormat="1" applyFont="1" applyFill="1" applyAlignment="1">
      <alignment horizontal="center" vertical="center"/>
    </xf>
    <xf numFmtId="4" fontId="13" fillId="138" borderId="2" xfId="10" applyNumberFormat="1" applyFont="1" applyFill="1" applyBorder="1" applyAlignment="1">
      <alignment vertical="center"/>
    </xf>
    <xf numFmtId="4" fontId="13" fillId="0" borderId="0" xfId="10" applyNumberFormat="1" applyFont="1" applyFill="1" applyAlignment="1">
      <alignment vertical="center"/>
    </xf>
    <xf numFmtId="4" fontId="205" fillId="7" borderId="0" xfId="0" applyNumberFormat="1" applyFont="1" applyFill="1" applyAlignment="1">
      <alignment horizontal="right" vertical="center"/>
    </xf>
    <xf numFmtId="4" fontId="13" fillId="7" borderId="0" xfId="0" applyNumberFormat="1" applyFont="1" applyFill="1" applyAlignment="1">
      <alignment horizontal="right" vertical="center"/>
    </xf>
    <xf numFmtId="14" fontId="51" fillId="7" borderId="0" xfId="0" applyNumberFormat="1" applyFont="1" applyFill="1" applyAlignment="1">
      <alignment horizontal="left"/>
    </xf>
    <xf numFmtId="0" fontId="17" fillId="19" borderId="1" xfId="0" applyFont="1" applyFill="1" applyBorder="1" applyAlignment="1">
      <alignment wrapText="1"/>
    </xf>
    <xf numFmtId="0" fontId="235" fillId="0" borderId="0" xfId="4" applyFont="1" applyAlignment="1">
      <alignment vertical="center"/>
    </xf>
    <xf numFmtId="4" fontId="313" fillId="0" borderId="0" xfId="4" applyNumberFormat="1" applyFont="1" applyAlignment="1">
      <alignment vertical="center"/>
    </xf>
    <xf numFmtId="0" fontId="0" fillId="14" borderId="0" xfId="0" applyFont="1" applyFill="1" applyAlignment="1">
      <alignment vertical="center"/>
    </xf>
    <xf numFmtId="180" fontId="17" fillId="14" borderId="0" xfId="0" applyNumberFormat="1" applyFont="1" applyFill="1"/>
    <xf numFmtId="221" fontId="163" fillId="0" borderId="0" xfId="32726" applyNumberFormat="1"/>
    <xf numFmtId="0" fontId="21" fillId="0" borderId="1" xfId="0" applyFont="1" applyFill="1" applyBorder="1" applyAlignment="1">
      <alignment horizontal="center" vertical="center" wrapText="1"/>
    </xf>
    <xf numFmtId="0" fontId="13" fillId="14" borderId="0" xfId="4" applyFont="1" applyFill="1" applyAlignment="1">
      <alignment horizontal="center" vertical="center"/>
    </xf>
    <xf numFmtId="4" fontId="261" fillId="141" borderId="0" xfId="42996" applyNumberFormat="1" applyFill="1" applyAlignment="1">
      <alignment vertical="top"/>
    </xf>
    <xf numFmtId="4" fontId="3" fillId="0" borderId="0" xfId="42996" applyNumberFormat="1" applyFont="1" applyAlignment="1">
      <alignment horizontal="right" vertical="top"/>
    </xf>
    <xf numFmtId="4" fontId="268" fillId="129" borderId="0" xfId="4" applyNumberFormat="1" applyFont="1" applyFill="1" applyAlignment="1">
      <alignment vertical="center"/>
    </xf>
    <xf numFmtId="49" fontId="250" fillId="7" borderId="0" xfId="32726" applyNumberFormat="1" applyFont="1" applyFill="1" applyAlignment="1">
      <alignment horizontal="center" vertical="center" wrapText="1"/>
    </xf>
    <xf numFmtId="4" fontId="48" fillId="142" borderId="0" xfId="4" applyNumberFormat="1" applyFont="1" applyFill="1" applyAlignment="1">
      <alignment vertical="center"/>
    </xf>
    <xf numFmtId="4" fontId="13" fillId="143" borderId="0" xfId="4" applyNumberFormat="1" applyFont="1" applyFill="1" applyAlignment="1">
      <alignment horizontal="center" vertical="center"/>
    </xf>
    <xf numFmtId="4" fontId="13" fillId="143" borderId="0" xfId="10" applyNumberFormat="1" applyFont="1" applyFill="1" applyAlignment="1">
      <alignment horizontal="center" vertical="center"/>
    </xf>
    <xf numFmtId="0" fontId="314" fillId="133" borderId="100" xfId="32726" applyFont="1" applyFill="1" applyBorder="1" applyAlignment="1">
      <alignment horizontal="left" vertical="center" wrapText="1"/>
    </xf>
    <xf numFmtId="0" fontId="315" fillId="0" borderId="0" xfId="32726" applyFont="1" applyAlignment="1">
      <alignment horizontal="left" vertical="center" wrapText="1"/>
    </xf>
    <xf numFmtId="0" fontId="314" fillId="133" borderId="101" xfId="32726" applyFont="1" applyFill="1" applyBorder="1" applyAlignment="1">
      <alignment horizontal="center" vertical="center" wrapText="1"/>
    </xf>
    <xf numFmtId="0" fontId="316" fillId="0" borderId="0" xfId="32726" applyFont="1" applyAlignment="1">
      <alignment horizontal="left" vertical="top" wrapText="1"/>
    </xf>
    <xf numFmtId="0" fontId="315" fillId="0" borderId="51" xfId="32726" applyFont="1" applyBorder="1" applyAlignment="1">
      <alignment horizontal="left" vertical="center" wrapText="1"/>
    </xf>
    <xf numFmtId="221" fontId="315" fillId="0" borderId="51" xfId="32726" applyNumberFormat="1" applyFont="1" applyBorder="1" applyAlignment="1">
      <alignment horizontal="right" vertical="center"/>
    </xf>
    <xf numFmtId="221" fontId="315" fillId="0" borderId="52" xfId="32726" applyNumberFormat="1" applyFont="1" applyBorder="1" applyAlignment="1">
      <alignment horizontal="right" vertical="center"/>
    </xf>
    <xf numFmtId="221" fontId="315" fillId="0" borderId="0" xfId="32726" applyNumberFormat="1" applyFont="1" applyAlignment="1">
      <alignment horizontal="right" vertical="center"/>
    </xf>
    <xf numFmtId="221" fontId="314" fillId="137" borderId="51" xfId="32726" applyNumberFormat="1" applyFont="1" applyFill="1" applyBorder="1" applyAlignment="1">
      <alignment horizontal="right" vertical="center"/>
    </xf>
    <xf numFmtId="222" fontId="315" fillId="0" borderId="0" xfId="32726" applyNumberFormat="1" applyFont="1" applyAlignment="1">
      <alignment horizontal="right" vertical="center"/>
    </xf>
    <xf numFmtId="0" fontId="315" fillId="0" borderId="54" xfId="32726" applyFont="1" applyBorder="1" applyAlignment="1">
      <alignment horizontal="left" vertical="center" wrapText="1"/>
    </xf>
    <xf numFmtId="221" fontId="315" fillId="0" borderId="54" xfId="32726" applyNumberFormat="1" applyFont="1" applyBorder="1" applyAlignment="1">
      <alignment horizontal="right" vertical="center"/>
    </xf>
    <xf numFmtId="221" fontId="315" fillId="0" borderId="55" xfId="32726" applyNumberFormat="1" applyFont="1" applyBorder="1" applyAlignment="1">
      <alignment horizontal="right" vertical="center"/>
    </xf>
    <xf numFmtId="221" fontId="314" fillId="137" borderId="54" xfId="32726" applyNumberFormat="1" applyFont="1" applyFill="1" applyBorder="1" applyAlignment="1">
      <alignment horizontal="right" vertical="center"/>
    </xf>
    <xf numFmtId="0" fontId="317" fillId="132" borderId="102" xfId="32726" applyFont="1" applyFill="1" applyBorder="1" applyAlignment="1">
      <alignment horizontal="left" vertical="center" wrapText="1"/>
    </xf>
    <xf numFmtId="221" fontId="317" fillId="132" borderId="102" xfId="32726" applyNumberFormat="1" applyFont="1" applyFill="1" applyBorder="1" applyAlignment="1">
      <alignment horizontal="right" vertical="center"/>
    </xf>
    <xf numFmtId="0" fontId="316" fillId="0" borderId="0" xfId="32726" applyFont="1" applyAlignment="1">
      <alignment horizontal="left" vertical="center" wrapText="1"/>
    </xf>
    <xf numFmtId="0" fontId="316" fillId="0" borderId="0" xfId="32726" applyFont="1" applyAlignment="1">
      <alignment horizontal="right" vertical="center"/>
    </xf>
    <xf numFmtId="0" fontId="318" fillId="0" borderId="0" xfId="32726" applyFont="1" applyAlignment="1">
      <alignment horizontal="right" vertical="center" wrapText="1"/>
    </xf>
    <xf numFmtId="0" fontId="314" fillId="137" borderId="103" xfId="32726" applyFont="1" applyFill="1" applyBorder="1" applyAlignment="1">
      <alignment horizontal="left" vertical="center" wrapText="1"/>
    </xf>
    <xf numFmtId="221" fontId="314" fillId="137" borderId="103" xfId="32726" applyNumberFormat="1" applyFont="1" applyFill="1" applyBorder="1" applyAlignment="1">
      <alignment horizontal="right" vertical="center"/>
    </xf>
    <xf numFmtId="0" fontId="314" fillId="137" borderId="104" xfId="32726" applyFont="1" applyFill="1" applyBorder="1" applyAlignment="1">
      <alignment horizontal="left" vertical="center" wrapText="1"/>
    </xf>
    <xf numFmtId="221" fontId="314" fillId="137" borderId="104" xfId="32726" applyNumberFormat="1" applyFont="1" applyFill="1" applyBorder="1" applyAlignment="1">
      <alignment horizontal="right" vertical="center"/>
    </xf>
    <xf numFmtId="0" fontId="315" fillId="144" borderId="54" xfId="32726" applyFont="1" applyFill="1" applyBorder="1" applyAlignment="1">
      <alignment horizontal="left" vertical="center" wrapText="1"/>
    </xf>
    <xf numFmtId="221" fontId="315" fillId="144" borderId="54" xfId="32726" applyNumberFormat="1" applyFont="1" applyFill="1" applyBorder="1" applyAlignment="1">
      <alignment horizontal="right" vertical="center"/>
    </xf>
    <xf numFmtId="221" fontId="315" fillId="144" borderId="55" xfId="32726" applyNumberFormat="1" applyFont="1" applyFill="1" applyBorder="1" applyAlignment="1">
      <alignment horizontal="right" vertical="center"/>
    </xf>
    <xf numFmtId="0" fontId="314" fillId="134" borderId="105" xfId="32726" applyFont="1" applyFill="1" applyBorder="1" applyAlignment="1">
      <alignment horizontal="left" vertical="center" wrapText="1"/>
    </xf>
    <xf numFmtId="221" fontId="314" fillId="134" borderId="105" xfId="32726" applyNumberFormat="1" applyFont="1" applyFill="1" applyBorder="1" applyAlignment="1">
      <alignment horizontal="right" vertical="center"/>
    </xf>
    <xf numFmtId="221" fontId="314" fillId="134" borderId="106" xfId="32726" applyNumberFormat="1" applyFont="1" applyFill="1" applyBorder="1" applyAlignment="1">
      <alignment horizontal="right" vertical="center"/>
    </xf>
    <xf numFmtId="0" fontId="317" fillId="132" borderId="107" xfId="32726" applyFont="1" applyFill="1" applyBorder="1" applyAlignment="1">
      <alignment horizontal="left" vertical="center" wrapText="1"/>
    </xf>
    <xf numFmtId="221" fontId="317" fillId="132" borderId="107" xfId="32726" applyNumberFormat="1" applyFont="1" applyFill="1" applyBorder="1" applyAlignment="1">
      <alignment horizontal="right" vertical="center"/>
    </xf>
    <xf numFmtId="0" fontId="314" fillId="134" borderId="107" xfId="32726" applyFont="1" applyFill="1" applyBorder="1" applyAlignment="1">
      <alignment horizontal="left" vertical="center" wrapText="1"/>
    </xf>
    <xf numFmtId="221" fontId="314" fillId="134" borderId="102" xfId="32726" applyNumberFormat="1" applyFont="1" applyFill="1" applyBorder="1" applyAlignment="1">
      <alignment horizontal="right" vertical="center"/>
    </xf>
    <xf numFmtId="0" fontId="317" fillId="132" borderId="61" xfId="32726" applyFont="1" applyFill="1" applyBorder="1" applyAlignment="1">
      <alignment horizontal="left" vertical="center" wrapText="1"/>
    </xf>
    <xf numFmtId="221" fontId="317" fillId="132" borderId="108" xfId="32726" applyNumberFormat="1" applyFont="1" applyFill="1" applyBorder="1" applyAlignment="1">
      <alignment horizontal="right" vertical="center"/>
    </xf>
    <xf numFmtId="0" fontId="319" fillId="144" borderId="64" xfId="32726" applyFont="1" applyFill="1" applyBorder="1" applyAlignment="1">
      <alignment horizontal="left" vertical="center" wrapText="1"/>
    </xf>
    <xf numFmtId="0" fontId="317" fillId="134" borderId="107" xfId="32726" applyFont="1" applyFill="1" applyBorder="1" applyAlignment="1">
      <alignment horizontal="left" vertical="center" wrapText="1"/>
    </xf>
    <xf numFmtId="221" fontId="317" fillId="134" borderId="102" xfId="32726" applyNumberFormat="1" applyFont="1" applyFill="1" applyBorder="1" applyAlignment="1">
      <alignment horizontal="right" vertical="center"/>
    </xf>
    <xf numFmtId="221" fontId="319" fillId="0" borderId="54" xfId="32726" applyNumberFormat="1" applyFont="1" applyBorder="1" applyAlignment="1">
      <alignment horizontal="right" vertical="center"/>
    </xf>
    <xf numFmtId="221" fontId="319" fillId="0" borderId="55" xfId="32726" applyNumberFormat="1" applyFont="1" applyBorder="1" applyAlignment="1">
      <alignment horizontal="right" vertical="center"/>
    </xf>
    <xf numFmtId="221" fontId="319" fillId="0" borderId="0" xfId="32726" applyNumberFormat="1" applyFont="1" applyAlignment="1">
      <alignment horizontal="right" vertical="center"/>
    </xf>
    <xf numFmtId="0" fontId="0" fillId="143" borderId="0" xfId="0" applyFill="1" applyAlignment="1">
      <alignment horizontal="left"/>
    </xf>
    <xf numFmtId="4" fontId="0" fillId="143" borderId="0" xfId="0" applyNumberFormat="1" applyFill="1"/>
    <xf numFmtId="0" fontId="0" fillId="143" borderId="0" xfId="0" applyFill="1"/>
    <xf numFmtId="4" fontId="80" fillId="0" borderId="1" xfId="31937" applyNumberFormat="1" applyFont="1" applyBorder="1" applyAlignment="1">
      <alignment horizontal="center"/>
    </xf>
    <xf numFmtId="221" fontId="230" fillId="134" borderId="52" xfId="32726" applyNumberFormat="1" applyFont="1" applyFill="1" applyBorder="1" applyAlignment="1">
      <alignment horizontal="right" vertical="center"/>
    </xf>
    <xf numFmtId="0" fontId="17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226" fontId="0" fillId="0" borderId="0" xfId="0" applyNumberFormat="1" applyFont="1" applyAlignment="1">
      <alignment horizontal="center" vertical="center"/>
    </xf>
    <xf numFmtId="0" fontId="17" fillId="12" borderId="0" xfId="0" applyFont="1" applyFill="1" applyAlignment="1">
      <alignment horizontal="center" vertical="center"/>
    </xf>
    <xf numFmtId="0" fontId="17" fillId="19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4" fontId="268" fillId="19" borderId="0" xfId="4" applyNumberFormat="1" applyFont="1" applyFill="1" applyAlignment="1">
      <alignment horizontal="center" vertical="center"/>
    </xf>
    <xf numFmtId="0" fontId="17" fillId="7" borderId="1" xfId="0" quotePrefix="1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0" fontId="21" fillId="15" borderId="95" xfId="0" applyFont="1" applyFill="1" applyBorder="1" applyAlignment="1">
      <alignment horizontal="center" vertical="center" wrapText="1"/>
    </xf>
    <xf numFmtId="0" fontId="21" fillId="0" borderId="95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/>
    </xf>
    <xf numFmtId="0" fontId="13" fillId="0" borderId="95" xfId="0" applyFont="1" applyBorder="1" applyAlignment="1">
      <alignment horizontal="left" vertical="center"/>
    </xf>
    <xf numFmtId="0" fontId="13" fillId="0" borderId="96" xfId="0" applyFont="1" applyBorder="1" applyAlignment="1">
      <alignment horizontal="left" vertical="center"/>
    </xf>
    <xf numFmtId="0" fontId="218" fillId="0" borderId="0" xfId="0" applyFont="1" applyAlignment="1">
      <alignment horizontal="left" vertical="center"/>
    </xf>
    <xf numFmtId="0" fontId="42" fillId="15" borderId="95" xfId="0" applyFont="1" applyFill="1" applyBorder="1" applyAlignment="1">
      <alignment horizontal="center" vertical="center" wrapText="1"/>
    </xf>
    <xf numFmtId="0" fontId="42" fillId="0" borderId="95" xfId="0" applyFont="1" applyFill="1" applyBorder="1" applyAlignment="1">
      <alignment horizontal="center" vertical="center" wrapText="1"/>
    </xf>
    <xf numFmtId="0" fontId="21" fillId="15" borderId="96" xfId="0" applyFont="1" applyFill="1" applyBorder="1" applyAlignment="1">
      <alignment horizontal="center" vertical="center" wrapText="1"/>
    </xf>
    <xf numFmtId="0" fontId="0" fillId="14" borderId="0" xfId="0" applyFont="1" applyFill="1" applyAlignment="1">
      <alignment horizontal="center" vertical="center" wrapText="1"/>
    </xf>
    <xf numFmtId="0" fontId="291" fillId="0" borderId="95" xfId="0" applyFont="1" applyBorder="1" applyAlignment="1">
      <alignment horizontal="left" vertical="center"/>
    </xf>
    <xf numFmtId="0" fontId="291" fillId="0" borderId="96" xfId="0" applyFont="1" applyBorder="1" applyAlignment="1">
      <alignment horizontal="left" vertical="center"/>
    </xf>
    <xf numFmtId="0" fontId="304" fillId="0" borderId="0" xfId="0" applyFont="1" applyAlignment="1">
      <alignment horizontal="left" vertical="center"/>
    </xf>
    <xf numFmtId="0" fontId="291" fillId="0" borderId="95" xfId="0" applyFont="1" applyFill="1" applyBorder="1" applyAlignment="1">
      <alignment horizontal="left" vertical="center"/>
    </xf>
    <xf numFmtId="0" fontId="291" fillId="0" borderId="96" xfId="0" applyFont="1" applyFill="1" applyBorder="1" applyAlignment="1">
      <alignment horizontal="left" vertical="center"/>
    </xf>
    <xf numFmtId="0" fontId="21" fillId="0" borderId="9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02" fillId="0" borderId="0" xfId="0" applyFont="1" applyAlignment="1">
      <alignment horizontal="left" vertical="center"/>
    </xf>
    <xf numFmtId="0" fontId="210" fillId="0" borderId="95" xfId="0" applyFont="1" applyFill="1" applyBorder="1" applyAlignment="1">
      <alignment horizontal="center" vertical="center" wrapText="1"/>
    </xf>
    <xf numFmtId="0" fontId="210" fillId="0" borderId="96" xfId="0" applyFont="1" applyFill="1" applyBorder="1" applyAlignment="1">
      <alignment horizontal="center" vertical="center" wrapText="1"/>
    </xf>
    <xf numFmtId="0" fontId="299" fillId="0" borderId="95" xfId="0" applyFont="1" applyFill="1" applyBorder="1" applyAlignment="1">
      <alignment horizontal="center" vertical="center" wrapText="1"/>
    </xf>
    <xf numFmtId="0" fontId="21" fillId="0" borderId="95" xfId="0" applyFont="1" applyBorder="1" applyAlignment="1">
      <alignment horizontal="center" vertical="center" wrapText="1"/>
    </xf>
    <xf numFmtId="0" fontId="21" fillId="0" borderId="96" xfId="0" applyFont="1" applyBorder="1" applyAlignment="1">
      <alignment horizontal="center" vertical="center" wrapText="1"/>
    </xf>
    <xf numFmtId="0" fontId="210" fillId="15" borderId="95" xfId="0" applyFont="1" applyFill="1" applyBorder="1" applyAlignment="1">
      <alignment horizontal="center" vertical="center" wrapText="1"/>
    </xf>
    <xf numFmtId="0" fontId="210" fillId="15" borderId="96" xfId="0" applyFont="1" applyFill="1" applyBorder="1" applyAlignment="1">
      <alignment horizontal="center" vertical="center" wrapText="1"/>
    </xf>
    <xf numFmtId="0" fontId="299" fillId="15" borderId="95" xfId="0" applyFont="1" applyFill="1" applyBorder="1" applyAlignment="1">
      <alignment horizontal="center" vertical="center" wrapText="1"/>
    </xf>
    <xf numFmtId="0" fontId="308" fillId="0" borderId="0" xfId="0" applyFont="1" applyAlignment="1">
      <alignment horizontal="left" vertical="center"/>
    </xf>
    <xf numFmtId="0" fontId="7" fillId="0" borderId="95" xfId="0" applyFont="1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51" fillId="14" borderId="0" xfId="0" applyFont="1" applyFill="1" applyAlignment="1">
      <alignment horizontal="center" vertical="center"/>
    </xf>
    <xf numFmtId="0" fontId="7" fillId="15" borderId="95" xfId="0" applyFont="1" applyFill="1" applyBorder="1" applyAlignment="1">
      <alignment horizontal="center" vertical="center" wrapText="1"/>
    </xf>
    <xf numFmtId="0" fontId="7" fillId="0" borderId="95" xfId="0" applyFont="1" applyFill="1" applyBorder="1" applyAlignment="1">
      <alignment horizontal="center" vertical="center" wrapText="1"/>
    </xf>
    <xf numFmtId="4" fontId="291" fillId="0" borderId="99" xfId="0" applyNumberFormat="1" applyFont="1" applyFill="1" applyBorder="1" applyAlignment="1">
      <alignment horizontal="right" vertical="center"/>
    </xf>
    <xf numFmtId="4" fontId="291" fillId="0" borderId="94" xfId="0" applyNumberFormat="1" applyFont="1" applyFill="1" applyBorder="1" applyAlignment="1">
      <alignment horizontal="right" vertical="center"/>
    </xf>
    <xf numFmtId="0" fontId="11" fillId="0" borderId="95" xfId="0" applyFont="1" applyBorder="1" applyAlignment="1">
      <alignment horizontal="left" vertical="center"/>
    </xf>
    <xf numFmtId="0" fontId="11" fillId="0" borderId="96" xfId="0" applyFont="1" applyBorder="1" applyAlignment="1">
      <alignment horizontal="left" vertical="center"/>
    </xf>
    <xf numFmtId="0" fontId="38" fillId="7" borderId="0" xfId="0" applyFont="1" applyFill="1" applyAlignment="1">
      <alignment horizontal="left" vertical="center" wrapText="1"/>
    </xf>
    <xf numFmtId="0" fontId="289" fillId="0" borderId="0" xfId="0" applyFont="1" applyAlignment="1">
      <alignment horizontal="left" vertical="center"/>
    </xf>
    <xf numFmtId="0" fontId="9" fillId="0" borderId="95" xfId="0" applyFont="1" applyBorder="1" applyAlignment="1">
      <alignment horizontal="left" vertical="center" wrapText="1"/>
    </xf>
    <xf numFmtId="0" fontId="9" fillId="0" borderId="96" xfId="0" applyFont="1" applyBorder="1" applyAlignment="1">
      <alignment horizontal="left" vertical="center" wrapText="1"/>
    </xf>
    <xf numFmtId="0" fontId="13" fillId="0" borderId="95" xfId="0" applyFont="1" applyBorder="1" applyAlignment="1">
      <alignment vertical="center"/>
    </xf>
    <xf numFmtId="0" fontId="13" fillId="0" borderId="96" xfId="0" applyFont="1" applyBorder="1" applyAlignment="1">
      <alignment vertical="center"/>
    </xf>
    <xf numFmtId="0" fontId="0" fillId="14" borderId="0" xfId="0" applyFont="1" applyFill="1" applyAlignment="1">
      <alignment horizontal="center" vertical="center"/>
    </xf>
    <xf numFmtId="0" fontId="216" fillId="7" borderId="0" xfId="0" applyFont="1" applyFill="1" applyBorder="1" applyAlignment="1">
      <alignment horizontal="center" vertical="center" wrapText="1"/>
    </xf>
    <xf numFmtId="0" fontId="45" fillId="7" borderId="0" xfId="0" applyFont="1" applyFill="1" applyBorder="1" applyAlignment="1">
      <alignment horizontal="center" vertical="center"/>
    </xf>
    <xf numFmtId="0" fontId="38" fillId="0" borderId="0" xfId="0" applyFont="1" applyAlignment="1">
      <alignment horizontal="left" vertical="center" wrapText="1"/>
    </xf>
    <xf numFmtId="0" fontId="51" fillId="7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213" fillId="0" borderId="95" xfId="0" applyFont="1" applyFill="1" applyBorder="1" applyAlignment="1">
      <alignment horizontal="center" vertical="center" wrapText="1"/>
    </xf>
    <xf numFmtId="0" fontId="213" fillId="0" borderId="96" xfId="0" applyFont="1" applyFill="1" applyBorder="1" applyAlignment="1">
      <alignment horizontal="center" vertical="center" wrapText="1"/>
    </xf>
    <xf numFmtId="0" fontId="33" fillId="0" borderId="5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vertical="center" wrapText="1"/>
    </xf>
    <xf numFmtId="0" fontId="51" fillId="0" borderId="0" xfId="0" applyFont="1" applyFill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0" fillId="14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295" fillId="7" borderId="0" xfId="0" applyFont="1" applyFill="1" applyAlignment="1">
      <alignment horizontal="center" vertical="center"/>
    </xf>
    <xf numFmtId="0" fontId="7" fillId="0" borderId="93" xfId="0" applyFont="1" applyBorder="1" applyAlignment="1">
      <alignment horizontal="center" vertical="center" wrapText="1"/>
    </xf>
    <xf numFmtId="0" fontId="7" fillId="15" borderId="96" xfId="0" applyFont="1" applyFill="1" applyBorder="1" applyAlignment="1">
      <alignment horizontal="center" vertical="center" wrapText="1"/>
    </xf>
    <xf numFmtId="0" fontId="7" fillId="0" borderId="96" xfId="0" applyFont="1" applyFill="1" applyBorder="1" applyAlignment="1">
      <alignment horizontal="center" vertical="center" wrapText="1"/>
    </xf>
    <xf numFmtId="0" fontId="304" fillId="0" borderId="0" xfId="0" applyFont="1" applyFill="1" applyAlignment="1">
      <alignment horizontal="left" vertical="center"/>
    </xf>
    <xf numFmtId="0" fontId="11" fillId="0" borderId="95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7" fillId="0" borderId="95" xfId="0" applyFont="1" applyBorder="1" applyAlignment="1">
      <alignment horizontal="center" vertical="center" wrapText="1"/>
    </xf>
    <xf numFmtId="0" fontId="7" fillId="0" borderId="96" xfId="0" applyFont="1" applyBorder="1" applyAlignment="1">
      <alignment horizontal="center" vertical="center" wrapText="1"/>
    </xf>
    <xf numFmtId="0" fontId="23" fillId="0" borderId="95" xfId="0" applyFont="1" applyBorder="1" applyAlignment="1">
      <alignment horizontal="justify" vertical="center" wrapText="1"/>
    </xf>
    <xf numFmtId="0" fontId="23" fillId="0" borderId="96" xfId="0" applyFont="1" applyBorder="1" applyAlignment="1">
      <alignment horizontal="justify" vertical="center" wrapText="1"/>
    </xf>
    <xf numFmtId="0" fontId="211" fillId="15" borderId="95" xfId="0" applyFont="1" applyFill="1" applyBorder="1" applyAlignment="1">
      <alignment horizontal="center" vertical="center" wrapText="1"/>
    </xf>
    <xf numFmtId="0" fontId="211" fillId="0" borderId="95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/>
    </xf>
    <xf numFmtId="4" fontId="3" fillId="14" borderId="0" xfId="42996" applyNumberFormat="1" applyFont="1" applyFill="1" applyAlignment="1">
      <alignment horizontal="center" vertical="top"/>
    </xf>
    <xf numFmtId="4" fontId="261" fillId="14" borderId="0" xfId="42996" applyNumberFormat="1" applyFill="1" applyAlignment="1">
      <alignment horizontal="center" vertical="top"/>
    </xf>
    <xf numFmtId="0" fontId="3" fillId="0" borderId="0" xfId="42996" applyFont="1" applyAlignment="1">
      <alignment horizontal="left" vertical="top" wrapText="1"/>
    </xf>
    <xf numFmtId="0" fontId="13" fillId="7" borderId="0" xfId="4" applyFont="1" applyFill="1" applyAlignment="1">
      <alignment horizontal="center" vertical="center"/>
    </xf>
    <xf numFmtId="0" fontId="13" fillId="14" borderId="0" xfId="4" applyFont="1" applyFill="1" applyAlignment="1">
      <alignment horizontal="center" vertical="center"/>
    </xf>
    <xf numFmtId="0" fontId="13" fillId="0" borderId="0" xfId="4" applyFont="1" applyAlignment="1">
      <alignment horizontal="left" vertical="center" wrapText="1"/>
    </xf>
    <xf numFmtId="0" fontId="13" fillId="0" borderId="0" xfId="4" applyFont="1" applyAlignment="1">
      <alignment horizontal="left" vertical="center"/>
    </xf>
    <xf numFmtId="0" fontId="313" fillId="0" borderId="0" xfId="4" applyFont="1" applyFill="1" applyAlignment="1">
      <alignment horizontal="center" vertical="center"/>
    </xf>
    <xf numFmtId="0" fontId="208" fillId="0" borderId="89" xfId="0" applyFont="1" applyBorder="1" applyAlignment="1">
      <alignment horizontal="left" vertical="center" wrapText="1"/>
    </xf>
    <xf numFmtId="0" fontId="208" fillId="0" borderId="88" xfId="0" applyFont="1" applyBorder="1" applyAlignment="1">
      <alignment horizontal="left" vertical="center" wrapText="1"/>
    </xf>
    <xf numFmtId="0" fontId="13" fillId="0" borderId="89" xfId="0" applyFont="1" applyFill="1" applyBorder="1" applyAlignment="1">
      <alignment horizontal="left" vertical="center"/>
    </xf>
    <xf numFmtId="0" fontId="13" fillId="0" borderId="88" xfId="0" applyFont="1" applyFill="1" applyBorder="1" applyAlignment="1">
      <alignment horizontal="left" vertical="center"/>
    </xf>
    <xf numFmtId="0" fontId="7" fillId="0" borderId="89" xfId="0" applyFont="1" applyFill="1" applyBorder="1" applyAlignment="1">
      <alignment horizontal="center" vertical="center" wrapText="1"/>
    </xf>
    <xf numFmtId="0" fontId="7" fillId="0" borderId="88" xfId="0" applyFont="1" applyFill="1" applyBorder="1" applyAlignment="1">
      <alignment horizontal="center" vertical="center" wrapText="1"/>
    </xf>
    <xf numFmtId="0" fontId="285" fillId="0" borderId="0" xfId="0" applyFont="1" applyBorder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  <xf numFmtId="0" fontId="21" fillId="0" borderId="89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0" fillId="14" borderId="0" xfId="0" applyFill="1" applyAlignment="1">
      <alignment horizontal="center" wrapText="1"/>
    </xf>
    <xf numFmtId="0" fontId="51" fillId="0" borderId="0" xfId="0" applyFont="1" applyFill="1" applyAlignment="1">
      <alignment horizontal="center"/>
    </xf>
    <xf numFmtId="0" fontId="225" fillId="21" borderId="0" xfId="0" applyFont="1" applyFill="1" applyAlignment="1">
      <alignment horizontal="left" vertical="center" wrapText="1"/>
    </xf>
    <xf numFmtId="0" fontId="13" fillId="0" borderId="89" xfId="0" applyFont="1" applyBorder="1" applyAlignment="1">
      <alignment horizontal="left" vertical="center"/>
    </xf>
    <xf numFmtId="0" fontId="13" fillId="0" borderId="88" xfId="0" applyFont="1" applyBorder="1" applyAlignment="1">
      <alignment horizontal="left" vertical="center"/>
    </xf>
    <xf numFmtId="0" fontId="285" fillId="0" borderId="0" xfId="0" applyFont="1" applyAlignment="1">
      <alignment horizontal="left" vertical="center"/>
    </xf>
    <xf numFmtId="0" fontId="29" fillId="14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7" fillId="0" borderId="90" xfId="0" applyFont="1" applyFill="1" applyBorder="1" applyAlignment="1">
      <alignment horizontal="center" vertical="center" wrapText="1"/>
    </xf>
    <xf numFmtId="0" fontId="7" fillId="15" borderId="89" xfId="0" applyFont="1" applyFill="1" applyBorder="1" applyAlignment="1">
      <alignment horizontal="center" vertical="center" wrapText="1"/>
    </xf>
    <xf numFmtId="0" fontId="7" fillId="15" borderId="88" xfId="0" applyFont="1" applyFill="1" applyBorder="1" applyAlignment="1">
      <alignment horizontal="center" vertical="center" wrapText="1"/>
    </xf>
    <xf numFmtId="0" fontId="207" fillId="0" borderId="90" xfId="0" applyFont="1" applyBorder="1" applyAlignment="1">
      <alignment horizontal="justify" vertical="center" wrapText="1"/>
    </xf>
    <xf numFmtId="0" fontId="13" fillId="0" borderId="90" xfId="0" applyFont="1" applyBorder="1" applyAlignment="1">
      <alignment horizontal="left" vertical="center"/>
    </xf>
    <xf numFmtId="0" fontId="13" fillId="0" borderId="89" xfId="0" applyFont="1" applyBorder="1" applyAlignment="1">
      <alignment horizontal="justify" vertical="center"/>
    </xf>
    <xf numFmtId="0" fontId="13" fillId="0" borderId="88" xfId="0" applyFont="1" applyBorder="1" applyAlignment="1">
      <alignment horizontal="justify" vertical="center"/>
    </xf>
    <xf numFmtId="0" fontId="223" fillId="0" borderId="0" xfId="0" applyFont="1" applyAlignment="1">
      <alignment horizontal="left" vertical="center" wrapText="1" indent="1"/>
    </xf>
    <xf numFmtId="0" fontId="224" fillId="0" borderId="0" xfId="0" applyFont="1" applyBorder="1" applyAlignment="1">
      <alignment horizontal="left" vertical="center" wrapText="1" indent="1"/>
    </xf>
    <xf numFmtId="0" fontId="224" fillId="0" borderId="87" xfId="0" applyFont="1" applyBorder="1" applyAlignment="1">
      <alignment horizontal="left" vertical="center" wrapText="1" indent="1"/>
    </xf>
    <xf numFmtId="0" fontId="277" fillId="0" borderId="89" xfId="0" applyFont="1" applyBorder="1" applyAlignment="1">
      <alignment horizontal="left" vertical="center" wrapText="1"/>
    </xf>
    <xf numFmtId="0" fontId="281" fillId="0" borderId="0" xfId="0" applyFont="1" applyBorder="1" applyAlignment="1">
      <alignment horizontal="left" vertical="center"/>
    </xf>
    <xf numFmtId="4" fontId="277" fillId="15" borderId="0" xfId="0" applyNumberFormat="1" applyFont="1" applyFill="1" applyAlignment="1">
      <alignment horizontal="right" vertical="center"/>
    </xf>
    <xf numFmtId="4" fontId="277" fillId="0" borderId="0" xfId="0" applyNumberFormat="1" applyFont="1" applyAlignment="1">
      <alignment horizontal="right" vertical="center" wrapText="1"/>
    </xf>
    <xf numFmtId="0" fontId="33" fillId="7" borderId="0" xfId="0" applyFont="1" applyFill="1" applyAlignment="1">
      <alignment horizontal="left" vertical="center" wrapText="1"/>
    </xf>
    <xf numFmtId="0" fontId="33" fillId="0" borderId="0" xfId="0" applyFont="1" applyFill="1" applyAlignment="1">
      <alignment horizontal="left" vertical="center" wrapText="1"/>
    </xf>
    <xf numFmtId="0" fontId="7" fillId="15" borderId="0" xfId="0" applyFont="1" applyFill="1" applyAlignment="1">
      <alignment horizontal="center" vertical="center" wrapText="1"/>
    </xf>
    <xf numFmtId="0" fontId="21" fillId="0" borderId="89" xfId="0" applyFont="1" applyBorder="1" applyAlignment="1">
      <alignment horizontal="center" vertical="center" wrapText="1"/>
    </xf>
    <xf numFmtId="4" fontId="13" fillId="0" borderId="0" xfId="3" applyNumberFormat="1" applyFont="1" applyFill="1" applyBorder="1" applyAlignment="1">
      <alignment horizontal="left" vertical="center" wrapText="1"/>
    </xf>
    <xf numFmtId="0" fontId="17" fillId="14" borderId="0" xfId="0" applyFont="1" applyFill="1" applyAlignment="1">
      <alignment horizontal="center"/>
    </xf>
    <xf numFmtId="0" fontId="24" fillId="0" borderId="0" xfId="0" applyFont="1" applyAlignment="1">
      <alignment horizontal="center" vertical="center" wrapText="1"/>
    </xf>
    <xf numFmtId="0" fontId="7" fillId="0" borderId="95" xfId="0" applyFont="1" applyBorder="1" applyAlignment="1">
      <alignment horizontal="justify" vertical="center"/>
    </xf>
    <xf numFmtId="0" fontId="7" fillId="0" borderId="96" xfId="0" applyFont="1" applyBorder="1" applyAlignment="1">
      <alignment horizontal="justify" vertical="center"/>
    </xf>
    <xf numFmtId="0" fontId="7" fillId="0" borderId="95" xfId="0" applyFont="1" applyBorder="1" applyAlignment="1">
      <alignment horizontal="right" vertical="center" wrapText="1"/>
    </xf>
    <xf numFmtId="0" fontId="7" fillId="0" borderId="96" xfId="0" applyFont="1" applyBorder="1" applyAlignment="1">
      <alignment horizontal="right" vertical="center" wrapText="1"/>
    </xf>
    <xf numFmtId="0" fontId="11" fillId="0" borderId="95" xfId="0" applyFont="1" applyBorder="1" applyAlignment="1">
      <alignment horizontal="justify" vertical="center"/>
    </xf>
    <xf numFmtId="0" fontId="11" fillId="0" borderId="96" xfId="0" applyFont="1" applyBorder="1" applyAlignment="1">
      <alignment horizontal="justify" vertical="center"/>
    </xf>
    <xf numFmtId="0" fontId="17" fillId="0" borderId="0" xfId="0" applyFont="1" applyFill="1" applyBorder="1" applyAlignment="1">
      <alignment horizontal="left" wrapText="1"/>
    </xf>
    <xf numFmtId="0" fontId="21" fillId="14" borderId="0" xfId="0" applyFont="1" applyFill="1" applyBorder="1" applyAlignment="1">
      <alignment horizontal="center" vertical="center" wrapText="1"/>
    </xf>
    <xf numFmtId="0" fontId="281" fillId="0" borderId="0" xfId="0" applyFont="1" applyAlignment="1">
      <alignment horizontal="left" vertical="center"/>
    </xf>
    <xf numFmtId="0" fontId="45" fillId="14" borderId="0" xfId="0" applyFont="1" applyFill="1" applyAlignment="1">
      <alignment horizontal="center" vertical="center"/>
    </xf>
    <xf numFmtId="4" fontId="0" fillId="0" borderId="9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4" fontId="0" fillId="0" borderId="11" xfId="0" applyNumberFormat="1" applyBorder="1" applyAlignment="1">
      <alignment horizontal="center"/>
    </xf>
    <xf numFmtId="4" fontId="51" fillId="0" borderId="0" xfId="0" applyNumberFormat="1" applyFont="1" applyAlignment="1">
      <alignment horizontal="center"/>
    </xf>
    <xf numFmtId="4" fontId="3" fillId="0" borderId="0" xfId="33392" applyNumberFormat="1" applyAlignment="1">
      <alignment horizontal="center" vertical="center"/>
    </xf>
    <xf numFmtId="0" fontId="3" fillId="0" borderId="0" xfId="33392" applyAlignment="1">
      <alignment horizontal="center" vertical="center"/>
    </xf>
    <xf numFmtId="0" fontId="48" fillId="0" borderId="0" xfId="33392" applyFont="1" applyAlignment="1">
      <alignment horizontal="center" vertical="center" wrapText="1"/>
    </xf>
    <xf numFmtId="0" fontId="267" fillId="7" borderId="0" xfId="0" applyFont="1" applyFill="1" applyAlignment="1">
      <alignment horizontal="left" vertical="center"/>
    </xf>
    <xf numFmtId="49" fontId="250" fillId="7" borderId="0" xfId="32726" applyNumberFormat="1" applyFont="1" applyFill="1" applyAlignment="1">
      <alignment horizontal="center" vertical="center" wrapText="1"/>
    </xf>
    <xf numFmtId="0" fontId="28" fillId="5" borderId="12" xfId="8" applyFont="1" applyFill="1" applyBorder="1" applyAlignment="1">
      <alignment horizontal="center" vertical="center"/>
    </xf>
    <xf numFmtId="0" fontId="29" fillId="0" borderId="1" xfId="8" applyFont="1" applyFill="1" applyBorder="1" applyAlignment="1">
      <alignment vertical="center" wrapText="1"/>
    </xf>
    <xf numFmtId="0" fontId="29" fillId="0" borderId="9" xfId="8" applyFont="1" applyFill="1" applyBorder="1" applyAlignment="1">
      <alignment vertical="center" wrapText="1"/>
    </xf>
    <xf numFmtId="0" fontId="29" fillId="0" borderId="10" xfId="8" applyFont="1" applyFill="1" applyBorder="1" applyAlignment="1">
      <alignment vertical="center" wrapText="1"/>
    </xf>
    <xf numFmtId="0" fontId="29" fillId="0" borderId="11" xfId="8" applyFont="1" applyFill="1" applyBorder="1" applyAlignment="1">
      <alignment vertical="center" wrapText="1"/>
    </xf>
    <xf numFmtId="0" fontId="29" fillId="0" borderId="1" xfId="8" applyFont="1" applyBorder="1" applyAlignment="1">
      <alignment vertical="center" wrapText="1"/>
    </xf>
    <xf numFmtId="0" fontId="29" fillId="0" borderId="1" xfId="8" applyFont="1" applyBorder="1" applyAlignment="1">
      <alignment horizontal="center" vertical="center"/>
    </xf>
    <xf numFmtId="0" fontId="33" fillId="0" borderId="1" xfId="8" applyFont="1" applyBorder="1" applyAlignment="1">
      <alignment vertical="center" wrapText="1"/>
    </xf>
    <xf numFmtId="0" fontId="28" fillId="0" borderId="1" xfId="8" applyFont="1" applyBorder="1" applyAlignment="1">
      <alignment vertical="center" wrapText="1"/>
    </xf>
    <xf numFmtId="0" fontId="29" fillId="0" borderId="9" xfId="8" applyFont="1" applyBorder="1" applyAlignment="1">
      <alignment horizontal="center" vertical="center" wrapText="1"/>
    </xf>
    <xf numFmtId="0" fontId="29" fillId="0" borderId="10" xfId="8" applyFont="1" applyBorder="1" applyAlignment="1">
      <alignment horizontal="center" vertical="center" wrapText="1"/>
    </xf>
    <xf numFmtId="0" fontId="29" fillId="0" borderId="11" xfId="8" applyFont="1" applyBorder="1" applyAlignment="1">
      <alignment horizontal="center" vertical="center" wrapText="1"/>
    </xf>
    <xf numFmtId="4" fontId="0" fillId="14" borderId="0" xfId="0" applyNumberForma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7" fillId="0" borderId="7" xfId="0" applyFont="1" applyBorder="1" applyAlignment="1">
      <alignment horizontal="justify" vertical="center"/>
    </xf>
    <xf numFmtId="0" fontId="7" fillId="0" borderId="6" xfId="0" applyFont="1" applyBorder="1" applyAlignment="1">
      <alignment horizontal="justify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6" xfId="0" applyFont="1" applyBorder="1" applyAlignment="1">
      <alignment horizontal="right" vertical="center" wrapText="1"/>
    </xf>
    <xf numFmtId="0" fontId="13" fillId="0" borderId="7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1" fillId="14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left" vertical="center"/>
    </xf>
    <xf numFmtId="0" fontId="11" fillId="0" borderId="7" xfId="0" applyFont="1" applyBorder="1" applyAlignment="1">
      <alignment horizontal="justify" vertical="center"/>
    </xf>
    <xf numFmtId="0" fontId="11" fillId="0" borderId="6" xfId="0" applyFont="1" applyBorder="1" applyAlignment="1">
      <alignment horizontal="justify" vertical="center"/>
    </xf>
    <xf numFmtId="222" fontId="227" fillId="14" borderId="109" xfId="32726" applyNumberFormat="1" applyFont="1" applyFill="1" applyBorder="1" applyAlignment="1">
      <alignment horizontal="center" vertical="center"/>
    </xf>
  </cellXfs>
  <cellStyles count="42998">
    <cellStyle name=" 1" xfId="29"/>
    <cellStyle name=" 1 2" xfId="30"/>
    <cellStyle name="[StdExit()]" xfId="31"/>
    <cellStyle name="[StdExit()] 2" xfId="32"/>
    <cellStyle name="[StdExit()] 2 2" xfId="33"/>
    <cellStyle name="[StdExit()] 2 3" xfId="34"/>
    <cellStyle name="[StdExit()] 2_2011'05 Raport PGE_DO-CO2" xfId="35"/>
    <cellStyle name="[StdExit()] 3" xfId="36"/>
    <cellStyle name="[StdExit()]_2011'05 Raport PGE_DO-CO2" xfId="37"/>
    <cellStyle name="__Bilans_ee_sierpień" xfId="38"/>
    <cellStyle name="_00 PGE_bilans energii" xfId="39"/>
    <cellStyle name="_00 PGE_bilans energii_@PGE_BE_PF2011" xfId="40"/>
    <cellStyle name="_00 PGE_bilans energii_@status" xfId="41"/>
    <cellStyle name="_100217_Wyniki_wstępne_GK_2009" xfId="42"/>
    <cellStyle name="_2008'09_RaportGKPGE_v3" xfId="43"/>
    <cellStyle name="_2008'09_RaportGKPGE_v3_100309_Nakłady_ inwestycyjne" xfId="44"/>
    <cellStyle name="_2008'09_RaportGKPGE_v3_100309_Nakłady_ inwestycyjne_100313_PF2010_Tabele RW" xfId="45"/>
    <cellStyle name="_2008'09_RaportGKPGE_v3_100309_Nakłady_ inwestycyjne_100314_PF2010_Tabele RW" xfId="46"/>
    <cellStyle name="_2008'09_RaportGKPGE_v3_100309_Nakłady_ inwestycyjne_100316_PF2010_Tabele RW_poprawione_doradcze_AG" xfId="47"/>
    <cellStyle name="_2008'09_RaportGKPGE_v3_100309_Nakłady_ inwestycyjne_100408_KONSOLIDACJA_Wykonanie_I-III_2010" xfId="48"/>
    <cellStyle name="_2008'09_RaportGKPGE_v3_100309_Nakłady_ inwestycyjne_100513_Doradcze_Wykonanie_I-IV_2010_roboczy" xfId="49"/>
    <cellStyle name="_2008'09_RaportGKPGE_v3_100309_Nakłady_ inwestycyjne_100513_KONSOLIDACJA_Wykonanie_I-IV_2010_roboczy" xfId="50"/>
    <cellStyle name="_2008'09_RaportGKPGE_v3_100309_Nakłady_ inwestycyjne_20100305_PF2010_Tabele" xfId="51"/>
    <cellStyle name="_2008'09_RaportGKPGE_v3_100309_Nakłady_ inwestycyjne_20100313_PF2010_Tabele" xfId="52"/>
    <cellStyle name="_2008'09_RaportGKPGE_v3_100309_Nakłady_ inwestycyjne_20100322_PF2010_Tabele" xfId="53"/>
    <cellStyle name="_2008'09_RaportGKPGE_v3_100309_Nakłady_ inwestycyjne_Analiza_WYN_2009" xfId="54"/>
    <cellStyle name="_2008'09_RaportGKPGE_v3_100309_Nakłady_ inwestycyjne_Kopia 20100305_PF2010_Tabele_AG" xfId="55"/>
    <cellStyle name="_2008'09_RaportGKPGE_v3_100309_Nakłady_ inwestycyjne_Tabele_02_2010" xfId="56"/>
    <cellStyle name="_2008'09_RaportGKPGE_v3_100309_Nakłady_ inwestycyjne_Tabele_02_2010_AG" xfId="57"/>
    <cellStyle name="_2008'09_RaportGKPGE_v3_100309_Nakłady_ inwestycyjne_wynagrodzenia_2009_analiza_DC_DP" xfId="58"/>
    <cellStyle name="_2008'09_RaportGKPGE_v3_100309_Nakłady_ inwestycyjne_Zeszyt1 (67)" xfId="59"/>
    <cellStyle name="_2008'09_RaportGKPGE_v3_100309_Nakłady_ inwestycyjne_Zeszyt2" xfId="60"/>
    <cellStyle name="_2009'03_RaportGKPGE_v2" xfId="61"/>
    <cellStyle name="_2009'03_RaportGKPGE_v2 2" xfId="62"/>
    <cellStyle name="_2009'03_RaportGKPGE_v2 3" xfId="63"/>
    <cellStyle name="_2009'03_RaportGKPGE_v2_100309_Nakłady_ inwestycyjne" xfId="64"/>
    <cellStyle name="_2009'03_RaportGKPGE_v2_100309_Nakłady_ inwestycyjne_100313_PF2010_Tabele RW" xfId="65"/>
    <cellStyle name="_2009'03_RaportGKPGE_v2_100309_Nakłady_ inwestycyjne_100314_PF2010_Tabele RW" xfId="66"/>
    <cellStyle name="_2009'03_RaportGKPGE_v2_100309_Nakłady_ inwestycyjne_100316_PF2010_Tabele RW_poprawione_doradcze_AG" xfId="67"/>
    <cellStyle name="_2009'03_RaportGKPGE_v2_100309_Nakłady_ inwestycyjne_100408_KONSOLIDACJA_Wykonanie_I-III_2010" xfId="68"/>
    <cellStyle name="_2009'03_RaportGKPGE_v2_100309_Nakłady_ inwestycyjne_100513_Doradcze_Wykonanie_I-IV_2010_roboczy" xfId="69"/>
    <cellStyle name="_2009'03_RaportGKPGE_v2_100309_Nakłady_ inwestycyjne_100513_KONSOLIDACJA_Wykonanie_I-IV_2010_roboczy" xfId="70"/>
    <cellStyle name="_2009'03_RaportGKPGE_v2_100309_Nakłady_ inwestycyjne_20100305_PF2010_Tabele" xfId="71"/>
    <cellStyle name="_2009'03_RaportGKPGE_v2_100309_Nakłady_ inwestycyjne_20100313_PF2010_Tabele" xfId="72"/>
    <cellStyle name="_2009'03_RaportGKPGE_v2_100309_Nakłady_ inwestycyjne_20100322_PF2010_Tabele" xfId="73"/>
    <cellStyle name="_2009'03_RaportGKPGE_v2_100309_Nakłady_ inwestycyjne_Analiza_WYN_2009" xfId="74"/>
    <cellStyle name="_2009'03_RaportGKPGE_v2_100309_Nakłady_ inwestycyjne_Kopia 20100305_PF2010_Tabele_AG" xfId="75"/>
    <cellStyle name="_2009'03_RaportGKPGE_v2_100309_Nakłady_ inwestycyjne_Tabele_02_2010" xfId="76"/>
    <cellStyle name="_2009'03_RaportGKPGE_v2_100309_Nakłady_ inwestycyjne_Tabele_02_2010_AG" xfId="77"/>
    <cellStyle name="_2009'03_RaportGKPGE_v2_100309_Nakłady_ inwestycyjne_wynagrodzenia_2009_analiza_DC_DP" xfId="78"/>
    <cellStyle name="_2009'03_RaportGKPGE_v2_100309_Nakłady_ inwestycyjne_Zeszyt1 (67)" xfId="79"/>
    <cellStyle name="_2009'03_RaportGKPGE_v2_100309_Nakłady_ inwestycyjne_Zeszyt2" xfId="80"/>
    <cellStyle name="_2009'03_RaportGKPGE_v2_2010'05_Raport_shortv4" xfId="81"/>
    <cellStyle name="_2009'03_RaportGKPGE_v2_2010'07_Raport_shortv2" xfId="82"/>
    <cellStyle name="_formatka" xfId="83"/>
    <cellStyle name="_GKPGE kluczowe wielkosci _06'2009_2008" xfId="84"/>
    <cellStyle name="_GKPGE kluczowe wielkosci _06'2009_2008_@PGE_BE_PF2011" xfId="85"/>
    <cellStyle name="_GKPGE kluczowe wielkosci _06'2009_2008_@status" xfId="86"/>
    <cellStyle name="_GWW BOT ELB" xfId="87"/>
    <cellStyle name="_GWW BOT ELO" xfId="88"/>
    <cellStyle name="_GWW BOT ELT" xfId="89"/>
    <cellStyle name="_GWW BOT KWBT" xfId="90"/>
    <cellStyle name="_GWW ECLW" xfId="91"/>
    <cellStyle name="_GWW ECR" xfId="92"/>
    <cellStyle name="_GWW Kopalnie_Inwestycje" xfId="93"/>
    <cellStyle name="_GWW ZECB" xfId="94"/>
    <cellStyle name="_GWW ZEDO" xfId="95"/>
    <cellStyle name="_GWW_KOPALNIE_Inwestycje" xfId="96"/>
    <cellStyle name="_GWW_KOPALNIE_Inwestycje 2" xfId="97"/>
    <cellStyle name="_GWW_KOPALNIE_Inwestycje_@PGE_BE_PF2011" xfId="98"/>
    <cellStyle name="_GWW_KOPALNIE_Inwestycje_@SSD_SPRZEDAŻ" xfId="99"/>
    <cellStyle name="_GWW_KOPALNIE_Inwestycje_@status" xfId="100"/>
    <cellStyle name="_K1" xfId="101"/>
    <cellStyle name="_KDT podsumowanie" xfId="102"/>
    <cellStyle name="_KDT podsumowanie_@PGE_BE_PF2011" xfId="103"/>
    <cellStyle name="_KDT podsumowanie_@status" xfId="104"/>
    <cellStyle name="_Konsolidacja v2" xfId="105"/>
    <cellStyle name="_Konsolidacja v4" xfId="106"/>
    <cellStyle name="_Korekty do MSSF - ŚT WNiP oraz PUWG" xfId="107"/>
    <cellStyle name="_KWS" xfId="108"/>
    <cellStyle name="_KWS 10" xfId="109"/>
    <cellStyle name="_KWS 10 2" xfId="110"/>
    <cellStyle name="_KWS 11" xfId="111"/>
    <cellStyle name="_KWS 11 2" xfId="112"/>
    <cellStyle name="_KWS 12" xfId="113"/>
    <cellStyle name="_KWS 12 2" xfId="114"/>
    <cellStyle name="_KWS 13" xfId="115"/>
    <cellStyle name="_KWS 13 2" xfId="116"/>
    <cellStyle name="_KWS 14" xfId="117"/>
    <cellStyle name="_KWS 14 2" xfId="118"/>
    <cellStyle name="_KWS 15" xfId="119"/>
    <cellStyle name="_KWS 15 2" xfId="120"/>
    <cellStyle name="_KWS 16" xfId="121"/>
    <cellStyle name="_KWS 16 2" xfId="122"/>
    <cellStyle name="_KWS 17" xfId="123"/>
    <cellStyle name="_KWS 17 2" xfId="124"/>
    <cellStyle name="_KWS 18" xfId="125"/>
    <cellStyle name="_KWS 18 2" xfId="126"/>
    <cellStyle name="_KWS 19" xfId="127"/>
    <cellStyle name="_KWS 19 2" xfId="128"/>
    <cellStyle name="_KWS 2" xfId="129"/>
    <cellStyle name="_KWS 2 2" xfId="130"/>
    <cellStyle name="_KWS 2 2 2" xfId="131"/>
    <cellStyle name="_KWS 2 3" xfId="132"/>
    <cellStyle name="_KWS 2 3 2" xfId="133"/>
    <cellStyle name="_KWS 2 4" xfId="134"/>
    <cellStyle name="_KWS 2 4 2" xfId="135"/>
    <cellStyle name="_KWS 2 5" xfId="136"/>
    <cellStyle name="_KWS 2 5 2" xfId="137"/>
    <cellStyle name="_KWS 2 6" xfId="138"/>
    <cellStyle name="_KWS 2 6 2" xfId="139"/>
    <cellStyle name="_KWS 2 7" xfId="140"/>
    <cellStyle name="_KWS 2 7 2" xfId="141"/>
    <cellStyle name="_KWS 2 8" xfId="142"/>
    <cellStyle name="_KWS 20" xfId="143"/>
    <cellStyle name="_KWS 20 2" xfId="144"/>
    <cellStyle name="_KWS 21" xfId="145"/>
    <cellStyle name="_KWS 21 2" xfId="146"/>
    <cellStyle name="_KWS 22" xfId="147"/>
    <cellStyle name="_KWS 22 2" xfId="148"/>
    <cellStyle name="_KWS 23" xfId="149"/>
    <cellStyle name="_KWS 23 2" xfId="150"/>
    <cellStyle name="_KWS 24" xfId="151"/>
    <cellStyle name="_KWS 24 2" xfId="152"/>
    <cellStyle name="_KWS 25" xfId="153"/>
    <cellStyle name="_KWS 25 2" xfId="154"/>
    <cellStyle name="_KWS 26" xfId="155"/>
    <cellStyle name="_KWS 26 2" xfId="156"/>
    <cellStyle name="_KWS 27" xfId="157"/>
    <cellStyle name="_KWS 27 2" xfId="158"/>
    <cellStyle name="_KWS 28" xfId="159"/>
    <cellStyle name="_KWS 28 2" xfId="160"/>
    <cellStyle name="_KWS 28 2 2" xfId="161"/>
    <cellStyle name="_KWS 28 2 2 2" xfId="162"/>
    <cellStyle name="_KWS 28 2 3" xfId="163"/>
    <cellStyle name="_KWS 29" xfId="164"/>
    <cellStyle name="_KWS 29 2" xfId="165"/>
    <cellStyle name="_KWS 29 2 2" xfId="166"/>
    <cellStyle name="_KWS 29 3" xfId="167"/>
    <cellStyle name="_KWS 3" xfId="168"/>
    <cellStyle name="_KWS 3 2" xfId="169"/>
    <cellStyle name="_KWS 30" xfId="170"/>
    <cellStyle name="_KWS 31" xfId="171"/>
    <cellStyle name="_KWS 4" xfId="172"/>
    <cellStyle name="_KWS 4 2" xfId="173"/>
    <cellStyle name="_KWS 5" xfId="174"/>
    <cellStyle name="_KWS 5 2" xfId="175"/>
    <cellStyle name="_KWS 6" xfId="176"/>
    <cellStyle name="_KWS 6 2" xfId="177"/>
    <cellStyle name="_KWS 7" xfId="178"/>
    <cellStyle name="_KWS 7 2" xfId="179"/>
    <cellStyle name="_KWS 8" xfId="180"/>
    <cellStyle name="_KWS 8 2" xfId="181"/>
    <cellStyle name="_KWS 9" xfId="182"/>
    <cellStyle name="_KWS 9 2" xfId="183"/>
    <cellStyle name="_KWS_100816_Slajd_Konsolidacja_wykonanie_I-VII_2010" xfId="184"/>
    <cellStyle name="_KWS_100816_Slajd_Konsolidacja_wykonanie_I-VII_2010 2" xfId="185"/>
    <cellStyle name="_KWS_100816_Slajd_Konsolidacja_wykonanie_I-VII_2010_2011'05 Raport PGE_DO-CO2" xfId="186"/>
    <cellStyle name="_KWS_100816_Slajd_Konsolidacja_wykonanie_I-VII_2010_2011'05 Raport PGE_DO-PM" xfId="187"/>
    <cellStyle name="_KWS_100816_Slajd_Konsolidacja_wykonanie_I-VII_2010_2011'05 Raport PGE_DO-węgiel" xfId="188"/>
    <cellStyle name="_KWS_100816_Slajd_Konsolidacja_wykonanie_I-VII_2010_2011'06 Raport PGE_DOH_270711_CO2" xfId="189"/>
    <cellStyle name="_KWS_100816_Slajd_Konsolidacja_wykonanie_I-VII_2010_2011'06 Raport PGE_DO-węgiel" xfId="190"/>
    <cellStyle name="_KWS_100816_Slajd_Konsolidacja_wykonanie_I-VII_2010_2011'07 Raport PGE_DO-węgiel" xfId="191"/>
    <cellStyle name="_KWS_100816_Slajd_Konsolidacja_wykonanie_I-VII_2010_2011'07_ Raport PGE_DOH WE 240811_CO2" xfId="192"/>
    <cellStyle name="_KWS_100816_Slajd_Konsolidacja_wykonanie_I-VII_2010_2011'07_ Raport PGE_DOH_PM" xfId="193"/>
    <cellStyle name="_KWS_100816_Slajd_Konsolidacja_wykonanie_I-VII_2010_PIKF_09'2010" xfId="194"/>
    <cellStyle name="_KWS_100816_Slajd_Konsolidacja_wykonanie_I-VII_2010_PIKF_09'2010 2" xfId="195"/>
    <cellStyle name="_KWS_100816_Slajd_Konsolidacja_wykonanie_I-VII_2010_PIKF_09'2010_2011'05 Raport PGE_DO-CO2" xfId="196"/>
    <cellStyle name="_KWS_100816_Slajd_Konsolidacja_wykonanie_I-VII_2010_PIKF_09'2010_2011'05 Raport PGE_DO-PM" xfId="197"/>
    <cellStyle name="_KWS_100816_Slajd_Konsolidacja_wykonanie_I-VII_2010_PIKF_09'2010_2011'05 Raport PGE_DO-węgiel" xfId="198"/>
    <cellStyle name="_KWS_100816_Slajd_Konsolidacja_wykonanie_I-VII_2010_PIKF_09'2010_2011'06 Raport PGE_DOH_270711_CO2" xfId="199"/>
    <cellStyle name="_KWS_100816_Slajd_Konsolidacja_wykonanie_I-VII_2010_PIKF_09'2010_2011'06 Raport PGE_DO-węgiel" xfId="200"/>
    <cellStyle name="_KWS_100816_Slajd_Konsolidacja_wykonanie_I-VII_2010_PIKF_09'2010_2011'07 Raport PGE_DO-węgiel" xfId="201"/>
    <cellStyle name="_KWS_100816_Slajd_Konsolidacja_wykonanie_I-VII_2010_PIKF_09'2010_2011'07_ Raport PGE_DOH WE 240811_CO2" xfId="202"/>
    <cellStyle name="_KWS_100816_Slajd_Konsolidacja_wykonanie_I-VII_2010_PIKF_09'2010_2011'07_ Raport PGE_DOH_PM" xfId="203"/>
    <cellStyle name="_KWS_100816_Slajd_Konsolidacja_wykonanie_I-VII_2010_PIKF_09'2010_Rynek PM (2)" xfId="204"/>
    <cellStyle name="_KWS_100816_Slajd_Konsolidacja_wykonanie_I-VII_2010_Rynek PM (2)" xfId="205"/>
    <cellStyle name="_KWS_2011'05 Raport PGE_DO-CO2" xfId="206"/>
    <cellStyle name="_KWS_2011'05 Raport PGE_DO-PM" xfId="207"/>
    <cellStyle name="_KWS_2011'05 Raport PGE_DO-węgiel" xfId="208"/>
    <cellStyle name="_KWS_2011'06 Raport PGE_DOH_270711_CO2" xfId="209"/>
    <cellStyle name="_KWS_2011'06 Raport PGE_DO-węgiel" xfId="210"/>
    <cellStyle name="_KWS_2011'07 Raport PGE_DO-węgiel" xfId="211"/>
    <cellStyle name="_KWS_2011'07_ Raport PGE_DOH WE 240811_CO2" xfId="212"/>
    <cellStyle name="_KWS_2011'07_ Raport PGE_DOH_PM" xfId="213"/>
    <cellStyle name="_KWS_Analiza_WYN_2009" xfId="214"/>
    <cellStyle name="_KWS_Analiza_WYN_2009 2" xfId="215"/>
    <cellStyle name="_KWS_Analiza_WYN_2009_100816_Slajd_Konsolidacja_wykonanie_I-VII_2010" xfId="216"/>
    <cellStyle name="_KWS_Analiza_WYN_2009_100816_Slajd_Konsolidacja_wykonanie_I-VII_2010 2" xfId="217"/>
    <cellStyle name="_KWS_Analiza_WYN_2009_100816_Slajd_Konsolidacja_wykonanie_I-VII_2010_2011'05 Raport PGE_DO-CO2" xfId="218"/>
    <cellStyle name="_KWS_Analiza_WYN_2009_100816_Slajd_Konsolidacja_wykonanie_I-VII_2010_2011'05 Raport PGE_DO-PM" xfId="219"/>
    <cellStyle name="_KWS_Analiza_WYN_2009_100816_Slajd_Konsolidacja_wykonanie_I-VII_2010_2011'05 Raport PGE_DO-węgiel" xfId="220"/>
    <cellStyle name="_KWS_Analiza_WYN_2009_100816_Slajd_Konsolidacja_wykonanie_I-VII_2010_2011'06 Raport PGE_DOH_270711_CO2" xfId="221"/>
    <cellStyle name="_KWS_Analiza_WYN_2009_100816_Slajd_Konsolidacja_wykonanie_I-VII_2010_2011'06 Raport PGE_DO-węgiel" xfId="222"/>
    <cellStyle name="_KWS_Analiza_WYN_2009_100816_Slajd_Konsolidacja_wykonanie_I-VII_2010_2011'07 Raport PGE_DO-węgiel" xfId="223"/>
    <cellStyle name="_KWS_Analiza_WYN_2009_100816_Slajd_Konsolidacja_wykonanie_I-VII_2010_2011'07_ Raport PGE_DOH WE 240811_CO2" xfId="224"/>
    <cellStyle name="_KWS_Analiza_WYN_2009_100816_Slajd_Konsolidacja_wykonanie_I-VII_2010_2011'07_ Raport PGE_DOH_PM" xfId="225"/>
    <cellStyle name="_KWS_Analiza_WYN_2009_100816_Slajd_Konsolidacja_wykonanie_I-VII_2010_PIKF_09'2010" xfId="226"/>
    <cellStyle name="_KWS_Analiza_WYN_2009_100816_Slajd_Konsolidacja_wykonanie_I-VII_2010_PIKF_09'2010 2" xfId="227"/>
    <cellStyle name="_KWS_Analiza_WYN_2009_100816_Slajd_Konsolidacja_wykonanie_I-VII_2010_PIKF_09'2010_2011'05 Raport PGE_DO-CO2" xfId="228"/>
    <cellStyle name="_KWS_Analiza_WYN_2009_100816_Slajd_Konsolidacja_wykonanie_I-VII_2010_PIKF_09'2010_2011'05 Raport PGE_DO-PM" xfId="229"/>
    <cellStyle name="_KWS_Analiza_WYN_2009_100816_Slajd_Konsolidacja_wykonanie_I-VII_2010_PIKF_09'2010_2011'05 Raport PGE_DO-węgiel" xfId="230"/>
    <cellStyle name="_KWS_Analiza_WYN_2009_100816_Slajd_Konsolidacja_wykonanie_I-VII_2010_PIKF_09'2010_2011'06 Raport PGE_DOH_270711_CO2" xfId="231"/>
    <cellStyle name="_KWS_Analiza_WYN_2009_100816_Slajd_Konsolidacja_wykonanie_I-VII_2010_PIKF_09'2010_2011'06 Raport PGE_DO-węgiel" xfId="232"/>
    <cellStyle name="_KWS_Analiza_WYN_2009_100816_Slajd_Konsolidacja_wykonanie_I-VII_2010_PIKF_09'2010_2011'07 Raport PGE_DO-węgiel" xfId="233"/>
    <cellStyle name="_KWS_Analiza_WYN_2009_100816_Slajd_Konsolidacja_wykonanie_I-VII_2010_PIKF_09'2010_2011'07_ Raport PGE_DOH WE 240811_CO2" xfId="234"/>
    <cellStyle name="_KWS_Analiza_WYN_2009_100816_Slajd_Konsolidacja_wykonanie_I-VII_2010_PIKF_09'2010_2011'07_ Raport PGE_DOH_PM" xfId="235"/>
    <cellStyle name="_KWS_Analiza_WYN_2009_100816_Slajd_Konsolidacja_wykonanie_I-VII_2010_PIKF_09'2010_Rynek PM (2)" xfId="236"/>
    <cellStyle name="_KWS_Analiza_WYN_2009_100816_Slajd_Konsolidacja_wykonanie_I-VII_2010_Rynek PM (2)" xfId="237"/>
    <cellStyle name="_KWS_Analiza_WYN_2009_2011'05 Raport PGE_DO-CO2" xfId="238"/>
    <cellStyle name="_KWS_Analiza_WYN_2009_2011'05 Raport PGE_DO-PM" xfId="239"/>
    <cellStyle name="_KWS_Analiza_WYN_2009_2011'05 Raport PGE_DO-węgiel" xfId="240"/>
    <cellStyle name="_KWS_Analiza_WYN_2009_2011'06 Raport PGE_DOH_270711_CO2" xfId="241"/>
    <cellStyle name="_KWS_Analiza_WYN_2009_2011'06 Raport PGE_DO-węgiel" xfId="242"/>
    <cellStyle name="_KWS_Analiza_WYN_2009_2011'07 Raport PGE_DO-węgiel" xfId="243"/>
    <cellStyle name="_KWS_Analiza_WYN_2009_2011'07_ Raport PGE_DOH WE 240811_CO2" xfId="244"/>
    <cellStyle name="_KWS_Analiza_WYN_2009_2011'07_ Raport PGE_DOH_PM" xfId="245"/>
    <cellStyle name="_KWS_Analiza_WYN_2009_Kopia Raport skonsolidowany_2010_v2" xfId="246"/>
    <cellStyle name="_KWS_Analiza_WYN_2009_Kopia Raport skonsolidowany_2010_v2 2" xfId="247"/>
    <cellStyle name="_KWS_Analiza_WYN_2009_Kopia Raport skonsolidowany_2010_v2_2011'05 Raport PGE_DO-CO2" xfId="248"/>
    <cellStyle name="_KWS_Analiza_WYN_2009_Kopia Raport skonsolidowany_2010_v2_2011'05 Raport PGE_DO-PM" xfId="249"/>
    <cellStyle name="_KWS_Analiza_WYN_2009_Kopia Raport skonsolidowany_2010_v2_2011'05 Raport PGE_DO-węgiel" xfId="250"/>
    <cellStyle name="_KWS_Analiza_WYN_2009_Kopia Raport skonsolidowany_2010_v2_2011'06 Raport PGE_DOH_270711_CO2" xfId="251"/>
    <cellStyle name="_KWS_Analiza_WYN_2009_Kopia Raport skonsolidowany_2010_v2_2011'06 Raport PGE_DO-węgiel" xfId="252"/>
    <cellStyle name="_KWS_Analiza_WYN_2009_Kopia Raport skonsolidowany_2010_v2_2011'07 Raport PGE_DO-węgiel" xfId="253"/>
    <cellStyle name="_KWS_Analiza_WYN_2009_Kopia Raport skonsolidowany_2010_v2_2011'07_ Raport PGE_DOH WE 240811_CO2" xfId="254"/>
    <cellStyle name="_KWS_Analiza_WYN_2009_Kopia Raport skonsolidowany_2010_v2_2011'07_ Raport PGE_DOH_PM" xfId="255"/>
    <cellStyle name="_KWS_Analiza_WYN_2009_Kopia Raport skonsolidowany_2010_v2_Rynek PM (2)" xfId="256"/>
    <cellStyle name="_KWS_Analiza_WYN_2009_PIKF_09'2010" xfId="257"/>
    <cellStyle name="_KWS_Analiza_WYN_2009_PIKF_09'2010 2" xfId="258"/>
    <cellStyle name="_KWS_Analiza_WYN_2009_PIKF_09'2010_2011'05 Raport PGE_DO-CO2" xfId="259"/>
    <cellStyle name="_KWS_Analiza_WYN_2009_PIKF_09'2010_2011'05 Raport PGE_DO-PM" xfId="260"/>
    <cellStyle name="_KWS_Analiza_WYN_2009_PIKF_09'2010_2011'05 Raport PGE_DO-węgiel" xfId="261"/>
    <cellStyle name="_KWS_Analiza_WYN_2009_PIKF_09'2010_2011'06 Raport PGE_DOH_270711_CO2" xfId="262"/>
    <cellStyle name="_KWS_Analiza_WYN_2009_PIKF_09'2010_2011'06 Raport PGE_DO-węgiel" xfId="263"/>
    <cellStyle name="_KWS_Analiza_WYN_2009_PIKF_09'2010_2011'07 Raport PGE_DO-węgiel" xfId="264"/>
    <cellStyle name="_KWS_Analiza_WYN_2009_PIKF_09'2010_2011'07_ Raport PGE_DOH WE 240811_CO2" xfId="265"/>
    <cellStyle name="_KWS_Analiza_WYN_2009_PIKF_09'2010_2011'07_ Raport PGE_DOH_PM" xfId="266"/>
    <cellStyle name="_KWS_Analiza_WYN_2009_PIKF_09'2010_Rynek PM (2)" xfId="267"/>
    <cellStyle name="_KWS_Analiza_WYN_2009_Prognoza GiE i E" xfId="268"/>
    <cellStyle name="_KWS_Analiza_WYN_2009_Prognoza GiE i E 2" xfId="269"/>
    <cellStyle name="_KWS_Analiza_WYN_2009_Prognoza GiE i E_2011'05 Raport PGE_DO-CO2" xfId="270"/>
    <cellStyle name="_KWS_Analiza_WYN_2009_Prognoza GiE i E_2011'05 Raport PGE_DO-PM" xfId="271"/>
    <cellStyle name="_KWS_Analiza_WYN_2009_Prognoza GiE i E_2011'05 Raport PGE_DO-węgiel" xfId="272"/>
    <cellStyle name="_KWS_Analiza_WYN_2009_Prognoza GiE i E_2011'06 Raport PGE_DOH_270711_CO2" xfId="273"/>
    <cellStyle name="_KWS_Analiza_WYN_2009_Prognoza GiE i E_2011'06 Raport PGE_DO-węgiel" xfId="274"/>
    <cellStyle name="_KWS_Analiza_WYN_2009_Prognoza GiE i E_2011'07 Raport PGE_DO-węgiel" xfId="275"/>
    <cellStyle name="_KWS_Analiza_WYN_2009_Prognoza GiE i E_2011'07_ Raport PGE_DOH WE 240811_CO2" xfId="276"/>
    <cellStyle name="_KWS_Analiza_WYN_2009_Prognoza GiE i E_2011'07_ Raport PGE_DOH_PM" xfId="277"/>
    <cellStyle name="_KWS_Analiza_WYN_2009_Prognoza GiE i E_PIKF_09'2010" xfId="278"/>
    <cellStyle name="_KWS_Analiza_WYN_2009_Prognoza GiE i E_PIKF_09'2010 2" xfId="279"/>
    <cellStyle name="_KWS_Analiza_WYN_2009_Prognoza GiE i E_PIKF_09'2010_2011'05 Raport PGE_DO-CO2" xfId="280"/>
    <cellStyle name="_KWS_Analiza_WYN_2009_Prognoza GiE i E_PIKF_09'2010_2011'05 Raport PGE_DO-PM" xfId="281"/>
    <cellStyle name="_KWS_Analiza_WYN_2009_Prognoza GiE i E_PIKF_09'2010_2011'05 Raport PGE_DO-węgiel" xfId="282"/>
    <cellStyle name="_KWS_Analiza_WYN_2009_Prognoza GiE i E_PIKF_09'2010_2011'06 Raport PGE_DOH_270711_CO2" xfId="283"/>
    <cellStyle name="_KWS_Analiza_WYN_2009_Prognoza GiE i E_PIKF_09'2010_2011'06 Raport PGE_DO-węgiel" xfId="284"/>
    <cellStyle name="_KWS_Analiza_WYN_2009_Prognoza GiE i E_PIKF_09'2010_2011'07 Raport PGE_DO-węgiel" xfId="285"/>
    <cellStyle name="_KWS_Analiza_WYN_2009_Prognoza GiE i E_PIKF_09'2010_2011'07_ Raport PGE_DOH WE 240811_CO2" xfId="286"/>
    <cellStyle name="_KWS_Analiza_WYN_2009_Prognoza GiE i E_PIKF_09'2010_2011'07_ Raport PGE_DOH_PM" xfId="287"/>
    <cellStyle name="_KWS_Analiza_WYN_2009_Prognoza GiE i E_PIKF_09'2010_Rynek PM (2)" xfId="288"/>
    <cellStyle name="_KWS_Analiza_WYN_2009_Prognoza GiE i E_Rynek PM (2)" xfId="289"/>
    <cellStyle name="_KWS_Analiza_WYN_2009_Raport skonsolidowany_2010" xfId="290"/>
    <cellStyle name="_KWS_Analiza_WYN_2009_Raport skonsolidowany_2010 2" xfId="291"/>
    <cellStyle name="_KWS_Analiza_WYN_2009_Raport skonsolidowany_2010_2011'05 Raport PGE_DO-CO2" xfId="292"/>
    <cellStyle name="_KWS_Analiza_WYN_2009_Raport skonsolidowany_2010_2011'05 Raport PGE_DO-PM" xfId="293"/>
    <cellStyle name="_KWS_Analiza_WYN_2009_Raport skonsolidowany_2010_2011'05 Raport PGE_DO-węgiel" xfId="294"/>
    <cellStyle name="_KWS_Analiza_WYN_2009_Raport skonsolidowany_2010_2011'06 Raport PGE_DOH_270711_CO2" xfId="295"/>
    <cellStyle name="_KWS_Analiza_WYN_2009_Raport skonsolidowany_2010_2011'06 Raport PGE_DO-węgiel" xfId="296"/>
    <cellStyle name="_KWS_Analiza_WYN_2009_Raport skonsolidowany_2010_2011'07 Raport PGE_DO-węgiel" xfId="297"/>
    <cellStyle name="_KWS_Analiza_WYN_2009_Raport skonsolidowany_2010_2011'07_ Raport PGE_DOH WE 240811_CO2" xfId="298"/>
    <cellStyle name="_KWS_Analiza_WYN_2009_Raport skonsolidowany_2010_2011'07_ Raport PGE_DOH_PM" xfId="299"/>
    <cellStyle name="_KWS_Analiza_WYN_2009_Raport skonsolidowany_2010_PIKF_09'2010" xfId="300"/>
    <cellStyle name="_KWS_Analiza_WYN_2009_Raport skonsolidowany_2010_PIKF_09'2010 2" xfId="301"/>
    <cellStyle name="_KWS_Analiza_WYN_2009_Raport skonsolidowany_2010_PIKF_09'2010_2011'05 Raport PGE_DO-CO2" xfId="302"/>
    <cellStyle name="_KWS_Analiza_WYN_2009_Raport skonsolidowany_2010_PIKF_09'2010_2011'05 Raport PGE_DO-PM" xfId="303"/>
    <cellStyle name="_KWS_Analiza_WYN_2009_Raport skonsolidowany_2010_PIKF_09'2010_2011'05 Raport PGE_DO-węgiel" xfId="304"/>
    <cellStyle name="_KWS_Analiza_WYN_2009_Raport skonsolidowany_2010_PIKF_09'2010_2011'06 Raport PGE_DOH_270711_CO2" xfId="305"/>
    <cellStyle name="_KWS_Analiza_WYN_2009_Raport skonsolidowany_2010_PIKF_09'2010_2011'06 Raport PGE_DO-węgiel" xfId="306"/>
    <cellStyle name="_KWS_Analiza_WYN_2009_Raport skonsolidowany_2010_PIKF_09'2010_2011'07 Raport PGE_DO-węgiel" xfId="307"/>
    <cellStyle name="_KWS_Analiza_WYN_2009_Raport skonsolidowany_2010_PIKF_09'2010_2011'07_ Raport PGE_DOH WE 240811_CO2" xfId="308"/>
    <cellStyle name="_KWS_Analiza_WYN_2009_Raport skonsolidowany_2010_PIKF_09'2010_2011'07_ Raport PGE_DOH_PM" xfId="309"/>
    <cellStyle name="_KWS_Analiza_WYN_2009_Raport skonsolidowany_2010_PIKF_09'2010_Rynek PM (2)" xfId="310"/>
    <cellStyle name="_KWS_Analiza_WYN_2009_Raport skonsolidowany_2010_Rynek PM (2)" xfId="311"/>
    <cellStyle name="_KWS_Analiza_WYN_2009_Raport_2010" xfId="312"/>
    <cellStyle name="_KWS_Analiza_WYN_2009_Raport_2010 2" xfId="313"/>
    <cellStyle name="_KWS_Analiza_WYN_2009_Raport_2010_2011'05 Raport PGE_DO-CO2" xfId="314"/>
    <cellStyle name="_KWS_Analiza_WYN_2009_Raport_2010_2011'05 Raport PGE_DO-PM" xfId="315"/>
    <cellStyle name="_KWS_Analiza_WYN_2009_Raport_2010_2011'05 Raport PGE_DO-węgiel" xfId="316"/>
    <cellStyle name="_KWS_Analiza_WYN_2009_Raport_2010_2011'06 Raport PGE_DOH_270711_CO2" xfId="317"/>
    <cellStyle name="_KWS_Analiza_WYN_2009_Raport_2010_2011'06 Raport PGE_DO-węgiel" xfId="318"/>
    <cellStyle name="_KWS_Analiza_WYN_2009_Raport_2010_2011'07 Raport PGE_DO-węgiel" xfId="319"/>
    <cellStyle name="_KWS_Analiza_WYN_2009_Raport_2010_2011'07_ Raport PGE_DOH WE 240811_CO2" xfId="320"/>
    <cellStyle name="_KWS_Analiza_WYN_2009_Raport_2010_2011'07_ Raport PGE_DOH_PM" xfId="321"/>
    <cellStyle name="_KWS_Analiza_WYN_2009_Raport_2010_PIKF_09'2010" xfId="322"/>
    <cellStyle name="_KWS_Analiza_WYN_2009_Raport_2010_PIKF_09'2010 2" xfId="323"/>
    <cellStyle name="_KWS_Analiza_WYN_2009_Raport_2010_PIKF_09'2010_2011'05 Raport PGE_DO-CO2" xfId="324"/>
    <cellStyle name="_KWS_Analiza_WYN_2009_Raport_2010_PIKF_09'2010_2011'05 Raport PGE_DO-PM" xfId="325"/>
    <cellStyle name="_KWS_Analiza_WYN_2009_Raport_2010_PIKF_09'2010_2011'05 Raport PGE_DO-węgiel" xfId="326"/>
    <cellStyle name="_KWS_Analiza_WYN_2009_Raport_2010_PIKF_09'2010_2011'06 Raport PGE_DOH_270711_CO2" xfId="327"/>
    <cellStyle name="_KWS_Analiza_WYN_2009_Raport_2010_PIKF_09'2010_2011'06 Raport PGE_DO-węgiel" xfId="328"/>
    <cellStyle name="_KWS_Analiza_WYN_2009_Raport_2010_PIKF_09'2010_2011'07 Raport PGE_DO-węgiel" xfId="329"/>
    <cellStyle name="_KWS_Analiza_WYN_2009_Raport_2010_PIKF_09'2010_2011'07_ Raport PGE_DOH WE 240811_CO2" xfId="330"/>
    <cellStyle name="_KWS_Analiza_WYN_2009_Raport_2010_PIKF_09'2010_2011'07_ Raport PGE_DOH_PM" xfId="331"/>
    <cellStyle name="_KWS_Analiza_WYN_2009_Raport_2010_PIKF_09'2010_Rynek PM (2)" xfId="332"/>
    <cellStyle name="_KWS_Analiza_WYN_2009_Raport_2010_Rynek PM (2)" xfId="333"/>
    <cellStyle name="_KWS_Analiza_WYN_2009_Rynek PM (2)" xfId="334"/>
    <cellStyle name="_KWS_Analiza_WYN_2009_Zeszyt1" xfId="335"/>
    <cellStyle name="_KWS_Analiza_WYN_2009_Zeszyt1 2" xfId="336"/>
    <cellStyle name="_KWS_Analiza_WYN_2009_Zeszyt1_2011'05 Raport PGE_DO-CO2" xfId="337"/>
    <cellStyle name="_KWS_Analiza_WYN_2009_Zeszyt1_2011'05 Raport PGE_DO-PM" xfId="338"/>
    <cellStyle name="_KWS_Analiza_WYN_2009_Zeszyt1_2011'05 Raport PGE_DO-węgiel" xfId="339"/>
    <cellStyle name="_KWS_Analiza_WYN_2009_Zeszyt1_2011'06 Raport PGE_DOH_270711_CO2" xfId="340"/>
    <cellStyle name="_KWS_Analiza_WYN_2009_Zeszyt1_2011'06 Raport PGE_DO-węgiel" xfId="341"/>
    <cellStyle name="_KWS_Analiza_WYN_2009_Zeszyt1_2011'07 Raport PGE_DO-węgiel" xfId="342"/>
    <cellStyle name="_KWS_Analiza_WYN_2009_Zeszyt1_2011'07_ Raport PGE_DOH WE 240811_CO2" xfId="343"/>
    <cellStyle name="_KWS_Analiza_WYN_2009_Zeszyt1_2011'07_ Raport PGE_DOH_PM" xfId="344"/>
    <cellStyle name="_KWS_Analiza_WYN_2009_Zeszyt1_Rynek PM (2)" xfId="345"/>
    <cellStyle name="_KWS_Kluczowe wielkości oper" xfId="346"/>
    <cellStyle name="_KWS_Kopia Raport skonsolidowany_2010_v2" xfId="347"/>
    <cellStyle name="_KWS_Kopia Raport skonsolidowany_2010_v2 2" xfId="348"/>
    <cellStyle name="_KWS_Kopia Raport skonsolidowany_2010_v2_2011'05 Raport PGE_DO-CO2" xfId="349"/>
    <cellStyle name="_KWS_Kopia Raport skonsolidowany_2010_v2_2011'05 Raport PGE_DO-PM" xfId="350"/>
    <cellStyle name="_KWS_Kopia Raport skonsolidowany_2010_v2_2011'05 Raport PGE_DO-węgiel" xfId="351"/>
    <cellStyle name="_KWS_Kopia Raport skonsolidowany_2010_v2_2011'06 Raport PGE_DOH_270711_CO2" xfId="352"/>
    <cellStyle name="_KWS_Kopia Raport skonsolidowany_2010_v2_2011'06 Raport PGE_DO-węgiel" xfId="353"/>
    <cellStyle name="_KWS_Kopia Raport skonsolidowany_2010_v2_2011'07 Raport PGE_DO-węgiel" xfId="354"/>
    <cellStyle name="_KWS_Kopia Raport skonsolidowany_2010_v2_2011'07_ Raport PGE_DOH WE 240811_CO2" xfId="355"/>
    <cellStyle name="_KWS_Kopia Raport skonsolidowany_2010_v2_2011'07_ Raport PGE_DOH_PM" xfId="356"/>
    <cellStyle name="_KWS_Kopia Raport skonsolidowany_2010_v2_Rynek PM (2)" xfId="357"/>
    <cellStyle name="_KWS_PIKF_09'2010" xfId="358"/>
    <cellStyle name="_KWS_PIKF_09'2010 2" xfId="359"/>
    <cellStyle name="_KWS_PIKF_09'2010_2011'05 Raport PGE_DO-CO2" xfId="360"/>
    <cellStyle name="_KWS_PIKF_09'2010_2011'05 Raport PGE_DO-PM" xfId="361"/>
    <cellStyle name="_KWS_PIKF_09'2010_2011'05 Raport PGE_DO-węgiel" xfId="362"/>
    <cellStyle name="_KWS_PIKF_09'2010_2011'06 Raport PGE_DOH_270711_CO2" xfId="363"/>
    <cellStyle name="_KWS_PIKF_09'2010_2011'06 Raport PGE_DO-węgiel" xfId="364"/>
    <cellStyle name="_KWS_PIKF_09'2010_2011'07 Raport PGE_DO-węgiel" xfId="365"/>
    <cellStyle name="_KWS_PIKF_09'2010_2011'07_ Raport PGE_DOH WE 240811_CO2" xfId="366"/>
    <cellStyle name="_KWS_PIKF_09'2010_2011'07_ Raport PGE_DOH_PM" xfId="367"/>
    <cellStyle name="_KWS_PIKF_09'2010_Rynek PM (2)" xfId="368"/>
    <cellStyle name="_KWS_PM_poza GK" xfId="369"/>
    <cellStyle name="_KWS_Prognoza GiE i E" xfId="370"/>
    <cellStyle name="_KWS_Prognoza GiE i E 2" xfId="371"/>
    <cellStyle name="_KWS_Prognoza GiE i E_2011'05 Raport PGE_DO-CO2" xfId="372"/>
    <cellStyle name="_KWS_Prognoza GiE i E_2011'05 Raport PGE_DO-PM" xfId="373"/>
    <cellStyle name="_KWS_Prognoza GiE i E_2011'05 Raport PGE_DO-węgiel" xfId="374"/>
    <cellStyle name="_KWS_Prognoza GiE i E_2011'06 Raport PGE_DOH_270711_CO2" xfId="375"/>
    <cellStyle name="_KWS_Prognoza GiE i E_2011'06 Raport PGE_DO-węgiel" xfId="376"/>
    <cellStyle name="_KWS_Prognoza GiE i E_2011'07 Raport PGE_DO-węgiel" xfId="377"/>
    <cellStyle name="_KWS_Prognoza GiE i E_2011'07_ Raport PGE_DOH WE 240811_CO2" xfId="378"/>
    <cellStyle name="_KWS_Prognoza GiE i E_2011'07_ Raport PGE_DOH_PM" xfId="379"/>
    <cellStyle name="_KWS_Prognoza GiE i E_PIKF_09'2010" xfId="380"/>
    <cellStyle name="_KWS_Prognoza GiE i E_PIKF_09'2010 2" xfId="381"/>
    <cellStyle name="_KWS_Prognoza GiE i E_PIKF_09'2010_2011'05 Raport PGE_DO-CO2" xfId="382"/>
    <cellStyle name="_KWS_Prognoza GiE i E_PIKF_09'2010_2011'05 Raport PGE_DO-PM" xfId="383"/>
    <cellStyle name="_KWS_Prognoza GiE i E_PIKF_09'2010_2011'05 Raport PGE_DO-węgiel" xfId="384"/>
    <cellStyle name="_KWS_Prognoza GiE i E_PIKF_09'2010_2011'06 Raport PGE_DOH_270711_CO2" xfId="385"/>
    <cellStyle name="_KWS_Prognoza GiE i E_PIKF_09'2010_2011'06 Raport PGE_DO-węgiel" xfId="386"/>
    <cellStyle name="_KWS_Prognoza GiE i E_PIKF_09'2010_2011'07 Raport PGE_DO-węgiel" xfId="387"/>
    <cellStyle name="_KWS_Prognoza GiE i E_PIKF_09'2010_2011'07_ Raport PGE_DOH WE 240811_CO2" xfId="388"/>
    <cellStyle name="_KWS_Prognoza GiE i E_PIKF_09'2010_2011'07_ Raport PGE_DOH_PM" xfId="389"/>
    <cellStyle name="_KWS_Prognoza GiE i E_PIKF_09'2010_Rynek PM (2)" xfId="390"/>
    <cellStyle name="_KWS_Prognoza GiE i E_Rynek PM (2)" xfId="391"/>
    <cellStyle name="_KWS_Raport skonsolidowany_2010" xfId="392"/>
    <cellStyle name="_KWS_Raport skonsolidowany_2010 2" xfId="393"/>
    <cellStyle name="_KWS_Raport skonsolidowany_2010_2011'05 Raport PGE_DO-CO2" xfId="394"/>
    <cellStyle name="_KWS_Raport skonsolidowany_2010_2011'05 Raport PGE_DO-PM" xfId="395"/>
    <cellStyle name="_KWS_Raport skonsolidowany_2010_2011'05 Raport PGE_DO-węgiel" xfId="396"/>
    <cellStyle name="_KWS_Raport skonsolidowany_2010_2011'06 Raport PGE_DOH_270711_CO2" xfId="397"/>
    <cellStyle name="_KWS_Raport skonsolidowany_2010_2011'06 Raport PGE_DO-węgiel" xfId="398"/>
    <cellStyle name="_KWS_Raport skonsolidowany_2010_2011'07 Raport PGE_DO-węgiel" xfId="399"/>
    <cellStyle name="_KWS_Raport skonsolidowany_2010_2011'07_ Raport PGE_DOH WE 240811_CO2" xfId="400"/>
    <cellStyle name="_KWS_Raport skonsolidowany_2010_2011'07_ Raport PGE_DOH_PM" xfId="401"/>
    <cellStyle name="_KWS_Raport skonsolidowany_2010_PIKF_09'2010" xfId="402"/>
    <cellStyle name="_KWS_Raport skonsolidowany_2010_PIKF_09'2010 2" xfId="403"/>
    <cellStyle name="_KWS_Raport skonsolidowany_2010_PIKF_09'2010_2011'05 Raport PGE_DO-CO2" xfId="404"/>
    <cellStyle name="_KWS_Raport skonsolidowany_2010_PIKF_09'2010_2011'05 Raport PGE_DO-PM" xfId="405"/>
    <cellStyle name="_KWS_Raport skonsolidowany_2010_PIKF_09'2010_2011'05 Raport PGE_DO-węgiel" xfId="406"/>
    <cellStyle name="_KWS_Raport skonsolidowany_2010_PIKF_09'2010_2011'06 Raport PGE_DOH_270711_CO2" xfId="407"/>
    <cellStyle name="_KWS_Raport skonsolidowany_2010_PIKF_09'2010_2011'06 Raport PGE_DO-węgiel" xfId="408"/>
    <cellStyle name="_KWS_Raport skonsolidowany_2010_PIKF_09'2010_2011'07 Raport PGE_DO-węgiel" xfId="409"/>
    <cellStyle name="_KWS_Raport skonsolidowany_2010_PIKF_09'2010_2011'07_ Raport PGE_DOH WE 240811_CO2" xfId="410"/>
    <cellStyle name="_KWS_Raport skonsolidowany_2010_PIKF_09'2010_2011'07_ Raport PGE_DOH_PM" xfId="411"/>
    <cellStyle name="_KWS_Raport skonsolidowany_2010_PIKF_09'2010_Rynek PM (2)" xfId="412"/>
    <cellStyle name="_KWS_Raport skonsolidowany_2010_Rynek PM (2)" xfId="413"/>
    <cellStyle name="_KWS_Raport_2010" xfId="414"/>
    <cellStyle name="_KWS_Raport_2010 2" xfId="415"/>
    <cellStyle name="_KWS_Raport_2010_2011'05 Raport PGE_DO-CO2" xfId="416"/>
    <cellStyle name="_KWS_Raport_2010_2011'05 Raport PGE_DO-PM" xfId="417"/>
    <cellStyle name="_KWS_Raport_2010_2011'05 Raport PGE_DO-węgiel" xfId="418"/>
    <cellStyle name="_KWS_Raport_2010_2011'06 Raport PGE_DOH_270711_CO2" xfId="419"/>
    <cellStyle name="_KWS_Raport_2010_2011'06 Raport PGE_DO-węgiel" xfId="420"/>
    <cellStyle name="_KWS_Raport_2010_2011'07 Raport PGE_DO-węgiel" xfId="421"/>
    <cellStyle name="_KWS_Raport_2010_2011'07_ Raport PGE_DOH WE 240811_CO2" xfId="422"/>
    <cellStyle name="_KWS_Raport_2010_2011'07_ Raport PGE_DOH_PM" xfId="423"/>
    <cellStyle name="_KWS_Raport_2010_PIKF_09'2010" xfId="424"/>
    <cellStyle name="_KWS_Raport_2010_PIKF_09'2010 2" xfId="425"/>
    <cellStyle name="_KWS_Raport_2010_PIKF_09'2010_2011'05 Raport PGE_DO-CO2" xfId="426"/>
    <cellStyle name="_KWS_Raport_2010_PIKF_09'2010_2011'05 Raport PGE_DO-PM" xfId="427"/>
    <cellStyle name="_KWS_Raport_2010_PIKF_09'2010_2011'05 Raport PGE_DO-węgiel" xfId="428"/>
    <cellStyle name="_KWS_Raport_2010_PIKF_09'2010_2011'06 Raport PGE_DOH_270711_CO2" xfId="429"/>
    <cellStyle name="_KWS_Raport_2010_PIKF_09'2010_2011'06 Raport PGE_DO-węgiel" xfId="430"/>
    <cellStyle name="_KWS_Raport_2010_PIKF_09'2010_2011'07 Raport PGE_DO-węgiel" xfId="431"/>
    <cellStyle name="_KWS_Raport_2010_PIKF_09'2010_2011'07_ Raport PGE_DOH WE 240811_CO2" xfId="432"/>
    <cellStyle name="_KWS_Raport_2010_PIKF_09'2010_2011'07_ Raport PGE_DOH_PM" xfId="433"/>
    <cellStyle name="_KWS_Raport_2010_PIKF_09'2010_Rynek PM (2)" xfId="434"/>
    <cellStyle name="_KWS_Raport_2010_Rynek PM (2)" xfId="435"/>
    <cellStyle name="_KWS_Rynek PM (2)" xfId="436"/>
    <cellStyle name="_KWS_wynagrodzenia_2009_analiza_DC_DP" xfId="437"/>
    <cellStyle name="_KWS_wynagrodzenia_2009_analiza_DC_DP 2" xfId="438"/>
    <cellStyle name="_KWS_wynagrodzenia_2009_analiza_DC_DP_100816_Slajd_Konsolidacja_wykonanie_I-VII_2010" xfId="439"/>
    <cellStyle name="_KWS_wynagrodzenia_2009_analiza_DC_DP_100816_Slajd_Konsolidacja_wykonanie_I-VII_2010 2" xfId="440"/>
    <cellStyle name="_KWS_wynagrodzenia_2009_analiza_DC_DP_100816_Slajd_Konsolidacja_wykonanie_I-VII_2010_2011'05 Raport PGE_DO-CO2" xfId="441"/>
    <cellStyle name="_KWS_wynagrodzenia_2009_analiza_DC_DP_100816_Slajd_Konsolidacja_wykonanie_I-VII_2010_2011'05 Raport PGE_DO-PM" xfId="442"/>
    <cellStyle name="_KWS_wynagrodzenia_2009_analiza_DC_DP_100816_Slajd_Konsolidacja_wykonanie_I-VII_2010_2011'05 Raport PGE_DO-węgiel" xfId="443"/>
    <cellStyle name="_KWS_wynagrodzenia_2009_analiza_DC_DP_100816_Slajd_Konsolidacja_wykonanie_I-VII_2010_2011'06 Raport PGE_DOH_270711_CO2" xfId="444"/>
    <cellStyle name="_KWS_wynagrodzenia_2009_analiza_DC_DP_100816_Slajd_Konsolidacja_wykonanie_I-VII_2010_2011'06 Raport PGE_DO-węgiel" xfId="445"/>
    <cellStyle name="_KWS_wynagrodzenia_2009_analiza_DC_DP_100816_Slajd_Konsolidacja_wykonanie_I-VII_2010_2011'07 Raport PGE_DO-węgiel" xfId="446"/>
    <cellStyle name="_KWS_wynagrodzenia_2009_analiza_DC_DP_100816_Slajd_Konsolidacja_wykonanie_I-VII_2010_2011'07_ Raport PGE_DOH WE 240811_CO2" xfId="447"/>
    <cellStyle name="_KWS_wynagrodzenia_2009_analiza_DC_DP_100816_Slajd_Konsolidacja_wykonanie_I-VII_2010_2011'07_ Raport PGE_DOH_PM" xfId="448"/>
    <cellStyle name="_KWS_wynagrodzenia_2009_analiza_DC_DP_100816_Slajd_Konsolidacja_wykonanie_I-VII_2010_PIKF_09'2010" xfId="449"/>
    <cellStyle name="_KWS_wynagrodzenia_2009_analiza_DC_DP_100816_Slajd_Konsolidacja_wykonanie_I-VII_2010_PIKF_09'2010 2" xfId="450"/>
    <cellStyle name="_KWS_wynagrodzenia_2009_analiza_DC_DP_100816_Slajd_Konsolidacja_wykonanie_I-VII_2010_PIKF_09'2010_2011'05 Raport PGE_DO-CO2" xfId="451"/>
    <cellStyle name="_KWS_wynagrodzenia_2009_analiza_DC_DP_100816_Slajd_Konsolidacja_wykonanie_I-VII_2010_PIKF_09'2010_2011'05 Raport PGE_DO-PM" xfId="452"/>
    <cellStyle name="_KWS_wynagrodzenia_2009_analiza_DC_DP_100816_Slajd_Konsolidacja_wykonanie_I-VII_2010_PIKF_09'2010_2011'05 Raport PGE_DO-węgiel" xfId="453"/>
    <cellStyle name="_KWS_wynagrodzenia_2009_analiza_DC_DP_100816_Slajd_Konsolidacja_wykonanie_I-VII_2010_PIKF_09'2010_2011'06 Raport PGE_DOH_270711_CO2" xfId="454"/>
    <cellStyle name="_KWS_wynagrodzenia_2009_analiza_DC_DP_100816_Slajd_Konsolidacja_wykonanie_I-VII_2010_PIKF_09'2010_2011'06 Raport PGE_DO-węgiel" xfId="455"/>
    <cellStyle name="_KWS_wynagrodzenia_2009_analiza_DC_DP_100816_Slajd_Konsolidacja_wykonanie_I-VII_2010_PIKF_09'2010_2011'07 Raport PGE_DO-węgiel" xfId="456"/>
    <cellStyle name="_KWS_wynagrodzenia_2009_analiza_DC_DP_100816_Slajd_Konsolidacja_wykonanie_I-VII_2010_PIKF_09'2010_2011'07_ Raport PGE_DOH WE 240811_CO2" xfId="457"/>
    <cellStyle name="_KWS_wynagrodzenia_2009_analiza_DC_DP_100816_Slajd_Konsolidacja_wykonanie_I-VII_2010_PIKF_09'2010_2011'07_ Raport PGE_DOH_PM" xfId="458"/>
    <cellStyle name="_KWS_wynagrodzenia_2009_analiza_DC_DP_100816_Slajd_Konsolidacja_wykonanie_I-VII_2010_PIKF_09'2010_Rynek PM (2)" xfId="459"/>
    <cellStyle name="_KWS_wynagrodzenia_2009_analiza_DC_DP_100816_Slajd_Konsolidacja_wykonanie_I-VII_2010_Rynek PM (2)" xfId="460"/>
    <cellStyle name="_KWS_wynagrodzenia_2009_analiza_DC_DP_2011'05 Raport PGE_DO-CO2" xfId="461"/>
    <cellStyle name="_KWS_wynagrodzenia_2009_analiza_DC_DP_2011'05 Raport PGE_DO-PM" xfId="462"/>
    <cellStyle name="_KWS_wynagrodzenia_2009_analiza_DC_DP_2011'05 Raport PGE_DO-węgiel" xfId="463"/>
    <cellStyle name="_KWS_wynagrodzenia_2009_analiza_DC_DP_2011'06 Raport PGE_DOH_270711_CO2" xfId="464"/>
    <cellStyle name="_KWS_wynagrodzenia_2009_analiza_DC_DP_2011'06 Raport PGE_DO-węgiel" xfId="465"/>
    <cellStyle name="_KWS_wynagrodzenia_2009_analiza_DC_DP_2011'07 Raport PGE_DO-węgiel" xfId="466"/>
    <cellStyle name="_KWS_wynagrodzenia_2009_analiza_DC_DP_2011'07_ Raport PGE_DOH WE 240811_CO2" xfId="467"/>
    <cellStyle name="_KWS_wynagrodzenia_2009_analiza_DC_DP_2011'07_ Raport PGE_DOH_PM" xfId="468"/>
    <cellStyle name="_KWS_wynagrodzenia_2009_analiza_DC_DP_Kopia Raport skonsolidowany_2010_v2" xfId="469"/>
    <cellStyle name="_KWS_wynagrodzenia_2009_analiza_DC_DP_Kopia Raport skonsolidowany_2010_v2 2" xfId="470"/>
    <cellStyle name="_KWS_wynagrodzenia_2009_analiza_DC_DP_Kopia Raport skonsolidowany_2010_v2_2011'05 Raport PGE_DO-CO2" xfId="471"/>
    <cellStyle name="_KWS_wynagrodzenia_2009_analiza_DC_DP_Kopia Raport skonsolidowany_2010_v2_2011'05 Raport PGE_DO-PM" xfId="472"/>
    <cellStyle name="_KWS_wynagrodzenia_2009_analiza_DC_DP_Kopia Raport skonsolidowany_2010_v2_2011'05 Raport PGE_DO-węgiel" xfId="473"/>
    <cellStyle name="_KWS_wynagrodzenia_2009_analiza_DC_DP_Kopia Raport skonsolidowany_2010_v2_2011'06 Raport PGE_DOH_270711_CO2" xfId="474"/>
    <cellStyle name="_KWS_wynagrodzenia_2009_analiza_DC_DP_Kopia Raport skonsolidowany_2010_v2_2011'06 Raport PGE_DO-węgiel" xfId="475"/>
    <cellStyle name="_KWS_wynagrodzenia_2009_analiza_DC_DP_Kopia Raport skonsolidowany_2010_v2_2011'07 Raport PGE_DO-węgiel" xfId="476"/>
    <cellStyle name="_KWS_wynagrodzenia_2009_analiza_DC_DP_Kopia Raport skonsolidowany_2010_v2_2011'07_ Raport PGE_DOH WE 240811_CO2" xfId="477"/>
    <cellStyle name="_KWS_wynagrodzenia_2009_analiza_DC_DP_Kopia Raport skonsolidowany_2010_v2_2011'07_ Raport PGE_DOH_PM" xfId="478"/>
    <cellStyle name="_KWS_wynagrodzenia_2009_analiza_DC_DP_Kopia Raport skonsolidowany_2010_v2_Rynek PM (2)" xfId="479"/>
    <cellStyle name="_KWS_wynagrodzenia_2009_analiza_DC_DP_PIKF_09'2010" xfId="480"/>
    <cellStyle name="_KWS_wynagrodzenia_2009_analiza_DC_DP_PIKF_09'2010 2" xfId="481"/>
    <cellStyle name="_KWS_wynagrodzenia_2009_analiza_DC_DP_PIKF_09'2010_2011'05 Raport PGE_DO-CO2" xfId="482"/>
    <cellStyle name="_KWS_wynagrodzenia_2009_analiza_DC_DP_PIKF_09'2010_2011'05 Raport PGE_DO-PM" xfId="483"/>
    <cellStyle name="_KWS_wynagrodzenia_2009_analiza_DC_DP_PIKF_09'2010_2011'05 Raport PGE_DO-węgiel" xfId="484"/>
    <cellStyle name="_KWS_wynagrodzenia_2009_analiza_DC_DP_PIKF_09'2010_2011'06 Raport PGE_DOH_270711_CO2" xfId="485"/>
    <cellStyle name="_KWS_wynagrodzenia_2009_analiza_DC_DP_PIKF_09'2010_2011'06 Raport PGE_DO-węgiel" xfId="486"/>
    <cellStyle name="_KWS_wynagrodzenia_2009_analiza_DC_DP_PIKF_09'2010_2011'07 Raport PGE_DO-węgiel" xfId="487"/>
    <cellStyle name="_KWS_wynagrodzenia_2009_analiza_DC_DP_PIKF_09'2010_2011'07_ Raport PGE_DOH WE 240811_CO2" xfId="488"/>
    <cellStyle name="_KWS_wynagrodzenia_2009_analiza_DC_DP_PIKF_09'2010_2011'07_ Raport PGE_DOH_PM" xfId="489"/>
    <cellStyle name="_KWS_wynagrodzenia_2009_analiza_DC_DP_PIKF_09'2010_Rynek PM (2)" xfId="490"/>
    <cellStyle name="_KWS_wynagrodzenia_2009_analiza_DC_DP_Prognoza GiE i E" xfId="491"/>
    <cellStyle name="_KWS_wynagrodzenia_2009_analiza_DC_DP_Prognoza GiE i E 2" xfId="492"/>
    <cellStyle name="_KWS_wynagrodzenia_2009_analiza_DC_DP_Prognoza GiE i E_2011'05 Raport PGE_DO-CO2" xfId="493"/>
    <cellStyle name="_KWS_wynagrodzenia_2009_analiza_DC_DP_Prognoza GiE i E_2011'05 Raport PGE_DO-PM" xfId="494"/>
    <cellStyle name="_KWS_wynagrodzenia_2009_analiza_DC_DP_Prognoza GiE i E_2011'05 Raport PGE_DO-węgiel" xfId="495"/>
    <cellStyle name="_KWS_wynagrodzenia_2009_analiza_DC_DP_Prognoza GiE i E_2011'06 Raport PGE_DOH_270711_CO2" xfId="496"/>
    <cellStyle name="_KWS_wynagrodzenia_2009_analiza_DC_DP_Prognoza GiE i E_2011'06 Raport PGE_DO-węgiel" xfId="497"/>
    <cellStyle name="_KWS_wynagrodzenia_2009_analiza_DC_DP_Prognoza GiE i E_2011'07 Raport PGE_DO-węgiel" xfId="498"/>
    <cellStyle name="_KWS_wynagrodzenia_2009_analiza_DC_DP_Prognoza GiE i E_2011'07_ Raport PGE_DOH WE 240811_CO2" xfId="499"/>
    <cellStyle name="_KWS_wynagrodzenia_2009_analiza_DC_DP_Prognoza GiE i E_2011'07_ Raport PGE_DOH_PM" xfId="500"/>
    <cellStyle name="_KWS_wynagrodzenia_2009_analiza_DC_DP_Prognoza GiE i E_PIKF_09'2010" xfId="501"/>
    <cellStyle name="_KWS_wynagrodzenia_2009_analiza_DC_DP_Prognoza GiE i E_PIKF_09'2010 2" xfId="502"/>
    <cellStyle name="_KWS_wynagrodzenia_2009_analiza_DC_DP_Prognoza GiE i E_PIKF_09'2010_2011'05 Raport PGE_DO-CO2" xfId="503"/>
    <cellStyle name="_KWS_wynagrodzenia_2009_analiza_DC_DP_Prognoza GiE i E_PIKF_09'2010_2011'05 Raport PGE_DO-PM" xfId="504"/>
    <cellStyle name="_KWS_wynagrodzenia_2009_analiza_DC_DP_Prognoza GiE i E_PIKF_09'2010_2011'05 Raport PGE_DO-węgiel" xfId="505"/>
    <cellStyle name="_KWS_wynagrodzenia_2009_analiza_DC_DP_Prognoza GiE i E_PIKF_09'2010_2011'06 Raport PGE_DOH_270711_CO2" xfId="506"/>
    <cellStyle name="_KWS_wynagrodzenia_2009_analiza_DC_DP_Prognoza GiE i E_PIKF_09'2010_2011'06 Raport PGE_DO-węgiel" xfId="507"/>
    <cellStyle name="_KWS_wynagrodzenia_2009_analiza_DC_DP_Prognoza GiE i E_PIKF_09'2010_2011'07 Raport PGE_DO-węgiel" xfId="508"/>
    <cellStyle name="_KWS_wynagrodzenia_2009_analiza_DC_DP_Prognoza GiE i E_PIKF_09'2010_2011'07_ Raport PGE_DOH WE 240811_CO2" xfId="509"/>
    <cellStyle name="_KWS_wynagrodzenia_2009_analiza_DC_DP_Prognoza GiE i E_PIKF_09'2010_2011'07_ Raport PGE_DOH_PM" xfId="510"/>
    <cellStyle name="_KWS_wynagrodzenia_2009_analiza_DC_DP_Prognoza GiE i E_PIKF_09'2010_Rynek PM (2)" xfId="511"/>
    <cellStyle name="_KWS_wynagrodzenia_2009_analiza_DC_DP_Prognoza GiE i E_Rynek PM (2)" xfId="512"/>
    <cellStyle name="_KWS_wynagrodzenia_2009_analiza_DC_DP_Raport skonsolidowany_2010" xfId="513"/>
    <cellStyle name="_KWS_wynagrodzenia_2009_analiza_DC_DP_Raport skonsolidowany_2010 2" xfId="514"/>
    <cellStyle name="_KWS_wynagrodzenia_2009_analiza_DC_DP_Raport skonsolidowany_2010_2011'05 Raport PGE_DO-CO2" xfId="515"/>
    <cellStyle name="_KWS_wynagrodzenia_2009_analiza_DC_DP_Raport skonsolidowany_2010_2011'05 Raport PGE_DO-PM" xfId="516"/>
    <cellStyle name="_KWS_wynagrodzenia_2009_analiza_DC_DP_Raport skonsolidowany_2010_2011'05 Raport PGE_DO-węgiel" xfId="517"/>
    <cellStyle name="_KWS_wynagrodzenia_2009_analiza_DC_DP_Raport skonsolidowany_2010_2011'06 Raport PGE_DOH_270711_CO2" xfId="518"/>
    <cellStyle name="_KWS_wynagrodzenia_2009_analiza_DC_DP_Raport skonsolidowany_2010_2011'06 Raport PGE_DO-węgiel" xfId="519"/>
    <cellStyle name="_KWS_wynagrodzenia_2009_analiza_DC_DP_Raport skonsolidowany_2010_2011'07 Raport PGE_DO-węgiel" xfId="520"/>
    <cellStyle name="_KWS_wynagrodzenia_2009_analiza_DC_DP_Raport skonsolidowany_2010_2011'07_ Raport PGE_DOH WE 240811_CO2" xfId="521"/>
    <cellStyle name="_KWS_wynagrodzenia_2009_analiza_DC_DP_Raport skonsolidowany_2010_2011'07_ Raport PGE_DOH_PM" xfId="522"/>
    <cellStyle name="_KWS_wynagrodzenia_2009_analiza_DC_DP_Raport skonsolidowany_2010_PIKF_09'2010" xfId="523"/>
    <cellStyle name="_KWS_wynagrodzenia_2009_analiza_DC_DP_Raport skonsolidowany_2010_PIKF_09'2010 2" xfId="524"/>
    <cellStyle name="_KWS_wynagrodzenia_2009_analiza_DC_DP_Raport skonsolidowany_2010_PIKF_09'2010_2011'05 Raport PGE_DO-CO2" xfId="525"/>
    <cellStyle name="_KWS_wynagrodzenia_2009_analiza_DC_DP_Raport skonsolidowany_2010_PIKF_09'2010_2011'05 Raport PGE_DO-PM" xfId="526"/>
    <cellStyle name="_KWS_wynagrodzenia_2009_analiza_DC_DP_Raport skonsolidowany_2010_PIKF_09'2010_2011'05 Raport PGE_DO-węgiel" xfId="527"/>
    <cellStyle name="_KWS_wynagrodzenia_2009_analiza_DC_DP_Raport skonsolidowany_2010_PIKF_09'2010_2011'06 Raport PGE_DOH_270711_CO2" xfId="528"/>
    <cellStyle name="_KWS_wynagrodzenia_2009_analiza_DC_DP_Raport skonsolidowany_2010_PIKF_09'2010_2011'06 Raport PGE_DO-węgiel" xfId="529"/>
    <cellStyle name="_KWS_wynagrodzenia_2009_analiza_DC_DP_Raport skonsolidowany_2010_PIKF_09'2010_2011'07 Raport PGE_DO-węgiel" xfId="530"/>
    <cellStyle name="_KWS_wynagrodzenia_2009_analiza_DC_DP_Raport skonsolidowany_2010_PIKF_09'2010_2011'07_ Raport PGE_DOH WE 240811_CO2" xfId="531"/>
    <cellStyle name="_KWS_wynagrodzenia_2009_analiza_DC_DP_Raport skonsolidowany_2010_PIKF_09'2010_2011'07_ Raport PGE_DOH_PM" xfId="532"/>
    <cellStyle name="_KWS_wynagrodzenia_2009_analiza_DC_DP_Raport skonsolidowany_2010_PIKF_09'2010_Rynek PM (2)" xfId="533"/>
    <cellStyle name="_KWS_wynagrodzenia_2009_analiza_DC_DP_Raport skonsolidowany_2010_Rynek PM (2)" xfId="534"/>
    <cellStyle name="_KWS_wynagrodzenia_2009_analiza_DC_DP_Raport_2010" xfId="535"/>
    <cellStyle name="_KWS_wynagrodzenia_2009_analiza_DC_DP_Raport_2010 2" xfId="536"/>
    <cellStyle name="_KWS_wynagrodzenia_2009_analiza_DC_DP_Raport_2010_2011'05 Raport PGE_DO-CO2" xfId="537"/>
    <cellStyle name="_KWS_wynagrodzenia_2009_analiza_DC_DP_Raport_2010_2011'05 Raport PGE_DO-PM" xfId="538"/>
    <cellStyle name="_KWS_wynagrodzenia_2009_analiza_DC_DP_Raport_2010_2011'05 Raport PGE_DO-węgiel" xfId="539"/>
    <cellStyle name="_KWS_wynagrodzenia_2009_analiza_DC_DP_Raport_2010_2011'06 Raport PGE_DOH_270711_CO2" xfId="540"/>
    <cellStyle name="_KWS_wynagrodzenia_2009_analiza_DC_DP_Raport_2010_2011'06 Raport PGE_DO-węgiel" xfId="541"/>
    <cellStyle name="_KWS_wynagrodzenia_2009_analiza_DC_DP_Raport_2010_2011'07 Raport PGE_DO-węgiel" xfId="542"/>
    <cellStyle name="_KWS_wynagrodzenia_2009_analiza_DC_DP_Raport_2010_2011'07_ Raport PGE_DOH WE 240811_CO2" xfId="543"/>
    <cellStyle name="_KWS_wynagrodzenia_2009_analiza_DC_DP_Raport_2010_2011'07_ Raport PGE_DOH_PM" xfId="544"/>
    <cellStyle name="_KWS_wynagrodzenia_2009_analiza_DC_DP_Raport_2010_PIKF_09'2010" xfId="545"/>
    <cellStyle name="_KWS_wynagrodzenia_2009_analiza_DC_DP_Raport_2010_PIKF_09'2010 2" xfId="546"/>
    <cellStyle name="_KWS_wynagrodzenia_2009_analiza_DC_DP_Raport_2010_PIKF_09'2010_2011'05 Raport PGE_DO-CO2" xfId="547"/>
    <cellStyle name="_KWS_wynagrodzenia_2009_analiza_DC_DP_Raport_2010_PIKF_09'2010_2011'05 Raport PGE_DO-PM" xfId="548"/>
    <cellStyle name="_KWS_wynagrodzenia_2009_analiza_DC_DP_Raport_2010_PIKF_09'2010_2011'05 Raport PGE_DO-węgiel" xfId="549"/>
    <cellStyle name="_KWS_wynagrodzenia_2009_analiza_DC_DP_Raport_2010_PIKF_09'2010_2011'06 Raport PGE_DOH_270711_CO2" xfId="550"/>
    <cellStyle name="_KWS_wynagrodzenia_2009_analiza_DC_DP_Raport_2010_PIKF_09'2010_2011'06 Raport PGE_DO-węgiel" xfId="551"/>
    <cellStyle name="_KWS_wynagrodzenia_2009_analiza_DC_DP_Raport_2010_PIKF_09'2010_2011'07 Raport PGE_DO-węgiel" xfId="552"/>
    <cellStyle name="_KWS_wynagrodzenia_2009_analiza_DC_DP_Raport_2010_PIKF_09'2010_2011'07_ Raport PGE_DOH WE 240811_CO2" xfId="553"/>
    <cellStyle name="_KWS_wynagrodzenia_2009_analiza_DC_DP_Raport_2010_PIKF_09'2010_2011'07_ Raport PGE_DOH_PM" xfId="554"/>
    <cellStyle name="_KWS_wynagrodzenia_2009_analiza_DC_DP_Raport_2010_PIKF_09'2010_Rynek PM (2)" xfId="555"/>
    <cellStyle name="_KWS_wynagrodzenia_2009_analiza_DC_DP_Raport_2010_Rynek PM (2)" xfId="556"/>
    <cellStyle name="_KWS_wynagrodzenia_2009_analiza_DC_DP_Rynek PM (2)" xfId="557"/>
    <cellStyle name="_KWS_wynagrodzenia_2009_analiza_DC_DP_Zeszyt1" xfId="558"/>
    <cellStyle name="_KWS_wynagrodzenia_2009_analiza_DC_DP_Zeszyt1 2" xfId="559"/>
    <cellStyle name="_KWS_wynagrodzenia_2009_analiza_DC_DP_Zeszyt1_2011'05 Raport PGE_DO-CO2" xfId="560"/>
    <cellStyle name="_KWS_wynagrodzenia_2009_analiza_DC_DP_Zeszyt1_2011'05 Raport PGE_DO-PM" xfId="561"/>
    <cellStyle name="_KWS_wynagrodzenia_2009_analiza_DC_DP_Zeszyt1_2011'05 Raport PGE_DO-węgiel" xfId="562"/>
    <cellStyle name="_KWS_wynagrodzenia_2009_analiza_DC_DP_Zeszyt1_2011'06 Raport PGE_DOH_270711_CO2" xfId="563"/>
    <cellStyle name="_KWS_wynagrodzenia_2009_analiza_DC_DP_Zeszyt1_2011'06 Raport PGE_DO-węgiel" xfId="564"/>
    <cellStyle name="_KWS_wynagrodzenia_2009_analiza_DC_DP_Zeszyt1_2011'07 Raport PGE_DO-węgiel" xfId="565"/>
    <cellStyle name="_KWS_wynagrodzenia_2009_analiza_DC_DP_Zeszyt1_2011'07_ Raport PGE_DOH WE 240811_CO2" xfId="566"/>
    <cellStyle name="_KWS_wynagrodzenia_2009_analiza_DC_DP_Zeszyt1_2011'07_ Raport PGE_DOH_PM" xfId="567"/>
    <cellStyle name="_KWS_wynagrodzenia_2009_analiza_DC_DP_Zeszyt1_Rynek PM (2)" xfId="568"/>
    <cellStyle name="_KWS_Zeszyt1" xfId="569"/>
    <cellStyle name="_KWS_Zeszyt1 2" xfId="570"/>
    <cellStyle name="_KWS_Zeszyt1_2011'05 Raport PGE_DO-CO2" xfId="571"/>
    <cellStyle name="_KWS_Zeszyt1_2011'05 Raport PGE_DO-PM" xfId="572"/>
    <cellStyle name="_KWS_Zeszyt1_2011'05 Raport PGE_DO-węgiel" xfId="573"/>
    <cellStyle name="_KWS_Zeszyt1_2011'06 Raport PGE_DOH_270711_CO2" xfId="574"/>
    <cellStyle name="_KWS_Zeszyt1_2011'06 Raport PGE_DO-węgiel" xfId="575"/>
    <cellStyle name="_KWS_Zeszyt1_2011'07 Raport PGE_DO-węgiel" xfId="576"/>
    <cellStyle name="_KWS_Zeszyt1_2011'07_ Raport PGE_DOH WE 240811_CO2" xfId="577"/>
    <cellStyle name="_KWS_Zeszyt1_2011'07_ Raport PGE_DOH_PM" xfId="578"/>
    <cellStyle name="_KWS_Zeszyt1_Rynek PM (2)" xfId="579"/>
    <cellStyle name="_Majątek-MSSF-plan 2009" xfId="580"/>
    <cellStyle name="_Nota 19" xfId="581"/>
    <cellStyle name="_Nota 22" xfId="582"/>
    <cellStyle name="_OSD RZE" xfId="583"/>
    <cellStyle name="_OSD ZEWT" xfId="584"/>
    <cellStyle name="_OZE_ESP_09_poprawki" xfId="585"/>
    <cellStyle name="_OZE_ESP_09_poprawki 2" xfId="586"/>
    <cellStyle name="_OZE_ESP_09_poprawki_@PGE_BE_PF2011" xfId="587"/>
    <cellStyle name="_OZE_ESP_09_poprawki_@status" xfId="588"/>
    <cellStyle name="_OZE_ESP_09_poprawki_DanePodst" xfId="589"/>
    <cellStyle name="_Przychody Taryfa 2010bzaok" xfId="590"/>
    <cellStyle name="_Raport" xfId="591"/>
    <cellStyle name="_Raport_08'2008_w" xfId="592"/>
    <cellStyle name="_Raport_08'2008_w_@PGE_BE_PF2011" xfId="593"/>
    <cellStyle name="_Raport_08'2008_w_@status" xfId="594"/>
    <cellStyle name="_raport_SSD_Lubzel_10" xfId="595"/>
    <cellStyle name="_RaportGKPGE_11 2009 v2" xfId="596"/>
    <cellStyle name="_RaportGKPGE_12 2009 v3" xfId="597"/>
    <cellStyle name="_SOH PGE S.A" xfId="598"/>
    <cellStyle name="_SOH PGE S.A_@PGE_BE_PF2011" xfId="599"/>
    <cellStyle name="_SOH PGE S.A_@status" xfId="600"/>
    <cellStyle name="_SOH PSE Electra" xfId="601"/>
    <cellStyle name="_SOH PSE Electra_@PGE_BE_PF2011" xfId="602"/>
    <cellStyle name="_SOH PSE Electra_@status" xfId="603"/>
    <cellStyle name="_SSD Lubzel" xfId="604"/>
    <cellStyle name="_SSD Lubzel_@PGE_BE_PF2011" xfId="605"/>
    <cellStyle name="_SSD Lubzel_@status" xfId="606"/>
    <cellStyle name="_SSD ŁZE" xfId="607"/>
    <cellStyle name="_SSD ŁZE_@PGE_BE_PF2011" xfId="608"/>
    <cellStyle name="_SSD ŁZE_@status" xfId="609"/>
    <cellStyle name="_SSD RZE" xfId="610"/>
    <cellStyle name="_SSD RZE_@PGE_BE_PF2011" xfId="611"/>
    <cellStyle name="_SSD RZE_@status" xfId="612"/>
    <cellStyle name="_VHP_v2_20061110_v1" xfId="613"/>
    <cellStyle name="_VHP_v2_20061110_v1 2" xfId="614"/>
    <cellStyle name="_VHP_v2_20061110_v1_2011'05 Raport PGE_DO-CO2" xfId="615"/>
    <cellStyle name="_VHP_v2_20061110_v1_2011'05 Raport PGE_DO-PM" xfId="616"/>
    <cellStyle name="_VHP_v2_20061110_v1_2011'05 Raport PGE_DO-węgiel" xfId="617"/>
    <cellStyle name="_VHP_v2_20061110_v1_2011'06 Raport PGE_DOH_270711_CO2" xfId="618"/>
    <cellStyle name="_VHP_v2_20061110_v1_2011'06 Raport PGE_DO-węgiel" xfId="619"/>
    <cellStyle name="_VHP_v2_20061110_v1_2011'07 Raport PGE_DO-węgiel" xfId="620"/>
    <cellStyle name="_VHP_v2_20061110_v1_2011'07_ Raport PGE_DOH WE 240811_CO2" xfId="621"/>
    <cellStyle name="_VHP_v2_20061110_v1_2011'07_ Raport PGE_DOH_PM" xfId="622"/>
    <cellStyle name="_VHP_v2_20061110_v1_Kluczowe wielkości oper" xfId="623"/>
    <cellStyle name="_VHP_v2_20061110_v1_PM_poza GK" xfId="624"/>
    <cellStyle name="_VHP_v2_20061110_v1_Rynek PM (2)" xfId="625"/>
    <cellStyle name="_Wyniki GK PGE 06'2009_v2_z komentarzami" xfId="626"/>
    <cellStyle name="_Wyniki GK PGE 06'2009_v2_z komentarzami 2" xfId="627"/>
    <cellStyle name="_Wyniki GK PGE 06'2009_v2_z komentarzami 3" xfId="628"/>
    <cellStyle name="_Wyniki GK PGE 06'2009_v2_z komentarzami_100309_Nakłady_ inwestycyjne" xfId="629"/>
    <cellStyle name="_Wyniki GK PGE 06'2009_v2_z komentarzami_100309_Nakłady_ inwestycyjne_100313_PF2010_Tabele RW" xfId="630"/>
    <cellStyle name="_Wyniki GK PGE 06'2009_v2_z komentarzami_100309_Nakłady_ inwestycyjne_100314_PF2010_Tabele RW" xfId="631"/>
    <cellStyle name="_Wyniki GK PGE 06'2009_v2_z komentarzami_100309_Nakłady_ inwestycyjne_100316_PF2010_Tabele RW_poprawione_doradcze_AG" xfId="632"/>
    <cellStyle name="_Wyniki GK PGE 06'2009_v2_z komentarzami_100309_Nakłady_ inwestycyjne_100408_KONSOLIDACJA_Wykonanie_I-III_2010" xfId="633"/>
    <cellStyle name="_Wyniki GK PGE 06'2009_v2_z komentarzami_100309_Nakłady_ inwestycyjne_100513_Doradcze_Wykonanie_I-IV_2010_roboczy" xfId="634"/>
    <cellStyle name="_Wyniki GK PGE 06'2009_v2_z komentarzami_100309_Nakłady_ inwestycyjne_100513_KONSOLIDACJA_Wykonanie_I-IV_2010_roboczy" xfId="635"/>
    <cellStyle name="_Wyniki GK PGE 06'2009_v2_z komentarzami_100309_Nakłady_ inwestycyjne_20100305_PF2010_Tabele" xfId="636"/>
    <cellStyle name="_Wyniki GK PGE 06'2009_v2_z komentarzami_100309_Nakłady_ inwestycyjne_20100313_PF2010_Tabele" xfId="637"/>
    <cellStyle name="_Wyniki GK PGE 06'2009_v2_z komentarzami_100309_Nakłady_ inwestycyjne_20100322_PF2010_Tabele" xfId="638"/>
    <cellStyle name="_Wyniki GK PGE 06'2009_v2_z komentarzami_100309_Nakłady_ inwestycyjne_Analiza_WYN_2009" xfId="639"/>
    <cellStyle name="_Wyniki GK PGE 06'2009_v2_z komentarzami_100309_Nakłady_ inwestycyjne_Kopia 20100305_PF2010_Tabele_AG" xfId="640"/>
    <cellStyle name="_Wyniki GK PGE 06'2009_v2_z komentarzami_100309_Nakłady_ inwestycyjne_Tabele_02_2010" xfId="641"/>
    <cellStyle name="_Wyniki GK PGE 06'2009_v2_z komentarzami_100309_Nakłady_ inwestycyjne_Tabele_02_2010_AG" xfId="642"/>
    <cellStyle name="_Wyniki GK PGE 06'2009_v2_z komentarzami_100309_Nakłady_ inwestycyjne_wynagrodzenia_2009_analiza_DC_DP" xfId="643"/>
    <cellStyle name="_Wyniki GK PGE 06'2009_v2_z komentarzami_100309_Nakłady_ inwestycyjne_Zeszyt1 (67)" xfId="644"/>
    <cellStyle name="_Wyniki GK PGE 06'2009_v2_z komentarzami_100309_Nakłady_ inwestycyjne_Zeszyt2" xfId="645"/>
    <cellStyle name="_Wyniki GK PGE 06'2009_v2_z komentarzami_2010'05_Raport_shortv4" xfId="646"/>
    <cellStyle name="_Wyniki GK PGE 06'2009_v2_z komentarzami_2010'07_Raport_shortv2" xfId="647"/>
    <cellStyle name="_Wyniki_GWW" xfId="648"/>
    <cellStyle name="_wzór" xfId="649"/>
    <cellStyle name="_wzór 2" xfId="650"/>
    <cellStyle name="_wzór_v8" xfId="651"/>
    <cellStyle name="_wzór_v9" xfId="652"/>
    <cellStyle name="_wzór_v9-" xfId="653"/>
    <cellStyle name="_Załączniki" xfId="654"/>
    <cellStyle name="_Załączniki 2" xfId="655"/>
    <cellStyle name="_Zeszyt1" xfId="656"/>
    <cellStyle name="_ZEW-T Dystrybucja Sp. z o.o" xfId="657"/>
    <cellStyle name="_Zobowiązania inwestycyjne HY2009" xfId="658"/>
    <cellStyle name="=C:\WINNT\SYSTEM32\COMMAND.COM" xfId="659"/>
    <cellStyle name="=C:\WINNT\SYSTEM32\COMMAND.COM 10" xfId="660"/>
    <cellStyle name="=C:\WINNT\SYSTEM32\COMMAND.COM 11" xfId="661"/>
    <cellStyle name="=C:\WINNT\SYSTEM32\COMMAND.COM 12" xfId="662"/>
    <cellStyle name="=C:\WINNT\SYSTEM32\COMMAND.COM 13" xfId="663"/>
    <cellStyle name="=C:\WINNT\SYSTEM32\COMMAND.COM 14" xfId="664"/>
    <cellStyle name="=C:\WINNT\SYSTEM32\COMMAND.COM 15" xfId="665"/>
    <cellStyle name="=C:\WINNT\SYSTEM32\COMMAND.COM 16" xfId="666"/>
    <cellStyle name="=C:\WINNT\SYSTEM32\COMMAND.COM 17" xfId="667"/>
    <cellStyle name="=C:\WINNT\SYSTEM32\COMMAND.COM 18" xfId="668"/>
    <cellStyle name="=C:\WINNT\SYSTEM32\COMMAND.COM 19" xfId="669"/>
    <cellStyle name="=C:\WINNT\SYSTEM32\COMMAND.COM 2" xfId="670"/>
    <cellStyle name="=C:\WINNT\SYSTEM32\COMMAND.COM 2 10" xfId="671"/>
    <cellStyle name="=C:\WINNT\SYSTEM32\COMMAND.COM 2 11" xfId="672"/>
    <cellStyle name="=C:\WINNT\SYSTEM32\COMMAND.COM 2 12" xfId="673"/>
    <cellStyle name="=C:\WINNT\SYSTEM32\COMMAND.COM 2 13" xfId="674"/>
    <cellStyle name="=C:\WINNT\SYSTEM32\COMMAND.COM 2 14" xfId="675"/>
    <cellStyle name="=C:\WINNT\SYSTEM32\COMMAND.COM 2 15" xfId="676"/>
    <cellStyle name="=C:\WINNT\SYSTEM32\COMMAND.COM 2 16" xfId="677"/>
    <cellStyle name="=C:\WINNT\SYSTEM32\COMMAND.COM 2 17" xfId="678"/>
    <cellStyle name="=C:\WINNT\SYSTEM32\COMMAND.COM 2 18" xfId="679"/>
    <cellStyle name="=C:\WINNT\SYSTEM32\COMMAND.COM 2 19" xfId="680"/>
    <cellStyle name="=C:\WINNT\SYSTEM32\COMMAND.COM 2 2" xfId="681"/>
    <cellStyle name="=C:\WINNT\SYSTEM32\COMMAND.COM 2 2 2" xfId="682"/>
    <cellStyle name="=C:\WINNT\SYSTEM32\COMMAND.COM 2 3" xfId="683"/>
    <cellStyle name="=C:\WINNT\SYSTEM32\COMMAND.COM 2 4" xfId="684"/>
    <cellStyle name="=C:\WINNT\SYSTEM32\COMMAND.COM 2 5" xfId="685"/>
    <cellStyle name="=C:\WINNT\SYSTEM32\COMMAND.COM 2 6" xfId="686"/>
    <cellStyle name="=C:\WINNT\SYSTEM32\COMMAND.COM 2 7" xfId="687"/>
    <cellStyle name="=C:\WINNT\SYSTEM32\COMMAND.COM 2 8" xfId="688"/>
    <cellStyle name="=C:\WINNT\SYSTEM32\COMMAND.COM 2 9" xfId="689"/>
    <cellStyle name="=C:\WINNT\SYSTEM32\COMMAND.COM 2_PLAN 2010 mój arkusz" xfId="690"/>
    <cellStyle name="=C:\WINNT\SYSTEM32\COMMAND.COM 20" xfId="691"/>
    <cellStyle name="=C:\WINNT\SYSTEM32\COMMAND.COM 3" xfId="692"/>
    <cellStyle name="=C:\WINNT\SYSTEM32\COMMAND.COM 3 10" xfId="693"/>
    <cellStyle name="=C:\WINNT\SYSTEM32\COMMAND.COM 3 11" xfId="694"/>
    <cellStyle name="=C:\WINNT\SYSTEM32\COMMAND.COM 3 12" xfId="695"/>
    <cellStyle name="=C:\WINNT\SYSTEM32\COMMAND.COM 3 13" xfId="696"/>
    <cellStyle name="=C:\WINNT\SYSTEM32\COMMAND.COM 3 14" xfId="697"/>
    <cellStyle name="=C:\WINNT\SYSTEM32\COMMAND.COM 3 15" xfId="698"/>
    <cellStyle name="=C:\WINNT\SYSTEM32\COMMAND.COM 3 16" xfId="699"/>
    <cellStyle name="=C:\WINNT\SYSTEM32\COMMAND.COM 3 17" xfId="700"/>
    <cellStyle name="=C:\WINNT\SYSTEM32\COMMAND.COM 3 18" xfId="701"/>
    <cellStyle name="=C:\WINNT\SYSTEM32\COMMAND.COM 3 2" xfId="702"/>
    <cellStyle name="=C:\WINNT\SYSTEM32\COMMAND.COM 3 3" xfId="703"/>
    <cellStyle name="=C:\WINNT\SYSTEM32\COMMAND.COM 3 4" xfId="704"/>
    <cellStyle name="=C:\WINNT\SYSTEM32\COMMAND.COM 3 5" xfId="705"/>
    <cellStyle name="=C:\WINNT\SYSTEM32\COMMAND.COM 3 6" xfId="706"/>
    <cellStyle name="=C:\WINNT\SYSTEM32\COMMAND.COM 3 7" xfId="707"/>
    <cellStyle name="=C:\WINNT\SYSTEM32\COMMAND.COM 3 8" xfId="708"/>
    <cellStyle name="=C:\WINNT\SYSTEM32\COMMAND.COM 3 9" xfId="709"/>
    <cellStyle name="=C:\WINNT\SYSTEM32\COMMAND.COM 3_PLAN 2010 mój arkusz" xfId="710"/>
    <cellStyle name="=C:\WINNT\SYSTEM32\COMMAND.COM 4" xfId="711"/>
    <cellStyle name="=C:\WINNT\SYSTEM32\COMMAND.COM 5" xfId="712"/>
    <cellStyle name="=C:\WINNT\SYSTEM32\COMMAND.COM 6" xfId="713"/>
    <cellStyle name="=C:\WINNT\SYSTEM32\COMMAND.COM 7" xfId="714"/>
    <cellStyle name="=C:\WINNT\SYSTEM32\COMMAND.COM 8" xfId="715"/>
    <cellStyle name="=C:\WINNT\SYSTEM32\COMMAND.COM 9" xfId="716"/>
    <cellStyle name="=C:\WINNT\SYSTEM32\COMMAND.COM_Kluczowe wielkości oper" xfId="717"/>
    <cellStyle name="1" xfId="718"/>
    <cellStyle name="1 2" xfId="719"/>
    <cellStyle name="1_2011'05 Raport PGE_DO-CO2" xfId="720"/>
    <cellStyle name="1_2011'05 Raport PGE_DO-PM" xfId="721"/>
    <cellStyle name="1_2011'05 Raport PGE_DO-węgiel" xfId="722"/>
    <cellStyle name="1_2011'06 Raport PGE_DOH_270711_CO2" xfId="723"/>
    <cellStyle name="1_2011'06 Raport PGE_DO-węgiel" xfId="724"/>
    <cellStyle name="1_2011'07 Raport PGE_DO-węgiel" xfId="725"/>
    <cellStyle name="1_2011'07_ Raport PGE_DOH WE 240811_CO2" xfId="726"/>
    <cellStyle name="1_2011'07_ Raport PGE_DOH_PM" xfId="727"/>
    <cellStyle name="1_German betas" xfId="728"/>
    <cellStyle name="1_German betas 2" xfId="729"/>
    <cellStyle name="1_German betas_2011'05 Raport PGE_DO-CO2" xfId="730"/>
    <cellStyle name="1_German betas_2011'05 Raport PGE_DO-PM" xfId="731"/>
    <cellStyle name="1_German betas_2011'05 Raport PGE_DO-węgiel" xfId="732"/>
    <cellStyle name="1_German betas_2011'06 Raport PGE_DOH_270711_CO2" xfId="733"/>
    <cellStyle name="1_German betas_2011'06 Raport PGE_DO-węgiel" xfId="734"/>
    <cellStyle name="1_German betas_2011'07 Raport PGE_DO-węgiel" xfId="735"/>
    <cellStyle name="1_German betas_2011'07_ Raport PGE_DOH WE 240811_CO2" xfId="736"/>
    <cellStyle name="1_German betas_2011'07_ Raport PGE_DOH_PM" xfId="737"/>
    <cellStyle name="1_German betas_Kluczowe wielkości oper" xfId="738"/>
    <cellStyle name="1_German betas_PM_poza GK" xfId="739"/>
    <cellStyle name="1_German betas_Rynek PM (2)" xfId="740"/>
    <cellStyle name="1_Kluczowe wielkości oper" xfId="741"/>
    <cellStyle name="1_PM_poza GK" xfId="742"/>
    <cellStyle name="1_Rynek PM (2)" xfId="743"/>
    <cellStyle name="20% - Accent1" xfId="744"/>
    <cellStyle name="20% - Accent1 2" xfId="745"/>
    <cellStyle name="20% - Accent1 2 2" xfId="746"/>
    <cellStyle name="20% - Accent1 3" xfId="747"/>
    <cellStyle name="20% - Accent2" xfId="748"/>
    <cellStyle name="20% - Accent2 2" xfId="749"/>
    <cellStyle name="20% - Accent2 2 2" xfId="750"/>
    <cellStyle name="20% - Accent2 3" xfId="751"/>
    <cellStyle name="20% - Accent3" xfId="752"/>
    <cellStyle name="20% - Accent3 2" xfId="753"/>
    <cellStyle name="20% - Accent3 2 2" xfId="754"/>
    <cellStyle name="20% - Accent3 3" xfId="755"/>
    <cellStyle name="20% - Accent4" xfId="756"/>
    <cellStyle name="20% - Accent4 2" xfId="757"/>
    <cellStyle name="20% - Accent4 2 2" xfId="758"/>
    <cellStyle name="20% - Accent4 3" xfId="759"/>
    <cellStyle name="20% - Accent5" xfId="760"/>
    <cellStyle name="20% - Accent5 2" xfId="761"/>
    <cellStyle name="20% - Accent5 3" xfId="762"/>
    <cellStyle name="20% - Accent6" xfId="763"/>
    <cellStyle name="20% - Accent6 2" xfId="764"/>
    <cellStyle name="20% - Accent6 2 2" xfId="765"/>
    <cellStyle name="20% - Accent6 3" xfId="766"/>
    <cellStyle name="20% - akcent 1 10" xfId="767"/>
    <cellStyle name="20% - akcent 1 10 2" xfId="768"/>
    <cellStyle name="20% - akcent 1 10_Arkusz1" xfId="769"/>
    <cellStyle name="20% - akcent 1 11" xfId="770"/>
    <cellStyle name="20% - akcent 1 12" xfId="771"/>
    <cellStyle name="20% - akcent 1 13" xfId="772"/>
    <cellStyle name="20% - akcent 1 2" xfId="773"/>
    <cellStyle name="20% - akcent 1 2 10" xfId="774"/>
    <cellStyle name="20% - akcent 1 2 11" xfId="775"/>
    <cellStyle name="20% - akcent 1 2 11 2" xfId="776"/>
    <cellStyle name="20% - akcent 1 2 2" xfId="777"/>
    <cellStyle name="20% - akcent 1 2 2 2" xfId="778"/>
    <cellStyle name="20% - akcent 1 2 2 2 2" xfId="779"/>
    <cellStyle name="20% - akcent 1 2 2 2 2 2" xfId="780"/>
    <cellStyle name="20% - akcent 1 2 2 2 2 2 2" xfId="781"/>
    <cellStyle name="20% - akcent 1 2 2 2 2 2 2 2" xfId="782"/>
    <cellStyle name="20% - akcent 1 2 2 2 2 2 2 2 2" xfId="783"/>
    <cellStyle name="20% - akcent 1 2 2 2 2 2 2 2 2 2" xfId="784"/>
    <cellStyle name="20% - akcent 1 2 2 2 2 2 2 2 3" xfId="785"/>
    <cellStyle name="20% - akcent 1 2 2 2 2 2 2 3" xfId="786"/>
    <cellStyle name="20% - akcent 1 2 2 2 2 2 2 3 2" xfId="787"/>
    <cellStyle name="20% - akcent 1 2 2 2 2 2 2 3 2 2" xfId="788"/>
    <cellStyle name="20% - akcent 1 2 2 2 2 2 2 3 3" xfId="789"/>
    <cellStyle name="20% - akcent 1 2 2 2 2 2 2 4" xfId="790"/>
    <cellStyle name="20% - akcent 1 2 2 2 2 2 2 4 2" xfId="791"/>
    <cellStyle name="20% - akcent 1 2 2 2 2 2 2 4 2 2" xfId="792"/>
    <cellStyle name="20% - akcent 1 2 2 2 2 2 2 4 3" xfId="793"/>
    <cellStyle name="20% - akcent 1 2 2 2 2 2 2 5" xfId="794"/>
    <cellStyle name="20% - akcent 1 2 2 2 2 2 2 5 2" xfId="795"/>
    <cellStyle name="20% - akcent 1 2 2 2 2 2 2 6" xfId="796"/>
    <cellStyle name="20% - akcent 1 2 2 2 2 2 3" xfId="797"/>
    <cellStyle name="20% - akcent 1 2 2 2 2 2 3 2" xfId="798"/>
    <cellStyle name="20% - akcent 1 2 2 2 2 2 3 2 2" xfId="799"/>
    <cellStyle name="20% - akcent 1 2 2 2 2 2 3 3" xfId="800"/>
    <cellStyle name="20% - akcent 1 2 2 2 2 2 4" xfId="801"/>
    <cellStyle name="20% - akcent 1 2 2 2 2 2 4 2" xfId="802"/>
    <cellStyle name="20% - akcent 1 2 2 2 2 2 4 2 2" xfId="803"/>
    <cellStyle name="20% - akcent 1 2 2 2 2 2 4 3" xfId="804"/>
    <cellStyle name="20% - akcent 1 2 2 2 2 2 5" xfId="805"/>
    <cellStyle name="20% - akcent 1 2 2 2 2 2 5 2" xfId="806"/>
    <cellStyle name="20% - akcent 1 2 2 2 2 2 5 2 2" xfId="807"/>
    <cellStyle name="20% - akcent 1 2 2 2 2 2 5 3" xfId="808"/>
    <cellStyle name="20% - akcent 1 2 2 2 2 2 6" xfId="809"/>
    <cellStyle name="20% - akcent 1 2 2 2 2 2 6 2" xfId="810"/>
    <cellStyle name="20% - akcent 1 2 2 2 2 2 7" xfId="811"/>
    <cellStyle name="20% - akcent 1 2 2 2 2 3" xfId="812"/>
    <cellStyle name="20% - akcent 1 2 2 2 2 3 2" xfId="813"/>
    <cellStyle name="20% - akcent 1 2 2 2 2 3 2 2" xfId="814"/>
    <cellStyle name="20% - akcent 1 2 2 2 2 3 2 2 2" xfId="815"/>
    <cellStyle name="20% - akcent 1 2 2 2 2 3 2 3" xfId="816"/>
    <cellStyle name="20% - akcent 1 2 2 2 2 3 3" xfId="817"/>
    <cellStyle name="20% - akcent 1 2 2 2 2 3 3 2" xfId="818"/>
    <cellStyle name="20% - akcent 1 2 2 2 2 3 3 2 2" xfId="819"/>
    <cellStyle name="20% - akcent 1 2 2 2 2 3 3 3" xfId="820"/>
    <cellStyle name="20% - akcent 1 2 2 2 2 3 4" xfId="821"/>
    <cellStyle name="20% - akcent 1 2 2 2 2 3 4 2" xfId="822"/>
    <cellStyle name="20% - akcent 1 2 2 2 2 3 4 2 2" xfId="823"/>
    <cellStyle name="20% - akcent 1 2 2 2 2 3 4 3" xfId="824"/>
    <cellStyle name="20% - akcent 1 2 2 2 2 3 5" xfId="825"/>
    <cellStyle name="20% - akcent 1 2 2 2 2 3 5 2" xfId="826"/>
    <cellStyle name="20% - akcent 1 2 2 2 2 3 6" xfId="827"/>
    <cellStyle name="20% - akcent 1 2 2 2 2 4" xfId="828"/>
    <cellStyle name="20% - akcent 1 2 2 2 2 4 2" xfId="829"/>
    <cellStyle name="20% - akcent 1 2 2 2 2 4 2 2" xfId="830"/>
    <cellStyle name="20% - akcent 1 2 2 2 2 4 2 2 2" xfId="831"/>
    <cellStyle name="20% - akcent 1 2 2 2 2 4 2 3" xfId="832"/>
    <cellStyle name="20% - akcent 1 2 2 2 2 4 3" xfId="833"/>
    <cellStyle name="20% - akcent 1 2 2 2 2 4 3 2" xfId="834"/>
    <cellStyle name="20% - akcent 1 2 2 2 2 4 3 2 2" xfId="835"/>
    <cellStyle name="20% - akcent 1 2 2 2 2 4 3 3" xfId="836"/>
    <cellStyle name="20% - akcent 1 2 2 2 2 4 4" xfId="837"/>
    <cellStyle name="20% - akcent 1 2 2 2 2 4 4 2" xfId="838"/>
    <cellStyle name="20% - akcent 1 2 2 2 2 4 4 2 2" xfId="839"/>
    <cellStyle name="20% - akcent 1 2 2 2 2 4 4 3" xfId="840"/>
    <cellStyle name="20% - akcent 1 2 2 2 2 4 5" xfId="841"/>
    <cellStyle name="20% - akcent 1 2 2 2 2 4 5 2" xfId="842"/>
    <cellStyle name="20% - akcent 1 2 2 2 2 4 6" xfId="843"/>
    <cellStyle name="20% - akcent 1 2 2 2 2 5" xfId="844"/>
    <cellStyle name="20% - akcent 1 2 2 2 2 5 2" xfId="845"/>
    <cellStyle name="20% - akcent 1 2 2 2 2 5 2 2" xfId="846"/>
    <cellStyle name="20% - akcent 1 2 2 2 2 5 3" xfId="847"/>
    <cellStyle name="20% - akcent 1 2 2 2 2 6" xfId="848"/>
    <cellStyle name="20% - akcent 1 2 2 2 2 6 2" xfId="849"/>
    <cellStyle name="20% - akcent 1 2 2 2 2 6 2 2" xfId="850"/>
    <cellStyle name="20% - akcent 1 2 2 2 2 6 3" xfId="851"/>
    <cellStyle name="20% - akcent 1 2 2 2 2 7" xfId="852"/>
    <cellStyle name="20% - akcent 1 2 2 2 2 7 2" xfId="853"/>
    <cellStyle name="20% - akcent 1 2 2 2 2 7 2 2" xfId="854"/>
    <cellStyle name="20% - akcent 1 2 2 2 2 7 3" xfId="855"/>
    <cellStyle name="20% - akcent 1 2 2 2 2 8" xfId="856"/>
    <cellStyle name="20% - akcent 1 2 2 2 2 8 2" xfId="857"/>
    <cellStyle name="20% - akcent 1 2 2 2 2 9" xfId="858"/>
    <cellStyle name="20% - akcent 1 2 2 2 3" xfId="859"/>
    <cellStyle name="20% - akcent 1 2 2 2 3 2" xfId="860"/>
    <cellStyle name="20% - akcent 1 2 2 2 3 2 2" xfId="861"/>
    <cellStyle name="20% - akcent 1 2 2 2 3 2 2 2" xfId="862"/>
    <cellStyle name="20% - akcent 1 2 2 2 3 2 2 2 2" xfId="863"/>
    <cellStyle name="20% - akcent 1 2 2 2 3 2 2 3" xfId="864"/>
    <cellStyle name="20% - akcent 1 2 2 2 3 2 3" xfId="865"/>
    <cellStyle name="20% - akcent 1 2 2 2 3 2 3 2" xfId="866"/>
    <cellStyle name="20% - akcent 1 2 2 2 3 2 3 2 2" xfId="867"/>
    <cellStyle name="20% - akcent 1 2 2 2 3 2 3 3" xfId="868"/>
    <cellStyle name="20% - akcent 1 2 2 2 3 2 4" xfId="869"/>
    <cellStyle name="20% - akcent 1 2 2 2 3 2 4 2" xfId="870"/>
    <cellStyle name="20% - akcent 1 2 2 2 3 2 4 2 2" xfId="871"/>
    <cellStyle name="20% - akcent 1 2 2 2 3 2 4 3" xfId="872"/>
    <cellStyle name="20% - akcent 1 2 2 2 3 2 5" xfId="873"/>
    <cellStyle name="20% - akcent 1 2 2 2 3 2 5 2" xfId="874"/>
    <cellStyle name="20% - akcent 1 2 2 2 3 2 6" xfId="875"/>
    <cellStyle name="20% - akcent 1 2 2 2 3 3" xfId="876"/>
    <cellStyle name="20% - akcent 1 2 2 2 3 3 2" xfId="877"/>
    <cellStyle name="20% - akcent 1 2 2 2 3 3 2 2" xfId="878"/>
    <cellStyle name="20% - akcent 1 2 2 2 3 3 3" xfId="879"/>
    <cellStyle name="20% - akcent 1 2 2 2 3 4" xfId="880"/>
    <cellStyle name="20% - akcent 1 2 2 2 3 4 2" xfId="881"/>
    <cellStyle name="20% - akcent 1 2 2 2 3 4 2 2" xfId="882"/>
    <cellStyle name="20% - akcent 1 2 2 2 3 4 3" xfId="883"/>
    <cellStyle name="20% - akcent 1 2 2 2 3 5" xfId="884"/>
    <cellStyle name="20% - akcent 1 2 2 2 3 5 2" xfId="885"/>
    <cellStyle name="20% - akcent 1 2 2 2 3 5 2 2" xfId="886"/>
    <cellStyle name="20% - akcent 1 2 2 2 3 5 3" xfId="887"/>
    <cellStyle name="20% - akcent 1 2 2 2 3 6" xfId="888"/>
    <cellStyle name="20% - akcent 1 2 2 2 3 6 2" xfId="889"/>
    <cellStyle name="20% - akcent 1 2 2 2 3 7" xfId="890"/>
    <cellStyle name="20% - akcent 1 2 2 2 4" xfId="891"/>
    <cellStyle name="20% - akcent 1 2 2 2 4 2" xfId="892"/>
    <cellStyle name="20% - akcent 1 2 2 2 4 2 2" xfId="893"/>
    <cellStyle name="20% - akcent 1 2 2 2 4 2 2 2" xfId="894"/>
    <cellStyle name="20% - akcent 1 2 2 2 4 2 3" xfId="895"/>
    <cellStyle name="20% - akcent 1 2 2 2 4 3" xfId="896"/>
    <cellStyle name="20% - akcent 1 2 2 2 4 3 2" xfId="897"/>
    <cellStyle name="20% - akcent 1 2 2 2 4 3 2 2" xfId="898"/>
    <cellStyle name="20% - akcent 1 2 2 2 4 3 3" xfId="899"/>
    <cellStyle name="20% - akcent 1 2 2 2 4 4" xfId="900"/>
    <cellStyle name="20% - akcent 1 2 2 2 4 4 2" xfId="901"/>
    <cellStyle name="20% - akcent 1 2 2 2 4 4 2 2" xfId="902"/>
    <cellStyle name="20% - akcent 1 2 2 2 4 4 3" xfId="903"/>
    <cellStyle name="20% - akcent 1 2 2 2 4 5" xfId="904"/>
    <cellStyle name="20% - akcent 1 2 2 2 4 5 2" xfId="905"/>
    <cellStyle name="20% - akcent 1 2 2 2 4 6" xfId="906"/>
    <cellStyle name="20% - akcent 1 2 2 2 5" xfId="907"/>
    <cellStyle name="20% - akcent 1 2 2 2 5 2" xfId="908"/>
    <cellStyle name="20% - akcent 1 2 2 2 5 2 2" xfId="909"/>
    <cellStyle name="20% - akcent 1 2 2 2 5 2 2 2" xfId="910"/>
    <cellStyle name="20% - akcent 1 2 2 2 5 2 3" xfId="911"/>
    <cellStyle name="20% - akcent 1 2 2 2 5 3" xfId="912"/>
    <cellStyle name="20% - akcent 1 2 2 2 5 3 2" xfId="913"/>
    <cellStyle name="20% - akcent 1 2 2 2 5 3 2 2" xfId="914"/>
    <cellStyle name="20% - akcent 1 2 2 2 5 3 3" xfId="915"/>
    <cellStyle name="20% - akcent 1 2 2 2 5 4" xfId="916"/>
    <cellStyle name="20% - akcent 1 2 2 2 5 4 2" xfId="917"/>
    <cellStyle name="20% - akcent 1 2 2 2 5 4 2 2" xfId="918"/>
    <cellStyle name="20% - akcent 1 2 2 2 5 4 3" xfId="919"/>
    <cellStyle name="20% - akcent 1 2 2 2 5 5" xfId="920"/>
    <cellStyle name="20% - akcent 1 2 2 2 5 5 2" xfId="921"/>
    <cellStyle name="20% - akcent 1 2 2 2 5 6" xfId="922"/>
    <cellStyle name="20% - akcent 1 2 2 2 6" xfId="923"/>
    <cellStyle name="20% - akcent 1 2 2 2 6 2" xfId="924"/>
    <cellStyle name="20% - akcent 1 2 2 2 6 2 2" xfId="925"/>
    <cellStyle name="20% - akcent 1 2 2 2 6 2 2 2" xfId="926"/>
    <cellStyle name="20% - akcent 1 2 2 2 6 2 3" xfId="927"/>
    <cellStyle name="20% - akcent 1 2 2 2 6 3" xfId="928"/>
    <cellStyle name="20% - akcent 1 2 2 2 6 3 2" xfId="929"/>
    <cellStyle name="20% - akcent 1 2 2 2 6 3 2 2" xfId="930"/>
    <cellStyle name="20% - akcent 1 2 2 2 6 3 3" xfId="931"/>
    <cellStyle name="20% - akcent 1 2 2 2 6 4" xfId="932"/>
    <cellStyle name="20% - akcent 1 2 2 2 6 4 2" xfId="933"/>
    <cellStyle name="20% - akcent 1 2 2 2 6 4 2 2" xfId="934"/>
    <cellStyle name="20% - akcent 1 2 2 2 6 4 3" xfId="935"/>
    <cellStyle name="20% - akcent 1 2 2 2 6 5" xfId="936"/>
    <cellStyle name="20% - akcent 1 2 2 2 6 5 2" xfId="937"/>
    <cellStyle name="20% - akcent 1 2 2 2 6 6" xfId="938"/>
    <cellStyle name="20% - akcent 1 2 2 3" xfId="939"/>
    <cellStyle name="20% - akcent 1 2 2 3 2" xfId="940"/>
    <cellStyle name="20% - akcent 1 2 2 3 2 2" xfId="941"/>
    <cellStyle name="20% - akcent 1 2 2 3 2 2 2" xfId="942"/>
    <cellStyle name="20% - akcent 1 2 2 3 2 2 2 2" xfId="943"/>
    <cellStyle name="20% - akcent 1 2 2 3 2 2 2 2 2" xfId="944"/>
    <cellStyle name="20% - akcent 1 2 2 3 2 2 2 3" xfId="945"/>
    <cellStyle name="20% - akcent 1 2 2 3 2 2 3" xfId="946"/>
    <cellStyle name="20% - akcent 1 2 2 3 2 2 3 2" xfId="947"/>
    <cellStyle name="20% - akcent 1 2 2 3 2 2 3 2 2" xfId="948"/>
    <cellStyle name="20% - akcent 1 2 2 3 2 2 3 3" xfId="949"/>
    <cellStyle name="20% - akcent 1 2 2 3 2 2 4" xfId="950"/>
    <cellStyle name="20% - akcent 1 2 2 3 2 2 4 2" xfId="951"/>
    <cellStyle name="20% - akcent 1 2 2 3 2 2 4 2 2" xfId="952"/>
    <cellStyle name="20% - akcent 1 2 2 3 2 2 4 3" xfId="953"/>
    <cellStyle name="20% - akcent 1 2 2 3 2 2 5" xfId="954"/>
    <cellStyle name="20% - akcent 1 2 2 3 2 2 5 2" xfId="955"/>
    <cellStyle name="20% - akcent 1 2 2 3 2 2 6" xfId="956"/>
    <cellStyle name="20% - akcent 1 2 2 3 2 3" xfId="957"/>
    <cellStyle name="20% - akcent 1 2 2 3 2 3 2" xfId="958"/>
    <cellStyle name="20% - akcent 1 2 2 3 2 3 2 2" xfId="959"/>
    <cellStyle name="20% - akcent 1 2 2 3 2 3 3" xfId="960"/>
    <cellStyle name="20% - akcent 1 2 2 3 2 4" xfId="961"/>
    <cellStyle name="20% - akcent 1 2 2 3 2 4 2" xfId="962"/>
    <cellStyle name="20% - akcent 1 2 2 3 2 4 2 2" xfId="963"/>
    <cellStyle name="20% - akcent 1 2 2 3 2 4 3" xfId="964"/>
    <cellStyle name="20% - akcent 1 2 2 3 2 5" xfId="965"/>
    <cellStyle name="20% - akcent 1 2 2 3 2 5 2" xfId="966"/>
    <cellStyle name="20% - akcent 1 2 2 3 2 5 2 2" xfId="967"/>
    <cellStyle name="20% - akcent 1 2 2 3 2 5 3" xfId="968"/>
    <cellStyle name="20% - akcent 1 2 2 3 2 6" xfId="969"/>
    <cellStyle name="20% - akcent 1 2 2 3 2 6 2" xfId="970"/>
    <cellStyle name="20% - akcent 1 2 2 3 2 7" xfId="971"/>
    <cellStyle name="20% - akcent 1 2 2 3 3" xfId="972"/>
    <cellStyle name="20% - akcent 1 2 2 3 3 2" xfId="973"/>
    <cellStyle name="20% - akcent 1 2 2 3 3 2 2" xfId="974"/>
    <cellStyle name="20% - akcent 1 2 2 3 3 2 2 2" xfId="975"/>
    <cellStyle name="20% - akcent 1 2 2 3 3 2 3" xfId="976"/>
    <cellStyle name="20% - akcent 1 2 2 3 3 3" xfId="977"/>
    <cellStyle name="20% - akcent 1 2 2 3 3 3 2" xfId="978"/>
    <cellStyle name="20% - akcent 1 2 2 3 3 3 2 2" xfId="979"/>
    <cellStyle name="20% - akcent 1 2 2 3 3 3 3" xfId="980"/>
    <cellStyle name="20% - akcent 1 2 2 3 3 4" xfId="981"/>
    <cellStyle name="20% - akcent 1 2 2 3 3 4 2" xfId="982"/>
    <cellStyle name="20% - akcent 1 2 2 3 3 4 2 2" xfId="983"/>
    <cellStyle name="20% - akcent 1 2 2 3 3 4 3" xfId="984"/>
    <cellStyle name="20% - akcent 1 2 2 3 3 5" xfId="985"/>
    <cellStyle name="20% - akcent 1 2 2 3 3 5 2" xfId="986"/>
    <cellStyle name="20% - akcent 1 2 2 3 3 6" xfId="987"/>
    <cellStyle name="20% - akcent 1 2 2 3 4" xfId="988"/>
    <cellStyle name="20% - akcent 1 2 2 3 4 2" xfId="989"/>
    <cellStyle name="20% - akcent 1 2 2 3 4 2 2" xfId="990"/>
    <cellStyle name="20% - akcent 1 2 2 3 4 2 2 2" xfId="991"/>
    <cellStyle name="20% - akcent 1 2 2 3 4 2 3" xfId="992"/>
    <cellStyle name="20% - akcent 1 2 2 3 4 3" xfId="993"/>
    <cellStyle name="20% - akcent 1 2 2 3 4 3 2" xfId="994"/>
    <cellStyle name="20% - akcent 1 2 2 3 4 3 2 2" xfId="995"/>
    <cellStyle name="20% - akcent 1 2 2 3 4 3 3" xfId="996"/>
    <cellStyle name="20% - akcent 1 2 2 3 4 4" xfId="997"/>
    <cellStyle name="20% - akcent 1 2 2 3 4 4 2" xfId="998"/>
    <cellStyle name="20% - akcent 1 2 2 3 4 4 2 2" xfId="999"/>
    <cellStyle name="20% - akcent 1 2 2 3 4 4 3" xfId="1000"/>
    <cellStyle name="20% - akcent 1 2 2 3 4 5" xfId="1001"/>
    <cellStyle name="20% - akcent 1 2 2 3 4 5 2" xfId="1002"/>
    <cellStyle name="20% - akcent 1 2 2 3 4 6" xfId="1003"/>
    <cellStyle name="20% - akcent 1 2 2 3 5" xfId="1004"/>
    <cellStyle name="20% - akcent 1 2 2 3 5 2" xfId="1005"/>
    <cellStyle name="20% - akcent 1 2 2 3 5 2 2" xfId="1006"/>
    <cellStyle name="20% - akcent 1 2 2 3 5 2 2 2" xfId="1007"/>
    <cellStyle name="20% - akcent 1 2 2 3 5 2 3" xfId="1008"/>
    <cellStyle name="20% - akcent 1 2 2 3 5 3" xfId="1009"/>
    <cellStyle name="20% - akcent 1 2 2 3 5 3 2" xfId="1010"/>
    <cellStyle name="20% - akcent 1 2 2 3 5 3 2 2" xfId="1011"/>
    <cellStyle name="20% - akcent 1 2 2 3 5 3 3" xfId="1012"/>
    <cellStyle name="20% - akcent 1 2 2 3 5 4" xfId="1013"/>
    <cellStyle name="20% - akcent 1 2 2 3 5 4 2" xfId="1014"/>
    <cellStyle name="20% - akcent 1 2 2 3 5 4 2 2" xfId="1015"/>
    <cellStyle name="20% - akcent 1 2 2 3 5 4 3" xfId="1016"/>
    <cellStyle name="20% - akcent 1 2 2 3 5 5" xfId="1017"/>
    <cellStyle name="20% - akcent 1 2 2 3 5 5 2" xfId="1018"/>
    <cellStyle name="20% - akcent 1 2 2 3 5 6" xfId="1019"/>
    <cellStyle name="20% - akcent 1 2 2 4" xfId="1020"/>
    <cellStyle name="20% - akcent 1 2 2 4 2" xfId="1021"/>
    <cellStyle name="20% - akcent 1 2 2 4 2 2" xfId="1022"/>
    <cellStyle name="20% - akcent 1 2 2 4 2 2 2" xfId="1023"/>
    <cellStyle name="20% - akcent 1 2 2 4 2 2 2 2" xfId="1024"/>
    <cellStyle name="20% - akcent 1 2 2 4 2 2 3" xfId="1025"/>
    <cellStyle name="20% - akcent 1 2 2 4 2 3" xfId="1026"/>
    <cellStyle name="20% - akcent 1 2 2 4 2 3 2" xfId="1027"/>
    <cellStyle name="20% - akcent 1 2 2 4 2 3 2 2" xfId="1028"/>
    <cellStyle name="20% - akcent 1 2 2 4 2 3 3" xfId="1029"/>
    <cellStyle name="20% - akcent 1 2 2 4 2 4" xfId="1030"/>
    <cellStyle name="20% - akcent 1 2 2 4 2 4 2" xfId="1031"/>
    <cellStyle name="20% - akcent 1 2 2 4 2 4 2 2" xfId="1032"/>
    <cellStyle name="20% - akcent 1 2 2 4 2 4 3" xfId="1033"/>
    <cellStyle name="20% - akcent 1 2 2 4 2 5" xfId="1034"/>
    <cellStyle name="20% - akcent 1 2 2 4 2 5 2" xfId="1035"/>
    <cellStyle name="20% - akcent 1 2 2 4 2 6" xfId="1036"/>
    <cellStyle name="20% - akcent 1 2 2 4 3" xfId="1037"/>
    <cellStyle name="20% - akcent 1 2 2 4 3 2" xfId="1038"/>
    <cellStyle name="20% - akcent 1 2 2 4 3 2 2" xfId="1039"/>
    <cellStyle name="20% - akcent 1 2 2 4 3 3" xfId="1040"/>
    <cellStyle name="20% - akcent 1 2 2 4 4" xfId="1041"/>
    <cellStyle name="20% - akcent 1 2 2 4 4 2" xfId="1042"/>
    <cellStyle name="20% - akcent 1 2 2 4 4 2 2" xfId="1043"/>
    <cellStyle name="20% - akcent 1 2 2 4 4 3" xfId="1044"/>
    <cellStyle name="20% - akcent 1 2 2 4 5" xfId="1045"/>
    <cellStyle name="20% - akcent 1 2 2 4 5 2" xfId="1046"/>
    <cellStyle name="20% - akcent 1 2 2 4 5 2 2" xfId="1047"/>
    <cellStyle name="20% - akcent 1 2 2 4 5 3" xfId="1048"/>
    <cellStyle name="20% - akcent 1 2 2 4 6" xfId="1049"/>
    <cellStyle name="20% - akcent 1 2 2 4 6 2" xfId="1050"/>
    <cellStyle name="20% - akcent 1 2 2 4 7" xfId="1051"/>
    <cellStyle name="20% - akcent 1 2 2 5" xfId="1052"/>
    <cellStyle name="20% - akcent 1 2 2 5 2" xfId="1053"/>
    <cellStyle name="20% - akcent 1 2 2 5 2 2" xfId="1054"/>
    <cellStyle name="20% - akcent 1 2 2 5 2 2 2" xfId="1055"/>
    <cellStyle name="20% - akcent 1 2 2 5 2 3" xfId="1056"/>
    <cellStyle name="20% - akcent 1 2 2 5 3" xfId="1057"/>
    <cellStyle name="20% - akcent 1 2 2 5 3 2" xfId="1058"/>
    <cellStyle name="20% - akcent 1 2 2 5 3 2 2" xfId="1059"/>
    <cellStyle name="20% - akcent 1 2 2 5 3 3" xfId="1060"/>
    <cellStyle name="20% - akcent 1 2 2 5 4" xfId="1061"/>
    <cellStyle name="20% - akcent 1 2 2 5 4 2" xfId="1062"/>
    <cellStyle name="20% - akcent 1 2 2 5 4 2 2" xfId="1063"/>
    <cellStyle name="20% - akcent 1 2 2 5 4 3" xfId="1064"/>
    <cellStyle name="20% - akcent 1 2 2 5 5" xfId="1065"/>
    <cellStyle name="20% - akcent 1 2 2 5 5 2" xfId="1066"/>
    <cellStyle name="20% - akcent 1 2 2 5 6" xfId="1067"/>
    <cellStyle name="20% - akcent 1 2 2 6" xfId="1068"/>
    <cellStyle name="20% - akcent 1 2 2 6 2" xfId="1069"/>
    <cellStyle name="20% - akcent 1 2 2 6 2 2" xfId="1070"/>
    <cellStyle name="20% - akcent 1 2 2 6 2 2 2" xfId="1071"/>
    <cellStyle name="20% - akcent 1 2 2 6 2 3" xfId="1072"/>
    <cellStyle name="20% - akcent 1 2 2 6 3" xfId="1073"/>
    <cellStyle name="20% - akcent 1 2 2 6 3 2" xfId="1074"/>
    <cellStyle name="20% - akcent 1 2 2 6 3 2 2" xfId="1075"/>
    <cellStyle name="20% - akcent 1 2 2 6 3 3" xfId="1076"/>
    <cellStyle name="20% - akcent 1 2 2 6 4" xfId="1077"/>
    <cellStyle name="20% - akcent 1 2 2 6 4 2" xfId="1078"/>
    <cellStyle name="20% - akcent 1 2 2 6 4 2 2" xfId="1079"/>
    <cellStyle name="20% - akcent 1 2 2 6 4 3" xfId="1080"/>
    <cellStyle name="20% - akcent 1 2 2 6 5" xfId="1081"/>
    <cellStyle name="20% - akcent 1 2 2 6 5 2" xfId="1082"/>
    <cellStyle name="20% - akcent 1 2 2 6 6" xfId="1083"/>
    <cellStyle name="20% - akcent 1 2 2 7" xfId="1084"/>
    <cellStyle name="20% - akcent 1 2 2 8" xfId="1085"/>
    <cellStyle name="20% - akcent 1 2 2 8 2" xfId="1086"/>
    <cellStyle name="20% - akcent 1 2 2 8 2 2" xfId="1087"/>
    <cellStyle name="20% - akcent 1 2 2 8 2 2 2" xfId="1088"/>
    <cellStyle name="20% - akcent 1 2 2 8 2 3" xfId="1089"/>
    <cellStyle name="20% - akcent 1 2 2 8 3" xfId="1090"/>
    <cellStyle name="20% - akcent 1 2 2 8 3 2" xfId="1091"/>
    <cellStyle name="20% - akcent 1 2 2 8 3 2 2" xfId="1092"/>
    <cellStyle name="20% - akcent 1 2 2 8 3 3" xfId="1093"/>
    <cellStyle name="20% - akcent 1 2 2 8 4" xfId="1094"/>
    <cellStyle name="20% - akcent 1 2 2 8 4 2" xfId="1095"/>
    <cellStyle name="20% - akcent 1 2 2 8 4 2 2" xfId="1096"/>
    <cellStyle name="20% - akcent 1 2 2 8 4 3" xfId="1097"/>
    <cellStyle name="20% - akcent 1 2 2 8 5" xfId="1098"/>
    <cellStyle name="20% - akcent 1 2 2 8 5 2" xfId="1099"/>
    <cellStyle name="20% - akcent 1 2 2 8 6" xfId="1100"/>
    <cellStyle name="20% - akcent 1 2 2_2011'05 Raport PGE_DO-CO2" xfId="1101"/>
    <cellStyle name="20% - akcent 1 2 3" xfId="1102"/>
    <cellStyle name="20% - akcent 1 2 3 2" xfId="1103"/>
    <cellStyle name="20% - akcent 1 2 3 2 2" xfId="1104"/>
    <cellStyle name="20% - akcent 1 2 3 2 2 2" xfId="1105"/>
    <cellStyle name="20% - akcent 1 2 3 2 2 2 2" xfId="1106"/>
    <cellStyle name="20% - akcent 1 2 3 2 2 2 2 2" xfId="1107"/>
    <cellStyle name="20% - akcent 1 2 3 2 2 2 2 2 2" xfId="1108"/>
    <cellStyle name="20% - akcent 1 2 3 2 2 2 2 3" xfId="1109"/>
    <cellStyle name="20% - akcent 1 2 3 2 2 2 3" xfId="1110"/>
    <cellStyle name="20% - akcent 1 2 3 2 2 2 3 2" xfId="1111"/>
    <cellStyle name="20% - akcent 1 2 3 2 2 2 3 2 2" xfId="1112"/>
    <cellStyle name="20% - akcent 1 2 3 2 2 2 3 3" xfId="1113"/>
    <cellStyle name="20% - akcent 1 2 3 2 2 2 4" xfId="1114"/>
    <cellStyle name="20% - akcent 1 2 3 2 2 2 4 2" xfId="1115"/>
    <cellStyle name="20% - akcent 1 2 3 2 2 2 4 2 2" xfId="1116"/>
    <cellStyle name="20% - akcent 1 2 3 2 2 2 4 3" xfId="1117"/>
    <cellStyle name="20% - akcent 1 2 3 2 2 2 5" xfId="1118"/>
    <cellStyle name="20% - akcent 1 2 3 2 2 2 5 2" xfId="1119"/>
    <cellStyle name="20% - akcent 1 2 3 2 2 2 6" xfId="1120"/>
    <cellStyle name="20% - akcent 1 2 3 2 2 3" xfId="1121"/>
    <cellStyle name="20% - akcent 1 2 3 2 2 3 2" xfId="1122"/>
    <cellStyle name="20% - akcent 1 2 3 2 2 3 2 2" xfId="1123"/>
    <cellStyle name="20% - akcent 1 2 3 2 2 3 3" xfId="1124"/>
    <cellStyle name="20% - akcent 1 2 3 2 2 4" xfId="1125"/>
    <cellStyle name="20% - akcent 1 2 3 2 2 4 2" xfId="1126"/>
    <cellStyle name="20% - akcent 1 2 3 2 2 4 2 2" xfId="1127"/>
    <cellStyle name="20% - akcent 1 2 3 2 2 4 3" xfId="1128"/>
    <cellStyle name="20% - akcent 1 2 3 2 2 5" xfId="1129"/>
    <cellStyle name="20% - akcent 1 2 3 2 2 5 2" xfId="1130"/>
    <cellStyle name="20% - akcent 1 2 3 2 2 5 2 2" xfId="1131"/>
    <cellStyle name="20% - akcent 1 2 3 2 2 5 3" xfId="1132"/>
    <cellStyle name="20% - akcent 1 2 3 2 2 6" xfId="1133"/>
    <cellStyle name="20% - akcent 1 2 3 2 2 6 2" xfId="1134"/>
    <cellStyle name="20% - akcent 1 2 3 2 2 7" xfId="1135"/>
    <cellStyle name="20% - akcent 1 2 3 2 3" xfId="1136"/>
    <cellStyle name="20% - akcent 1 2 3 2 3 2" xfId="1137"/>
    <cellStyle name="20% - akcent 1 2 3 2 3 2 2" xfId="1138"/>
    <cellStyle name="20% - akcent 1 2 3 2 3 2 2 2" xfId="1139"/>
    <cellStyle name="20% - akcent 1 2 3 2 3 2 3" xfId="1140"/>
    <cellStyle name="20% - akcent 1 2 3 2 3 3" xfId="1141"/>
    <cellStyle name="20% - akcent 1 2 3 2 3 3 2" xfId="1142"/>
    <cellStyle name="20% - akcent 1 2 3 2 3 3 2 2" xfId="1143"/>
    <cellStyle name="20% - akcent 1 2 3 2 3 3 3" xfId="1144"/>
    <cellStyle name="20% - akcent 1 2 3 2 3 4" xfId="1145"/>
    <cellStyle name="20% - akcent 1 2 3 2 3 4 2" xfId="1146"/>
    <cellStyle name="20% - akcent 1 2 3 2 3 4 2 2" xfId="1147"/>
    <cellStyle name="20% - akcent 1 2 3 2 3 4 3" xfId="1148"/>
    <cellStyle name="20% - akcent 1 2 3 2 3 5" xfId="1149"/>
    <cellStyle name="20% - akcent 1 2 3 2 3 5 2" xfId="1150"/>
    <cellStyle name="20% - akcent 1 2 3 2 3 6" xfId="1151"/>
    <cellStyle name="20% - akcent 1 2 3 2 4" xfId="1152"/>
    <cellStyle name="20% - akcent 1 2 3 2 4 2" xfId="1153"/>
    <cellStyle name="20% - akcent 1 2 3 2 4 2 2" xfId="1154"/>
    <cellStyle name="20% - akcent 1 2 3 2 4 2 2 2" xfId="1155"/>
    <cellStyle name="20% - akcent 1 2 3 2 4 2 3" xfId="1156"/>
    <cellStyle name="20% - akcent 1 2 3 2 4 3" xfId="1157"/>
    <cellStyle name="20% - akcent 1 2 3 2 4 3 2" xfId="1158"/>
    <cellStyle name="20% - akcent 1 2 3 2 4 3 2 2" xfId="1159"/>
    <cellStyle name="20% - akcent 1 2 3 2 4 3 3" xfId="1160"/>
    <cellStyle name="20% - akcent 1 2 3 2 4 4" xfId="1161"/>
    <cellStyle name="20% - akcent 1 2 3 2 4 4 2" xfId="1162"/>
    <cellStyle name="20% - akcent 1 2 3 2 4 4 2 2" xfId="1163"/>
    <cellStyle name="20% - akcent 1 2 3 2 4 4 3" xfId="1164"/>
    <cellStyle name="20% - akcent 1 2 3 2 4 5" xfId="1165"/>
    <cellStyle name="20% - akcent 1 2 3 2 4 5 2" xfId="1166"/>
    <cellStyle name="20% - akcent 1 2 3 2 4 6" xfId="1167"/>
    <cellStyle name="20% - akcent 1 2 3 2 5" xfId="1168"/>
    <cellStyle name="20% - akcent 1 2 3 2 5 2" xfId="1169"/>
    <cellStyle name="20% - akcent 1 2 3 2 5 2 2" xfId="1170"/>
    <cellStyle name="20% - akcent 1 2 3 2 5 2 2 2" xfId="1171"/>
    <cellStyle name="20% - akcent 1 2 3 2 5 2 3" xfId="1172"/>
    <cellStyle name="20% - akcent 1 2 3 2 5 3" xfId="1173"/>
    <cellStyle name="20% - akcent 1 2 3 2 5 3 2" xfId="1174"/>
    <cellStyle name="20% - akcent 1 2 3 2 5 3 2 2" xfId="1175"/>
    <cellStyle name="20% - akcent 1 2 3 2 5 3 3" xfId="1176"/>
    <cellStyle name="20% - akcent 1 2 3 2 5 4" xfId="1177"/>
    <cellStyle name="20% - akcent 1 2 3 2 5 4 2" xfId="1178"/>
    <cellStyle name="20% - akcent 1 2 3 2 5 4 2 2" xfId="1179"/>
    <cellStyle name="20% - akcent 1 2 3 2 5 4 3" xfId="1180"/>
    <cellStyle name="20% - akcent 1 2 3 2 5 5" xfId="1181"/>
    <cellStyle name="20% - akcent 1 2 3 2 5 5 2" xfId="1182"/>
    <cellStyle name="20% - akcent 1 2 3 2 5 6" xfId="1183"/>
    <cellStyle name="20% - akcent 1 2 3 3" xfId="1184"/>
    <cellStyle name="20% - akcent 1 2 3 3 2" xfId="1185"/>
    <cellStyle name="20% - akcent 1 2 3 3 2 2" xfId="1186"/>
    <cellStyle name="20% - akcent 1 2 3 3 2 2 2" xfId="1187"/>
    <cellStyle name="20% - akcent 1 2 3 3 2 2 2 2" xfId="1188"/>
    <cellStyle name="20% - akcent 1 2 3 3 2 2 3" xfId="1189"/>
    <cellStyle name="20% - akcent 1 2 3 3 2 3" xfId="1190"/>
    <cellStyle name="20% - akcent 1 2 3 3 2 3 2" xfId="1191"/>
    <cellStyle name="20% - akcent 1 2 3 3 2 3 2 2" xfId="1192"/>
    <cellStyle name="20% - akcent 1 2 3 3 2 3 3" xfId="1193"/>
    <cellStyle name="20% - akcent 1 2 3 3 2 4" xfId="1194"/>
    <cellStyle name="20% - akcent 1 2 3 3 2 4 2" xfId="1195"/>
    <cellStyle name="20% - akcent 1 2 3 3 2 4 2 2" xfId="1196"/>
    <cellStyle name="20% - akcent 1 2 3 3 2 4 3" xfId="1197"/>
    <cellStyle name="20% - akcent 1 2 3 3 2 5" xfId="1198"/>
    <cellStyle name="20% - akcent 1 2 3 3 2 5 2" xfId="1199"/>
    <cellStyle name="20% - akcent 1 2 3 3 2 6" xfId="1200"/>
    <cellStyle name="20% - akcent 1 2 3 3 3" xfId="1201"/>
    <cellStyle name="20% - akcent 1 2 3 3 3 2" xfId="1202"/>
    <cellStyle name="20% - akcent 1 2 3 3 3 2 2" xfId="1203"/>
    <cellStyle name="20% - akcent 1 2 3 3 3 3" xfId="1204"/>
    <cellStyle name="20% - akcent 1 2 3 3 4" xfId="1205"/>
    <cellStyle name="20% - akcent 1 2 3 3 4 2" xfId="1206"/>
    <cellStyle name="20% - akcent 1 2 3 3 4 2 2" xfId="1207"/>
    <cellStyle name="20% - akcent 1 2 3 3 4 3" xfId="1208"/>
    <cellStyle name="20% - akcent 1 2 3 3 5" xfId="1209"/>
    <cellStyle name="20% - akcent 1 2 3 3 5 2" xfId="1210"/>
    <cellStyle name="20% - akcent 1 2 3 3 5 2 2" xfId="1211"/>
    <cellStyle name="20% - akcent 1 2 3 3 5 3" xfId="1212"/>
    <cellStyle name="20% - akcent 1 2 3 3 6" xfId="1213"/>
    <cellStyle name="20% - akcent 1 2 3 3 6 2" xfId="1214"/>
    <cellStyle name="20% - akcent 1 2 3 3 7" xfId="1215"/>
    <cellStyle name="20% - akcent 1 2 3 4" xfId="1216"/>
    <cellStyle name="20% - akcent 1 2 3 4 2" xfId="1217"/>
    <cellStyle name="20% - akcent 1 2 3 4 2 2" xfId="1218"/>
    <cellStyle name="20% - akcent 1 2 3 4 2 2 2" xfId="1219"/>
    <cellStyle name="20% - akcent 1 2 3 4 2 3" xfId="1220"/>
    <cellStyle name="20% - akcent 1 2 3 4 3" xfId="1221"/>
    <cellStyle name="20% - akcent 1 2 3 4 3 2" xfId="1222"/>
    <cellStyle name="20% - akcent 1 2 3 4 3 2 2" xfId="1223"/>
    <cellStyle name="20% - akcent 1 2 3 4 3 3" xfId="1224"/>
    <cellStyle name="20% - akcent 1 2 3 4 4" xfId="1225"/>
    <cellStyle name="20% - akcent 1 2 3 4 4 2" xfId="1226"/>
    <cellStyle name="20% - akcent 1 2 3 4 4 2 2" xfId="1227"/>
    <cellStyle name="20% - akcent 1 2 3 4 4 3" xfId="1228"/>
    <cellStyle name="20% - akcent 1 2 3 4 5" xfId="1229"/>
    <cellStyle name="20% - akcent 1 2 3 4 5 2" xfId="1230"/>
    <cellStyle name="20% - akcent 1 2 3 4 6" xfId="1231"/>
    <cellStyle name="20% - akcent 1 2 3 5" xfId="1232"/>
    <cellStyle name="20% - akcent 1 2 3 5 2" xfId="1233"/>
    <cellStyle name="20% - akcent 1 2 3 5 2 2" xfId="1234"/>
    <cellStyle name="20% - akcent 1 2 3 5 2 2 2" xfId="1235"/>
    <cellStyle name="20% - akcent 1 2 3 5 2 3" xfId="1236"/>
    <cellStyle name="20% - akcent 1 2 3 5 3" xfId="1237"/>
    <cellStyle name="20% - akcent 1 2 3 5 3 2" xfId="1238"/>
    <cellStyle name="20% - akcent 1 2 3 5 3 2 2" xfId="1239"/>
    <cellStyle name="20% - akcent 1 2 3 5 3 3" xfId="1240"/>
    <cellStyle name="20% - akcent 1 2 3 5 4" xfId="1241"/>
    <cellStyle name="20% - akcent 1 2 3 5 4 2" xfId="1242"/>
    <cellStyle name="20% - akcent 1 2 3 5 4 2 2" xfId="1243"/>
    <cellStyle name="20% - akcent 1 2 3 5 4 3" xfId="1244"/>
    <cellStyle name="20% - akcent 1 2 3 5 5" xfId="1245"/>
    <cellStyle name="20% - akcent 1 2 3 5 5 2" xfId="1246"/>
    <cellStyle name="20% - akcent 1 2 3 5 6" xfId="1247"/>
    <cellStyle name="20% - akcent 1 2 3 6" xfId="1248"/>
    <cellStyle name="20% - akcent 1 2 3 6 2" xfId="1249"/>
    <cellStyle name="20% - akcent 1 2 3 6 2 2" xfId="1250"/>
    <cellStyle name="20% - akcent 1 2 3 6 2 2 2" xfId="1251"/>
    <cellStyle name="20% - akcent 1 2 3 6 2 3" xfId="1252"/>
    <cellStyle name="20% - akcent 1 2 3 6 3" xfId="1253"/>
    <cellStyle name="20% - akcent 1 2 3 6 3 2" xfId="1254"/>
    <cellStyle name="20% - akcent 1 2 3 6 3 2 2" xfId="1255"/>
    <cellStyle name="20% - akcent 1 2 3 6 3 3" xfId="1256"/>
    <cellStyle name="20% - akcent 1 2 3 6 4" xfId="1257"/>
    <cellStyle name="20% - akcent 1 2 3 6 4 2" xfId="1258"/>
    <cellStyle name="20% - akcent 1 2 3 6 4 2 2" xfId="1259"/>
    <cellStyle name="20% - akcent 1 2 3 6 4 3" xfId="1260"/>
    <cellStyle name="20% - akcent 1 2 3 6 5" xfId="1261"/>
    <cellStyle name="20% - akcent 1 2 3 6 5 2" xfId="1262"/>
    <cellStyle name="20% - akcent 1 2 3 6 6" xfId="1263"/>
    <cellStyle name="20% - akcent 1 2 3_2011'05 Raport PGE_DO-CO2" xfId="1264"/>
    <cellStyle name="20% - akcent 1 2 4" xfId="1265"/>
    <cellStyle name="20% - akcent 1 2 4 2" xfId="1266"/>
    <cellStyle name="20% - akcent 1 2 4 2 2" xfId="1267"/>
    <cellStyle name="20% - akcent 1 2 4 2 2 2" xfId="1268"/>
    <cellStyle name="20% - akcent 1 2 4 2 2 2 2" xfId="1269"/>
    <cellStyle name="20% - akcent 1 2 4 2 2 2 2 2" xfId="1270"/>
    <cellStyle name="20% - akcent 1 2 4 2 2 2 2 2 2" xfId="1271"/>
    <cellStyle name="20% - akcent 1 2 4 2 2 2 2 3" xfId="1272"/>
    <cellStyle name="20% - akcent 1 2 4 2 2 2 3" xfId="1273"/>
    <cellStyle name="20% - akcent 1 2 4 2 2 2 3 2" xfId="1274"/>
    <cellStyle name="20% - akcent 1 2 4 2 2 2 3 2 2" xfId="1275"/>
    <cellStyle name="20% - akcent 1 2 4 2 2 2 3 3" xfId="1276"/>
    <cellStyle name="20% - akcent 1 2 4 2 2 2 4" xfId="1277"/>
    <cellStyle name="20% - akcent 1 2 4 2 2 2 4 2" xfId="1278"/>
    <cellStyle name="20% - akcent 1 2 4 2 2 2 4 2 2" xfId="1279"/>
    <cellStyle name="20% - akcent 1 2 4 2 2 2 4 3" xfId="1280"/>
    <cellStyle name="20% - akcent 1 2 4 2 2 2 5" xfId="1281"/>
    <cellStyle name="20% - akcent 1 2 4 2 2 2 5 2" xfId="1282"/>
    <cellStyle name="20% - akcent 1 2 4 2 2 2 6" xfId="1283"/>
    <cellStyle name="20% - akcent 1 2 4 2 2 3" xfId="1284"/>
    <cellStyle name="20% - akcent 1 2 4 2 2 3 2" xfId="1285"/>
    <cellStyle name="20% - akcent 1 2 4 2 2 3 2 2" xfId="1286"/>
    <cellStyle name="20% - akcent 1 2 4 2 2 3 3" xfId="1287"/>
    <cellStyle name="20% - akcent 1 2 4 2 2 4" xfId="1288"/>
    <cellStyle name="20% - akcent 1 2 4 2 2 4 2" xfId="1289"/>
    <cellStyle name="20% - akcent 1 2 4 2 2 4 2 2" xfId="1290"/>
    <cellStyle name="20% - akcent 1 2 4 2 2 4 3" xfId="1291"/>
    <cellStyle name="20% - akcent 1 2 4 2 2 5" xfId="1292"/>
    <cellStyle name="20% - akcent 1 2 4 2 2 5 2" xfId="1293"/>
    <cellStyle name="20% - akcent 1 2 4 2 2 5 2 2" xfId="1294"/>
    <cellStyle name="20% - akcent 1 2 4 2 2 5 3" xfId="1295"/>
    <cellStyle name="20% - akcent 1 2 4 2 2 6" xfId="1296"/>
    <cellStyle name="20% - akcent 1 2 4 2 2 6 2" xfId="1297"/>
    <cellStyle name="20% - akcent 1 2 4 2 2 7" xfId="1298"/>
    <cellStyle name="20% - akcent 1 2 4 2 3" xfId="1299"/>
    <cellStyle name="20% - akcent 1 2 4 2 3 2" xfId="1300"/>
    <cellStyle name="20% - akcent 1 2 4 2 3 2 2" xfId="1301"/>
    <cellStyle name="20% - akcent 1 2 4 2 3 2 2 2" xfId="1302"/>
    <cellStyle name="20% - akcent 1 2 4 2 3 2 3" xfId="1303"/>
    <cellStyle name="20% - akcent 1 2 4 2 3 3" xfId="1304"/>
    <cellStyle name="20% - akcent 1 2 4 2 3 3 2" xfId="1305"/>
    <cellStyle name="20% - akcent 1 2 4 2 3 3 2 2" xfId="1306"/>
    <cellStyle name="20% - akcent 1 2 4 2 3 3 3" xfId="1307"/>
    <cellStyle name="20% - akcent 1 2 4 2 3 4" xfId="1308"/>
    <cellStyle name="20% - akcent 1 2 4 2 3 4 2" xfId="1309"/>
    <cellStyle name="20% - akcent 1 2 4 2 3 4 2 2" xfId="1310"/>
    <cellStyle name="20% - akcent 1 2 4 2 3 4 3" xfId="1311"/>
    <cellStyle name="20% - akcent 1 2 4 2 3 5" xfId="1312"/>
    <cellStyle name="20% - akcent 1 2 4 2 3 5 2" xfId="1313"/>
    <cellStyle name="20% - akcent 1 2 4 2 3 6" xfId="1314"/>
    <cellStyle name="20% - akcent 1 2 4 2 4" xfId="1315"/>
    <cellStyle name="20% - akcent 1 2 4 2 4 2" xfId="1316"/>
    <cellStyle name="20% - akcent 1 2 4 2 4 2 2" xfId="1317"/>
    <cellStyle name="20% - akcent 1 2 4 2 4 2 2 2" xfId="1318"/>
    <cellStyle name="20% - akcent 1 2 4 2 4 2 3" xfId="1319"/>
    <cellStyle name="20% - akcent 1 2 4 2 4 3" xfId="1320"/>
    <cellStyle name="20% - akcent 1 2 4 2 4 3 2" xfId="1321"/>
    <cellStyle name="20% - akcent 1 2 4 2 4 3 2 2" xfId="1322"/>
    <cellStyle name="20% - akcent 1 2 4 2 4 3 3" xfId="1323"/>
    <cellStyle name="20% - akcent 1 2 4 2 4 4" xfId="1324"/>
    <cellStyle name="20% - akcent 1 2 4 2 4 4 2" xfId="1325"/>
    <cellStyle name="20% - akcent 1 2 4 2 4 4 2 2" xfId="1326"/>
    <cellStyle name="20% - akcent 1 2 4 2 4 4 3" xfId="1327"/>
    <cellStyle name="20% - akcent 1 2 4 2 4 5" xfId="1328"/>
    <cellStyle name="20% - akcent 1 2 4 2 4 5 2" xfId="1329"/>
    <cellStyle name="20% - akcent 1 2 4 2 4 6" xfId="1330"/>
    <cellStyle name="20% - akcent 1 2 4 2 5" xfId="1331"/>
    <cellStyle name="20% - akcent 1 2 4 2 5 2" xfId="1332"/>
    <cellStyle name="20% - akcent 1 2 4 2 5 2 2" xfId="1333"/>
    <cellStyle name="20% - akcent 1 2 4 2 5 3" xfId="1334"/>
    <cellStyle name="20% - akcent 1 2 4 2 6" xfId="1335"/>
    <cellStyle name="20% - akcent 1 2 4 2 6 2" xfId="1336"/>
    <cellStyle name="20% - akcent 1 2 4 2 6 2 2" xfId="1337"/>
    <cellStyle name="20% - akcent 1 2 4 2 6 3" xfId="1338"/>
    <cellStyle name="20% - akcent 1 2 4 2 7" xfId="1339"/>
    <cellStyle name="20% - akcent 1 2 4 2 7 2" xfId="1340"/>
    <cellStyle name="20% - akcent 1 2 4 2 7 2 2" xfId="1341"/>
    <cellStyle name="20% - akcent 1 2 4 2 7 3" xfId="1342"/>
    <cellStyle name="20% - akcent 1 2 4 2 8" xfId="1343"/>
    <cellStyle name="20% - akcent 1 2 4 2 8 2" xfId="1344"/>
    <cellStyle name="20% - akcent 1 2 4 2 9" xfId="1345"/>
    <cellStyle name="20% - akcent 1 2 4 3" xfId="1346"/>
    <cellStyle name="20% - akcent 1 2 4 3 2" xfId="1347"/>
    <cellStyle name="20% - akcent 1 2 4 3 2 2" xfId="1348"/>
    <cellStyle name="20% - akcent 1 2 4 3 2 2 2" xfId="1349"/>
    <cellStyle name="20% - akcent 1 2 4 3 2 2 2 2" xfId="1350"/>
    <cellStyle name="20% - akcent 1 2 4 3 2 2 3" xfId="1351"/>
    <cellStyle name="20% - akcent 1 2 4 3 2 3" xfId="1352"/>
    <cellStyle name="20% - akcent 1 2 4 3 2 3 2" xfId="1353"/>
    <cellStyle name="20% - akcent 1 2 4 3 2 3 2 2" xfId="1354"/>
    <cellStyle name="20% - akcent 1 2 4 3 2 3 3" xfId="1355"/>
    <cellStyle name="20% - akcent 1 2 4 3 2 4" xfId="1356"/>
    <cellStyle name="20% - akcent 1 2 4 3 2 4 2" xfId="1357"/>
    <cellStyle name="20% - akcent 1 2 4 3 2 4 2 2" xfId="1358"/>
    <cellStyle name="20% - akcent 1 2 4 3 2 4 3" xfId="1359"/>
    <cellStyle name="20% - akcent 1 2 4 3 2 5" xfId="1360"/>
    <cellStyle name="20% - akcent 1 2 4 3 2 5 2" xfId="1361"/>
    <cellStyle name="20% - akcent 1 2 4 3 2 6" xfId="1362"/>
    <cellStyle name="20% - akcent 1 2 4 3 3" xfId="1363"/>
    <cellStyle name="20% - akcent 1 2 4 3 3 2" xfId="1364"/>
    <cellStyle name="20% - akcent 1 2 4 3 3 2 2" xfId="1365"/>
    <cellStyle name="20% - akcent 1 2 4 3 3 3" xfId="1366"/>
    <cellStyle name="20% - akcent 1 2 4 3 4" xfId="1367"/>
    <cellStyle name="20% - akcent 1 2 4 3 4 2" xfId="1368"/>
    <cellStyle name="20% - akcent 1 2 4 3 4 2 2" xfId="1369"/>
    <cellStyle name="20% - akcent 1 2 4 3 4 3" xfId="1370"/>
    <cellStyle name="20% - akcent 1 2 4 3 5" xfId="1371"/>
    <cellStyle name="20% - akcent 1 2 4 3 5 2" xfId="1372"/>
    <cellStyle name="20% - akcent 1 2 4 3 5 2 2" xfId="1373"/>
    <cellStyle name="20% - akcent 1 2 4 3 5 3" xfId="1374"/>
    <cellStyle name="20% - akcent 1 2 4 3 6" xfId="1375"/>
    <cellStyle name="20% - akcent 1 2 4 3 6 2" xfId="1376"/>
    <cellStyle name="20% - akcent 1 2 4 3 7" xfId="1377"/>
    <cellStyle name="20% - akcent 1 2 4 4" xfId="1378"/>
    <cellStyle name="20% - akcent 1 2 4 4 2" xfId="1379"/>
    <cellStyle name="20% - akcent 1 2 4 4 2 2" xfId="1380"/>
    <cellStyle name="20% - akcent 1 2 4 4 2 2 2" xfId="1381"/>
    <cellStyle name="20% - akcent 1 2 4 4 2 3" xfId="1382"/>
    <cellStyle name="20% - akcent 1 2 4 4 3" xfId="1383"/>
    <cellStyle name="20% - akcent 1 2 4 4 3 2" xfId="1384"/>
    <cellStyle name="20% - akcent 1 2 4 4 3 2 2" xfId="1385"/>
    <cellStyle name="20% - akcent 1 2 4 4 3 3" xfId="1386"/>
    <cellStyle name="20% - akcent 1 2 4 4 4" xfId="1387"/>
    <cellStyle name="20% - akcent 1 2 4 4 4 2" xfId="1388"/>
    <cellStyle name="20% - akcent 1 2 4 4 4 2 2" xfId="1389"/>
    <cellStyle name="20% - akcent 1 2 4 4 4 3" xfId="1390"/>
    <cellStyle name="20% - akcent 1 2 4 4 5" xfId="1391"/>
    <cellStyle name="20% - akcent 1 2 4 4 5 2" xfId="1392"/>
    <cellStyle name="20% - akcent 1 2 4 4 6" xfId="1393"/>
    <cellStyle name="20% - akcent 1 2 4 5" xfId="1394"/>
    <cellStyle name="20% - akcent 1 2 4 5 2" xfId="1395"/>
    <cellStyle name="20% - akcent 1 2 4 5 2 2" xfId="1396"/>
    <cellStyle name="20% - akcent 1 2 4 5 2 2 2" xfId="1397"/>
    <cellStyle name="20% - akcent 1 2 4 5 2 3" xfId="1398"/>
    <cellStyle name="20% - akcent 1 2 4 5 3" xfId="1399"/>
    <cellStyle name="20% - akcent 1 2 4 5 3 2" xfId="1400"/>
    <cellStyle name="20% - akcent 1 2 4 5 3 2 2" xfId="1401"/>
    <cellStyle name="20% - akcent 1 2 4 5 3 3" xfId="1402"/>
    <cellStyle name="20% - akcent 1 2 4 5 4" xfId="1403"/>
    <cellStyle name="20% - akcent 1 2 4 5 4 2" xfId="1404"/>
    <cellStyle name="20% - akcent 1 2 4 5 4 2 2" xfId="1405"/>
    <cellStyle name="20% - akcent 1 2 4 5 4 3" xfId="1406"/>
    <cellStyle name="20% - akcent 1 2 4 5 5" xfId="1407"/>
    <cellStyle name="20% - akcent 1 2 4 5 5 2" xfId="1408"/>
    <cellStyle name="20% - akcent 1 2 4 5 6" xfId="1409"/>
    <cellStyle name="20% - akcent 1 2 4 6" xfId="1410"/>
    <cellStyle name="20% - akcent 1 2 4 6 2" xfId="1411"/>
    <cellStyle name="20% - akcent 1 2 4 6 2 2" xfId="1412"/>
    <cellStyle name="20% - akcent 1 2 4 6 2 2 2" xfId="1413"/>
    <cellStyle name="20% - akcent 1 2 4 6 2 3" xfId="1414"/>
    <cellStyle name="20% - akcent 1 2 4 6 3" xfId="1415"/>
    <cellStyle name="20% - akcent 1 2 4 6 3 2" xfId="1416"/>
    <cellStyle name="20% - akcent 1 2 4 6 3 2 2" xfId="1417"/>
    <cellStyle name="20% - akcent 1 2 4 6 3 3" xfId="1418"/>
    <cellStyle name="20% - akcent 1 2 4 6 4" xfId="1419"/>
    <cellStyle name="20% - akcent 1 2 4 6 4 2" xfId="1420"/>
    <cellStyle name="20% - akcent 1 2 4 6 4 2 2" xfId="1421"/>
    <cellStyle name="20% - akcent 1 2 4 6 4 3" xfId="1422"/>
    <cellStyle name="20% - akcent 1 2 4 6 5" xfId="1423"/>
    <cellStyle name="20% - akcent 1 2 4 6 5 2" xfId="1424"/>
    <cellStyle name="20% - akcent 1 2 4 6 6" xfId="1425"/>
    <cellStyle name="20% - akcent 1 2 5" xfId="1426"/>
    <cellStyle name="20% - akcent 1 2 5 2" xfId="1427"/>
    <cellStyle name="20% - akcent 1 2 6" xfId="1428"/>
    <cellStyle name="20% - akcent 1 2 7" xfId="1429"/>
    <cellStyle name="20% - akcent 1 2 8" xfId="1430"/>
    <cellStyle name="20% - akcent 1 2 9" xfId="1431"/>
    <cellStyle name="20% - akcent 1 2_2011'05 Raport PGE_DO-CO2" xfId="1432"/>
    <cellStyle name="20% - akcent 1 3" xfId="1433"/>
    <cellStyle name="20% - akcent 1 3 10" xfId="1434"/>
    <cellStyle name="20% - akcent 1 3 10 2" xfId="1435"/>
    <cellStyle name="20% - akcent 1 3 10 2 2" xfId="1436"/>
    <cellStyle name="20% - akcent 1 3 10 2 2 2" xfId="1437"/>
    <cellStyle name="20% - akcent 1 3 10 2 3" xfId="1438"/>
    <cellStyle name="20% - akcent 1 3 10 3" xfId="1439"/>
    <cellStyle name="20% - akcent 1 3 10 3 2" xfId="1440"/>
    <cellStyle name="20% - akcent 1 3 10 3 2 2" xfId="1441"/>
    <cellStyle name="20% - akcent 1 3 10 3 3" xfId="1442"/>
    <cellStyle name="20% - akcent 1 3 10 4" xfId="1443"/>
    <cellStyle name="20% - akcent 1 3 10 4 2" xfId="1444"/>
    <cellStyle name="20% - akcent 1 3 10 4 2 2" xfId="1445"/>
    <cellStyle name="20% - akcent 1 3 10 4 3" xfId="1446"/>
    <cellStyle name="20% - akcent 1 3 10 5" xfId="1447"/>
    <cellStyle name="20% - akcent 1 3 10 5 2" xfId="1448"/>
    <cellStyle name="20% - akcent 1 3 10 6" xfId="1449"/>
    <cellStyle name="20% - akcent 1 3 2" xfId="1450"/>
    <cellStyle name="20% - akcent 1 3 2 2" xfId="1451"/>
    <cellStyle name="20% - akcent 1 3 2 2 10" xfId="1452"/>
    <cellStyle name="20% - akcent 1 3 2 2 2" xfId="1453"/>
    <cellStyle name="20% - akcent 1 3 2 2 2 2" xfId="1454"/>
    <cellStyle name="20% - akcent 1 3 2 2 2 2 2" xfId="1455"/>
    <cellStyle name="20% - akcent 1 3 2 2 2 2 2 2" xfId="1456"/>
    <cellStyle name="20% - akcent 1 3 2 2 2 2 2 2 2" xfId="1457"/>
    <cellStyle name="20% - akcent 1 3 2 2 2 2 2 2 2 2" xfId="1458"/>
    <cellStyle name="20% - akcent 1 3 2 2 2 2 2 2 3" xfId="1459"/>
    <cellStyle name="20% - akcent 1 3 2 2 2 2 2 3" xfId="1460"/>
    <cellStyle name="20% - akcent 1 3 2 2 2 2 2 3 2" xfId="1461"/>
    <cellStyle name="20% - akcent 1 3 2 2 2 2 2 3 2 2" xfId="1462"/>
    <cellStyle name="20% - akcent 1 3 2 2 2 2 2 3 3" xfId="1463"/>
    <cellStyle name="20% - akcent 1 3 2 2 2 2 2 4" xfId="1464"/>
    <cellStyle name="20% - akcent 1 3 2 2 2 2 2 4 2" xfId="1465"/>
    <cellStyle name="20% - akcent 1 3 2 2 2 2 2 4 2 2" xfId="1466"/>
    <cellStyle name="20% - akcent 1 3 2 2 2 2 2 4 3" xfId="1467"/>
    <cellStyle name="20% - akcent 1 3 2 2 2 2 2 5" xfId="1468"/>
    <cellStyle name="20% - akcent 1 3 2 2 2 2 2 5 2" xfId="1469"/>
    <cellStyle name="20% - akcent 1 3 2 2 2 2 2 6" xfId="1470"/>
    <cellStyle name="20% - akcent 1 3 2 2 2 2 3" xfId="1471"/>
    <cellStyle name="20% - akcent 1 3 2 2 2 2 3 2" xfId="1472"/>
    <cellStyle name="20% - akcent 1 3 2 2 2 2 3 2 2" xfId="1473"/>
    <cellStyle name="20% - akcent 1 3 2 2 2 2 3 3" xfId="1474"/>
    <cellStyle name="20% - akcent 1 3 2 2 2 2 4" xfId="1475"/>
    <cellStyle name="20% - akcent 1 3 2 2 2 2 4 2" xfId="1476"/>
    <cellStyle name="20% - akcent 1 3 2 2 2 2 4 2 2" xfId="1477"/>
    <cellStyle name="20% - akcent 1 3 2 2 2 2 4 3" xfId="1478"/>
    <cellStyle name="20% - akcent 1 3 2 2 2 2 5" xfId="1479"/>
    <cellStyle name="20% - akcent 1 3 2 2 2 2 5 2" xfId="1480"/>
    <cellStyle name="20% - akcent 1 3 2 2 2 2 5 2 2" xfId="1481"/>
    <cellStyle name="20% - akcent 1 3 2 2 2 2 5 3" xfId="1482"/>
    <cellStyle name="20% - akcent 1 3 2 2 2 2 6" xfId="1483"/>
    <cellStyle name="20% - akcent 1 3 2 2 2 2 6 2" xfId="1484"/>
    <cellStyle name="20% - akcent 1 3 2 2 2 2 7" xfId="1485"/>
    <cellStyle name="20% - akcent 1 3 2 2 2 3" xfId="1486"/>
    <cellStyle name="20% - akcent 1 3 2 2 2 3 2" xfId="1487"/>
    <cellStyle name="20% - akcent 1 3 2 2 2 3 2 2" xfId="1488"/>
    <cellStyle name="20% - akcent 1 3 2 2 2 3 2 2 2" xfId="1489"/>
    <cellStyle name="20% - akcent 1 3 2 2 2 3 2 3" xfId="1490"/>
    <cellStyle name="20% - akcent 1 3 2 2 2 3 3" xfId="1491"/>
    <cellStyle name="20% - akcent 1 3 2 2 2 3 3 2" xfId="1492"/>
    <cellStyle name="20% - akcent 1 3 2 2 2 3 3 2 2" xfId="1493"/>
    <cellStyle name="20% - akcent 1 3 2 2 2 3 3 3" xfId="1494"/>
    <cellStyle name="20% - akcent 1 3 2 2 2 3 4" xfId="1495"/>
    <cellStyle name="20% - akcent 1 3 2 2 2 3 4 2" xfId="1496"/>
    <cellStyle name="20% - akcent 1 3 2 2 2 3 4 2 2" xfId="1497"/>
    <cellStyle name="20% - akcent 1 3 2 2 2 3 4 3" xfId="1498"/>
    <cellStyle name="20% - akcent 1 3 2 2 2 3 5" xfId="1499"/>
    <cellStyle name="20% - akcent 1 3 2 2 2 3 5 2" xfId="1500"/>
    <cellStyle name="20% - akcent 1 3 2 2 2 3 6" xfId="1501"/>
    <cellStyle name="20% - akcent 1 3 2 2 2 4" xfId="1502"/>
    <cellStyle name="20% - akcent 1 3 2 2 2 4 2" xfId="1503"/>
    <cellStyle name="20% - akcent 1 3 2 2 2 4 2 2" xfId="1504"/>
    <cellStyle name="20% - akcent 1 3 2 2 2 4 2 2 2" xfId="1505"/>
    <cellStyle name="20% - akcent 1 3 2 2 2 4 2 3" xfId="1506"/>
    <cellStyle name="20% - akcent 1 3 2 2 2 4 3" xfId="1507"/>
    <cellStyle name="20% - akcent 1 3 2 2 2 4 3 2" xfId="1508"/>
    <cellStyle name="20% - akcent 1 3 2 2 2 4 3 2 2" xfId="1509"/>
    <cellStyle name="20% - akcent 1 3 2 2 2 4 3 3" xfId="1510"/>
    <cellStyle name="20% - akcent 1 3 2 2 2 4 4" xfId="1511"/>
    <cellStyle name="20% - akcent 1 3 2 2 2 4 4 2" xfId="1512"/>
    <cellStyle name="20% - akcent 1 3 2 2 2 4 4 2 2" xfId="1513"/>
    <cellStyle name="20% - akcent 1 3 2 2 2 4 4 3" xfId="1514"/>
    <cellStyle name="20% - akcent 1 3 2 2 2 4 5" xfId="1515"/>
    <cellStyle name="20% - akcent 1 3 2 2 2 4 5 2" xfId="1516"/>
    <cellStyle name="20% - akcent 1 3 2 2 2 4 6" xfId="1517"/>
    <cellStyle name="20% - akcent 1 3 2 2 2 5" xfId="1518"/>
    <cellStyle name="20% - akcent 1 3 2 2 2 5 2" xfId="1519"/>
    <cellStyle name="20% - akcent 1 3 2 2 2 5 2 2" xfId="1520"/>
    <cellStyle name="20% - akcent 1 3 2 2 2 5 3" xfId="1521"/>
    <cellStyle name="20% - akcent 1 3 2 2 2 6" xfId="1522"/>
    <cellStyle name="20% - akcent 1 3 2 2 2 6 2" xfId="1523"/>
    <cellStyle name="20% - akcent 1 3 2 2 2 6 2 2" xfId="1524"/>
    <cellStyle name="20% - akcent 1 3 2 2 2 6 3" xfId="1525"/>
    <cellStyle name="20% - akcent 1 3 2 2 2 7" xfId="1526"/>
    <cellStyle name="20% - akcent 1 3 2 2 2 7 2" xfId="1527"/>
    <cellStyle name="20% - akcent 1 3 2 2 2 7 2 2" xfId="1528"/>
    <cellStyle name="20% - akcent 1 3 2 2 2 7 3" xfId="1529"/>
    <cellStyle name="20% - akcent 1 3 2 2 2 8" xfId="1530"/>
    <cellStyle name="20% - akcent 1 3 2 2 2 8 2" xfId="1531"/>
    <cellStyle name="20% - akcent 1 3 2 2 2 9" xfId="1532"/>
    <cellStyle name="20% - akcent 1 3 2 2 3" xfId="1533"/>
    <cellStyle name="20% - akcent 1 3 2 2 3 2" xfId="1534"/>
    <cellStyle name="20% - akcent 1 3 2 2 3 2 2" xfId="1535"/>
    <cellStyle name="20% - akcent 1 3 2 2 3 2 2 2" xfId="1536"/>
    <cellStyle name="20% - akcent 1 3 2 2 3 2 2 2 2" xfId="1537"/>
    <cellStyle name="20% - akcent 1 3 2 2 3 2 2 3" xfId="1538"/>
    <cellStyle name="20% - akcent 1 3 2 2 3 2 3" xfId="1539"/>
    <cellStyle name="20% - akcent 1 3 2 2 3 2 3 2" xfId="1540"/>
    <cellStyle name="20% - akcent 1 3 2 2 3 2 3 2 2" xfId="1541"/>
    <cellStyle name="20% - akcent 1 3 2 2 3 2 3 3" xfId="1542"/>
    <cellStyle name="20% - akcent 1 3 2 2 3 2 4" xfId="1543"/>
    <cellStyle name="20% - akcent 1 3 2 2 3 2 4 2" xfId="1544"/>
    <cellStyle name="20% - akcent 1 3 2 2 3 2 4 2 2" xfId="1545"/>
    <cellStyle name="20% - akcent 1 3 2 2 3 2 4 3" xfId="1546"/>
    <cellStyle name="20% - akcent 1 3 2 2 3 2 5" xfId="1547"/>
    <cellStyle name="20% - akcent 1 3 2 2 3 2 5 2" xfId="1548"/>
    <cellStyle name="20% - akcent 1 3 2 2 3 2 6" xfId="1549"/>
    <cellStyle name="20% - akcent 1 3 2 2 3 3" xfId="1550"/>
    <cellStyle name="20% - akcent 1 3 2 2 3 3 2" xfId="1551"/>
    <cellStyle name="20% - akcent 1 3 2 2 3 3 2 2" xfId="1552"/>
    <cellStyle name="20% - akcent 1 3 2 2 3 3 3" xfId="1553"/>
    <cellStyle name="20% - akcent 1 3 2 2 3 4" xfId="1554"/>
    <cellStyle name="20% - akcent 1 3 2 2 3 4 2" xfId="1555"/>
    <cellStyle name="20% - akcent 1 3 2 2 3 4 2 2" xfId="1556"/>
    <cellStyle name="20% - akcent 1 3 2 2 3 4 3" xfId="1557"/>
    <cellStyle name="20% - akcent 1 3 2 2 3 5" xfId="1558"/>
    <cellStyle name="20% - akcent 1 3 2 2 3 5 2" xfId="1559"/>
    <cellStyle name="20% - akcent 1 3 2 2 3 5 2 2" xfId="1560"/>
    <cellStyle name="20% - akcent 1 3 2 2 3 5 3" xfId="1561"/>
    <cellStyle name="20% - akcent 1 3 2 2 3 6" xfId="1562"/>
    <cellStyle name="20% - akcent 1 3 2 2 3 6 2" xfId="1563"/>
    <cellStyle name="20% - akcent 1 3 2 2 3 7" xfId="1564"/>
    <cellStyle name="20% - akcent 1 3 2 2 4" xfId="1565"/>
    <cellStyle name="20% - akcent 1 3 2 2 4 2" xfId="1566"/>
    <cellStyle name="20% - akcent 1 3 2 2 4 2 2" xfId="1567"/>
    <cellStyle name="20% - akcent 1 3 2 2 4 2 2 2" xfId="1568"/>
    <cellStyle name="20% - akcent 1 3 2 2 4 2 3" xfId="1569"/>
    <cellStyle name="20% - akcent 1 3 2 2 4 3" xfId="1570"/>
    <cellStyle name="20% - akcent 1 3 2 2 4 3 2" xfId="1571"/>
    <cellStyle name="20% - akcent 1 3 2 2 4 3 2 2" xfId="1572"/>
    <cellStyle name="20% - akcent 1 3 2 2 4 3 3" xfId="1573"/>
    <cellStyle name="20% - akcent 1 3 2 2 4 4" xfId="1574"/>
    <cellStyle name="20% - akcent 1 3 2 2 4 4 2" xfId="1575"/>
    <cellStyle name="20% - akcent 1 3 2 2 4 4 2 2" xfId="1576"/>
    <cellStyle name="20% - akcent 1 3 2 2 4 4 3" xfId="1577"/>
    <cellStyle name="20% - akcent 1 3 2 2 4 5" xfId="1578"/>
    <cellStyle name="20% - akcent 1 3 2 2 4 5 2" xfId="1579"/>
    <cellStyle name="20% - akcent 1 3 2 2 4 6" xfId="1580"/>
    <cellStyle name="20% - akcent 1 3 2 2 5" xfId="1581"/>
    <cellStyle name="20% - akcent 1 3 2 2 5 2" xfId="1582"/>
    <cellStyle name="20% - akcent 1 3 2 2 5 2 2" xfId="1583"/>
    <cellStyle name="20% - akcent 1 3 2 2 5 2 2 2" xfId="1584"/>
    <cellStyle name="20% - akcent 1 3 2 2 5 2 3" xfId="1585"/>
    <cellStyle name="20% - akcent 1 3 2 2 5 3" xfId="1586"/>
    <cellStyle name="20% - akcent 1 3 2 2 5 3 2" xfId="1587"/>
    <cellStyle name="20% - akcent 1 3 2 2 5 3 2 2" xfId="1588"/>
    <cellStyle name="20% - akcent 1 3 2 2 5 3 3" xfId="1589"/>
    <cellStyle name="20% - akcent 1 3 2 2 5 4" xfId="1590"/>
    <cellStyle name="20% - akcent 1 3 2 2 5 4 2" xfId="1591"/>
    <cellStyle name="20% - akcent 1 3 2 2 5 4 2 2" xfId="1592"/>
    <cellStyle name="20% - akcent 1 3 2 2 5 4 3" xfId="1593"/>
    <cellStyle name="20% - akcent 1 3 2 2 5 5" xfId="1594"/>
    <cellStyle name="20% - akcent 1 3 2 2 5 5 2" xfId="1595"/>
    <cellStyle name="20% - akcent 1 3 2 2 5 6" xfId="1596"/>
    <cellStyle name="20% - akcent 1 3 2 2 6" xfId="1597"/>
    <cellStyle name="20% - akcent 1 3 2 2 6 2" xfId="1598"/>
    <cellStyle name="20% - akcent 1 3 2 2 6 2 2" xfId="1599"/>
    <cellStyle name="20% - akcent 1 3 2 2 6 3" xfId="1600"/>
    <cellStyle name="20% - akcent 1 3 2 2 7" xfId="1601"/>
    <cellStyle name="20% - akcent 1 3 2 2 7 2" xfId="1602"/>
    <cellStyle name="20% - akcent 1 3 2 2 7 2 2" xfId="1603"/>
    <cellStyle name="20% - akcent 1 3 2 2 7 3" xfId="1604"/>
    <cellStyle name="20% - akcent 1 3 2 2 8" xfId="1605"/>
    <cellStyle name="20% - akcent 1 3 2 2 8 2" xfId="1606"/>
    <cellStyle name="20% - akcent 1 3 2 2 8 2 2" xfId="1607"/>
    <cellStyle name="20% - akcent 1 3 2 2 8 3" xfId="1608"/>
    <cellStyle name="20% - akcent 1 3 2 2 9" xfId="1609"/>
    <cellStyle name="20% - akcent 1 3 2 2 9 2" xfId="1610"/>
    <cellStyle name="20% - akcent 1 3 2 3" xfId="1611"/>
    <cellStyle name="20% - akcent 1 3 2 3 2" xfId="1612"/>
    <cellStyle name="20% - akcent 1 3 2 3 2 2" xfId="1613"/>
    <cellStyle name="20% - akcent 1 3 2 3 2 2 2" xfId="1614"/>
    <cellStyle name="20% - akcent 1 3 2 3 2 2 2 2" xfId="1615"/>
    <cellStyle name="20% - akcent 1 3 2 3 2 2 2 2 2" xfId="1616"/>
    <cellStyle name="20% - akcent 1 3 2 3 2 2 2 3" xfId="1617"/>
    <cellStyle name="20% - akcent 1 3 2 3 2 2 3" xfId="1618"/>
    <cellStyle name="20% - akcent 1 3 2 3 2 2 3 2" xfId="1619"/>
    <cellStyle name="20% - akcent 1 3 2 3 2 2 3 2 2" xfId="1620"/>
    <cellStyle name="20% - akcent 1 3 2 3 2 2 3 3" xfId="1621"/>
    <cellStyle name="20% - akcent 1 3 2 3 2 2 4" xfId="1622"/>
    <cellStyle name="20% - akcent 1 3 2 3 2 2 4 2" xfId="1623"/>
    <cellStyle name="20% - akcent 1 3 2 3 2 2 4 2 2" xfId="1624"/>
    <cellStyle name="20% - akcent 1 3 2 3 2 2 4 3" xfId="1625"/>
    <cellStyle name="20% - akcent 1 3 2 3 2 2 5" xfId="1626"/>
    <cellStyle name="20% - akcent 1 3 2 3 2 2 5 2" xfId="1627"/>
    <cellStyle name="20% - akcent 1 3 2 3 2 2 6" xfId="1628"/>
    <cellStyle name="20% - akcent 1 3 2 3 2 3" xfId="1629"/>
    <cellStyle name="20% - akcent 1 3 2 3 2 3 2" xfId="1630"/>
    <cellStyle name="20% - akcent 1 3 2 3 2 3 2 2" xfId="1631"/>
    <cellStyle name="20% - akcent 1 3 2 3 2 3 3" xfId="1632"/>
    <cellStyle name="20% - akcent 1 3 2 3 2 4" xfId="1633"/>
    <cellStyle name="20% - akcent 1 3 2 3 2 4 2" xfId="1634"/>
    <cellStyle name="20% - akcent 1 3 2 3 2 4 2 2" xfId="1635"/>
    <cellStyle name="20% - akcent 1 3 2 3 2 4 3" xfId="1636"/>
    <cellStyle name="20% - akcent 1 3 2 3 2 5" xfId="1637"/>
    <cellStyle name="20% - akcent 1 3 2 3 2 5 2" xfId="1638"/>
    <cellStyle name="20% - akcent 1 3 2 3 2 5 2 2" xfId="1639"/>
    <cellStyle name="20% - akcent 1 3 2 3 2 5 3" xfId="1640"/>
    <cellStyle name="20% - akcent 1 3 2 3 2 6" xfId="1641"/>
    <cellStyle name="20% - akcent 1 3 2 3 2 6 2" xfId="1642"/>
    <cellStyle name="20% - akcent 1 3 2 3 2 7" xfId="1643"/>
    <cellStyle name="20% - akcent 1 3 2 3 3" xfId="1644"/>
    <cellStyle name="20% - akcent 1 3 2 3 3 2" xfId="1645"/>
    <cellStyle name="20% - akcent 1 3 2 3 3 2 2" xfId="1646"/>
    <cellStyle name="20% - akcent 1 3 2 3 3 2 2 2" xfId="1647"/>
    <cellStyle name="20% - akcent 1 3 2 3 3 2 3" xfId="1648"/>
    <cellStyle name="20% - akcent 1 3 2 3 3 3" xfId="1649"/>
    <cellStyle name="20% - akcent 1 3 2 3 3 3 2" xfId="1650"/>
    <cellStyle name="20% - akcent 1 3 2 3 3 3 2 2" xfId="1651"/>
    <cellStyle name="20% - akcent 1 3 2 3 3 3 3" xfId="1652"/>
    <cellStyle name="20% - akcent 1 3 2 3 3 4" xfId="1653"/>
    <cellStyle name="20% - akcent 1 3 2 3 3 4 2" xfId="1654"/>
    <cellStyle name="20% - akcent 1 3 2 3 3 4 2 2" xfId="1655"/>
    <cellStyle name="20% - akcent 1 3 2 3 3 4 3" xfId="1656"/>
    <cellStyle name="20% - akcent 1 3 2 3 3 5" xfId="1657"/>
    <cellStyle name="20% - akcent 1 3 2 3 3 5 2" xfId="1658"/>
    <cellStyle name="20% - akcent 1 3 2 3 3 6" xfId="1659"/>
    <cellStyle name="20% - akcent 1 3 2 3 4" xfId="1660"/>
    <cellStyle name="20% - akcent 1 3 2 3 4 2" xfId="1661"/>
    <cellStyle name="20% - akcent 1 3 2 3 4 2 2" xfId="1662"/>
    <cellStyle name="20% - akcent 1 3 2 3 4 2 2 2" xfId="1663"/>
    <cellStyle name="20% - akcent 1 3 2 3 4 2 3" xfId="1664"/>
    <cellStyle name="20% - akcent 1 3 2 3 4 3" xfId="1665"/>
    <cellStyle name="20% - akcent 1 3 2 3 4 3 2" xfId="1666"/>
    <cellStyle name="20% - akcent 1 3 2 3 4 3 2 2" xfId="1667"/>
    <cellStyle name="20% - akcent 1 3 2 3 4 3 3" xfId="1668"/>
    <cellStyle name="20% - akcent 1 3 2 3 4 4" xfId="1669"/>
    <cellStyle name="20% - akcent 1 3 2 3 4 4 2" xfId="1670"/>
    <cellStyle name="20% - akcent 1 3 2 3 4 4 2 2" xfId="1671"/>
    <cellStyle name="20% - akcent 1 3 2 3 4 4 3" xfId="1672"/>
    <cellStyle name="20% - akcent 1 3 2 3 4 5" xfId="1673"/>
    <cellStyle name="20% - akcent 1 3 2 3 4 5 2" xfId="1674"/>
    <cellStyle name="20% - akcent 1 3 2 3 4 6" xfId="1675"/>
    <cellStyle name="20% - akcent 1 3 2 3 5" xfId="1676"/>
    <cellStyle name="20% - akcent 1 3 2 3 5 2" xfId="1677"/>
    <cellStyle name="20% - akcent 1 3 2 3 5 2 2" xfId="1678"/>
    <cellStyle name="20% - akcent 1 3 2 3 5 3" xfId="1679"/>
    <cellStyle name="20% - akcent 1 3 2 3 6" xfId="1680"/>
    <cellStyle name="20% - akcent 1 3 2 3 6 2" xfId="1681"/>
    <cellStyle name="20% - akcent 1 3 2 3 6 2 2" xfId="1682"/>
    <cellStyle name="20% - akcent 1 3 2 3 6 3" xfId="1683"/>
    <cellStyle name="20% - akcent 1 3 2 3 7" xfId="1684"/>
    <cellStyle name="20% - akcent 1 3 2 3 7 2" xfId="1685"/>
    <cellStyle name="20% - akcent 1 3 2 3 7 2 2" xfId="1686"/>
    <cellStyle name="20% - akcent 1 3 2 3 7 3" xfId="1687"/>
    <cellStyle name="20% - akcent 1 3 2 3 8" xfId="1688"/>
    <cellStyle name="20% - akcent 1 3 2 3 8 2" xfId="1689"/>
    <cellStyle name="20% - akcent 1 3 2 3 9" xfId="1690"/>
    <cellStyle name="20% - akcent 1 3 2 4" xfId="1691"/>
    <cellStyle name="20% - akcent 1 3 2 4 2" xfId="1692"/>
    <cellStyle name="20% - akcent 1 3 2 4 2 2" xfId="1693"/>
    <cellStyle name="20% - akcent 1 3 2 4 2 2 2" xfId="1694"/>
    <cellStyle name="20% - akcent 1 3 2 4 2 2 2 2" xfId="1695"/>
    <cellStyle name="20% - akcent 1 3 2 4 2 2 3" xfId="1696"/>
    <cellStyle name="20% - akcent 1 3 2 4 2 3" xfId="1697"/>
    <cellStyle name="20% - akcent 1 3 2 4 2 3 2" xfId="1698"/>
    <cellStyle name="20% - akcent 1 3 2 4 2 3 2 2" xfId="1699"/>
    <cellStyle name="20% - akcent 1 3 2 4 2 3 3" xfId="1700"/>
    <cellStyle name="20% - akcent 1 3 2 4 2 4" xfId="1701"/>
    <cellStyle name="20% - akcent 1 3 2 4 2 4 2" xfId="1702"/>
    <cellStyle name="20% - akcent 1 3 2 4 2 4 2 2" xfId="1703"/>
    <cellStyle name="20% - akcent 1 3 2 4 2 4 3" xfId="1704"/>
    <cellStyle name="20% - akcent 1 3 2 4 2 5" xfId="1705"/>
    <cellStyle name="20% - akcent 1 3 2 4 2 5 2" xfId="1706"/>
    <cellStyle name="20% - akcent 1 3 2 4 2 6" xfId="1707"/>
    <cellStyle name="20% - akcent 1 3 2 4 3" xfId="1708"/>
    <cellStyle name="20% - akcent 1 3 2 4 3 2" xfId="1709"/>
    <cellStyle name="20% - akcent 1 3 2 4 3 2 2" xfId="1710"/>
    <cellStyle name="20% - akcent 1 3 2 4 3 3" xfId="1711"/>
    <cellStyle name="20% - akcent 1 3 2 4 4" xfId="1712"/>
    <cellStyle name="20% - akcent 1 3 2 4 4 2" xfId="1713"/>
    <cellStyle name="20% - akcent 1 3 2 4 4 2 2" xfId="1714"/>
    <cellStyle name="20% - akcent 1 3 2 4 4 3" xfId="1715"/>
    <cellStyle name="20% - akcent 1 3 2 4 5" xfId="1716"/>
    <cellStyle name="20% - akcent 1 3 2 4 5 2" xfId="1717"/>
    <cellStyle name="20% - akcent 1 3 2 4 5 2 2" xfId="1718"/>
    <cellStyle name="20% - akcent 1 3 2 4 5 3" xfId="1719"/>
    <cellStyle name="20% - akcent 1 3 2 4 6" xfId="1720"/>
    <cellStyle name="20% - akcent 1 3 2 4 6 2" xfId="1721"/>
    <cellStyle name="20% - akcent 1 3 2 4 7" xfId="1722"/>
    <cellStyle name="20% - akcent 1 3 2 5" xfId="1723"/>
    <cellStyle name="20% - akcent 1 3 2 5 2" xfId="1724"/>
    <cellStyle name="20% - akcent 1 3 2 5 2 2" xfId="1725"/>
    <cellStyle name="20% - akcent 1 3 2 5 2 2 2" xfId="1726"/>
    <cellStyle name="20% - akcent 1 3 2 5 2 3" xfId="1727"/>
    <cellStyle name="20% - akcent 1 3 2 5 3" xfId="1728"/>
    <cellStyle name="20% - akcent 1 3 2 5 3 2" xfId="1729"/>
    <cellStyle name="20% - akcent 1 3 2 5 3 2 2" xfId="1730"/>
    <cellStyle name="20% - akcent 1 3 2 5 3 3" xfId="1731"/>
    <cellStyle name="20% - akcent 1 3 2 5 4" xfId="1732"/>
    <cellStyle name="20% - akcent 1 3 2 5 4 2" xfId="1733"/>
    <cellStyle name="20% - akcent 1 3 2 5 4 2 2" xfId="1734"/>
    <cellStyle name="20% - akcent 1 3 2 5 4 3" xfId="1735"/>
    <cellStyle name="20% - akcent 1 3 2 5 5" xfId="1736"/>
    <cellStyle name="20% - akcent 1 3 2 5 5 2" xfId="1737"/>
    <cellStyle name="20% - akcent 1 3 2 5 6" xfId="1738"/>
    <cellStyle name="20% - akcent 1 3 2 6" xfId="1739"/>
    <cellStyle name="20% - akcent 1 3 2 6 2" xfId="1740"/>
    <cellStyle name="20% - akcent 1 3 2 6 2 2" xfId="1741"/>
    <cellStyle name="20% - akcent 1 3 2 6 2 2 2" xfId="1742"/>
    <cellStyle name="20% - akcent 1 3 2 6 2 3" xfId="1743"/>
    <cellStyle name="20% - akcent 1 3 2 6 3" xfId="1744"/>
    <cellStyle name="20% - akcent 1 3 2 6 3 2" xfId="1745"/>
    <cellStyle name="20% - akcent 1 3 2 6 3 2 2" xfId="1746"/>
    <cellStyle name="20% - akcent 1 3 2 6 3 3" xfId="1747"/>
    <cellStyle name="20% - akcent 1 3 2 6 4" xfId="1748"/>
    <cellStyle name="20% - akcent 1 3 2 6 4 2" xfId="1749"/>
    <cellStyle name="20% - akcent 1 3 2 6 4 2 2" xfId="1750"/>
    <cellStyle name="20% - akcent 1 3 2 6 4 3" xfId="1751"/>
    <cellStyle name="20% - akcent 1 3 2 6 5" xfId="1752"/>
    <cellStyle name="20% - akcent 1 3 2 6 5 2" xfId="1753"/>
    <cellStyle name="20% - akcent 1 3 2 6 6" xfId="1754"/>
    <cellStyle name="20% - akcent 1 3 2 7" xfId="1755"/>
    <cellStyle name="20% - akcent 1 3 2 8" xfId="1756"/>
    <cellStyle name="20% - akcent 1 3 2 8 2" xfId="1757"/>
    <cellStyle name="20% - akcent 1 3 2 8 2 2" xfId="1758"/>
    <cellStyle name="20% - akcent 1 3 2 8 2 2 2" xfId="1759"/>
    <cellStyle name="20% - akcent 1 3 2 8 2 3" xfId="1760"/>
    <cellStyle name="20% - akcent 1 3 2 8 3" xfId="1761"/>
    <cellStyle name="20% - akcent 1 3 2 8 3 2" xfId="1762"/>
    <cellStyle name="20% - akcent 1 3 2 8 3 2 2" xfId="1763"/>
    <cellStyle name="20% - akcent 1 3 2 8 3 3" xfId="1764"/>
    <cellStyle name="20% - akcent 1 3 2 8 4" xfId="1765"/>
    <cellStyle name="20% - akcent 1 3 2 8 4 2" xfId="1766"/>
    <cellStyle name="20% - akcent 1 3 2 8 4 2 2" xfId="1767"/>
    <cellStyle name="20% - akcent 1 3 2 8 4 3" xfId="1768"/>
    <cellStyle name="20% - akcent 1 3 2 8 5" xfId="1769"/>
    <cellStyle name="20% - akcent 1 3 2 8 5 2" xfId="1770"/>
    <cellStyle name="20% - akcent 1 3 2 8 6" xfId="1771"/>
    <cellStyle name="20% - akcent 1 3 3" xfId="1772"/>
    <cellStyle name="20% - akcent 1 3 3 2" xfId="1773"/>
    <cellStyle name="20% - akcent 1 3 3 2 2" xfId="1774"/>
    <cellStyle name="20% - akcent 1 3 3 2 2 2" xfId="1775"/>
    <cellStyle name="20% - akcent 1 3 3 2 2 2 2" xfId="1776"/>
    <cellStyle name="20% - akcent 1 3 3 2 2 2 2 2" xfId="1777"/>
    <cellStyle name="20% - akcent 1 3 3 2 2 2 2 2 2" xfId="1778"/>
    <cellStyle name="20% - akcent 1 3 3 2 2 2 2 3" xfId="1779"/>
    <cellStyle name="20% - akcent 1 3 3 2 2 2 3" xfId="1780"/>
    <cellStyle name="20% - akcent 1 3 3 2 2 2 3 2" xfId="1781"/>
    <cellStyle name="20% - akcent 1 3 3 2 2 2 3 2 2" xfId="1782"/>
    <cellStyle name="20% - akcent 1 3 3 2 2 2 3 3" xfId="1783"/>
    <cellStyle name="20% - akcent 1 3 3 2 2 2 4" xfId="1784"/>
    <cellStyle name="20% - akcent 1 3 3 2 2 2 4 2" xfId="1785"/>
    <cellStyle name="20% - akcent 1 3 3 2 2 2 4 2 2" xfId="1786"/>
    <cellStyle name="20% - akcent 1 3 3 2 2 2 4 3" xfId="1787"/>
    <cellStyle name="20% - akcent 1 3 3 2 2 2 5" xfId="1788"/>
    <cellStyle name="20% - akcent 1 3 3 2 2 2 5 2" xfId="1789"/>
    <cellStyle name="20% - akcent 1 3 3 2 2 2 6" xfId="1790"/>
    <cellStyle name="20% - akcent 1 3 3 2 2 3" xfId="1791"/>
    <cellStyle name="20% - akcent 1 3 3 2 2 3 2" xfId="1792"/>
    <cellStyle name="20% - akcent 1 3 3 2 2 3 2 2" xfId="1793"/>
    <cellStyle name="20% - akcent 1 3 3 2 2 3 3" xfId="1794"/>
    <cellStyle name="20% - akcent 1 3 3 2 2 4" xfId="1795"/>
    <cellStyle name="20% - akcent 1 3 3 2 2 4 2" xfId="1796"/>
    <cellStyle name="20% - akcent 1 3 3 2 2 4 2 2" xfId="1797"/>
    <cellStyle name="20% - akcent 1 3 3 2 2 4 3" xfId="1798"/>
    <cellStyle name="20% - akcent 1 3 3 2 2 5" xfId="1799"/>
    <cellStyle name="20% - akcent 1 3 3 2 2 5 2" xfId="1800"/>
    <cellStyle name="20% - akcent 1 3 3 2 2 5 2 2" xfId="1801"/>
    <cellStyle name="20% - akcent 1 3 3 2 2 5 3" xfId="1802"/>
    <cellStyle name="20% - akcent 1 3 3 2 2 6" xfId="1803"/>
    <cellStyle name="20% - akcent 1 3 3 2 2 6 2" xfId="1804"/>
    <cellStyle name="20% - akcent 1 3 3 2 2 7" xfId="1805"/>
    <cellStyle name="20% - akcent 1 3 3 2 3" xfId="1806"/>
    <cellStyle name="20% - akcent 1 3 3 2 3 2" xfId="1807"/>
    <cellStyle name="20% - akcent 1 3 3 2 3 2 2" xfId="1808"/>
    <cellStyle name="20% - akcent 1 3 3 2 3 2 2 2" xfId="1809"/>
    <cellStyle name="20% - akcent 1 3 3 2 3 2 3" xfId="1810"/>
    <cellStyle name="20% - akcent 1 3 3 2 3 3" xfId="1811"/>
    <cellStyle name="20% - akcent 1 3 3 2 3 3 2" xfId="1812"/>
    <cellStyle name="20% - akcent 1 3 3 2 3 3 2 2" xfId="1813"/>
    <cellStyle name="20% - akcent 1 3 3 2 3 3 3" xfId="1814"/>
    <cellStyle name="20% - akcent 1 3 3 2 3 4" xfId="1815"/>
    <cellStyle name="20% - akcent 1 3 3 2 3 4 2" xfId="1816"/>
    <cellStyle name="20% - akcent 1 3 3 2 3 4 2 2" xfId="1817"/>
    <cellStyle name="20% - akcent 1 3 3 2 3 4 3" xfId="1818"/>
    <cellStyle name="20% - akcent 1 3 3 2 3 5" xfId="1819"/>
    <cellStyle name="20% - akcent 1 3 3 2 3 5 2" xfId="1820"/>
    <cellStyle name="20% - akcent 1 3 3 2 3 6" xfId="1821"/>
    <cellStyle name="20% - akcent 1 3 3 2 4" xfId="1822"/>
    <cellStyle name="20% - akcent 1 3 3 2 4 2" xfId="1823"/>
    <cellStyle name="20% - akcent 1 3 3 2 4 2 2" xfId="1824"/>
    <cellStyle name="20% - akcent 1 3 3 2 4 2 2 2" xfId="1825"/>
    <cellStyle name="20% - akcent 1 3 3 2 4 2 3" xfId="1826"/>
    <cellStyle name="20% - akcent 1 3 3 2 4 3" xfId="1827"/>
    <cellStyle name="20% - akcent 1 3 3 2 4 3 2" xfId="1828"/>
    <cellStyle name="20% - akcent 1 3 3 2 4 3 2 2" xfId="1829"/>
    <cellStyle name="20% - akcent 1 3 3 2 4 3 3" xfId="1830"/>
    <cellStyle name="20% - akcent 1 3 3 2 4 4" xfId="1831"/>
    <cellStyle name="20% - akcent 1 3 3 2 4 4 2" xfId="1832"/>
    <cellStyle name="20% - akcent 1 3 3 2 4 4 2 2" xfId="1833"/>
    <cellStyle name="20% - akcent 1 3 3 2 4 4 3" xfId="1834"/>
    <cellStyle name="20% - akcent 1 3 3 2 4 5" xfId="1835"/>
    <cellStyle name="20% - akcent 1 3 3 2 4 5 2" xfId="1836"/>
    <cellStyle name="20% - akcent 1 3 3 2 4 6" xfId="1837"/>
    <cellStyle name="20% - akcent 1 3 3 2 5" xfId="1838"/>
    <cellStyle name="20% - akcent 1 3 3 2 5 2" xfId="1839"/>
    <cellStyle name="20% - akcent 1 3 3 2 5 2 2" xfId="1840"/>
    <cellStyle name="20% - akcent 1 3 3 2 5 3" xfId="1841"/>
    <cellStyle name="20% - akcent 1 3 3 2 6" xfId="1842"/>
    <cellStyle name="20% - akcent 1 3 3 2 6 2" xfId="1843"/>
    <cellStyle name="20% - akcent 1 3 3 2 6 2 2" xfId="1844"/>
    <cellStyle name="20% - akcent 1 3 3 2 6 3" xfId="1845"/>
    <cellStyle name="20% - akcent 1 3 3 2 7" xfId="1846"/>
    <cellStyle name="20% - akcent 1 3 3 2 7 2" xfId="1847"/>
    <cellStyle name="20% - akcent 1 3 3 2 7 2 2" xfId="1848"/>
    <cellStyle name="20% - akcent 1 3 3 2 7 3" xfId="1849"/>
    <cellStyle name="20% - akcent 1 3 3 2 8" xfId="1850"/>
    <cellStyle name="20% - akcent 1 3 3 2 8 2" xfId="1851"/>
    <cellStyle name="20% - akcent 1 3 3 2 9" xfId="1852"/>
    <cellStyle name="20% - akcent 1 3 3 3" xfId="1853"/>
    <cellStyle name="20% - akcent 1 3 3 3 2" xfId="1854"/>
    <cellStyle name="20% - akcent 1 3 3 3 2 2" xfId="1855"/>
    <cellStyle name="20% - akcent 1 3 3 3 2 2 2" xfId="1856"/>
    <cellStyle name="20% - akcent 1 3 3 3 2 2 2 2" xfId="1857"/>
    <cellStyle name="20% - akcent 1 3 3 3 2 2 3" xfId="1858"/>
    <cellStyle name="20% - akcent 1 3 3 3 2 3" xfId="1859"/>
    <cellStyle name="20% - akcent 1 3 3 3 2 3 2" xfId="1860"/>
    <cellStyle name="20% - akcent 1 3 3 3 2 3 2 2" xfId="1861"/>
    <cellStyle name="20% - akcent 1 3 3 3 2 3 3" xfId="1862"/>
    <cellStyle name="20% - akcent 1 3 3 3 2 4" xfId="1863"/>
    <cellStyle name="20% - akcent 1 3 3 3 2 4 2" xfId="1864"/>
    <cellStyle name="20% - akcent 1 3 3 3 2 4 2 2" xfId="1865"/>
    <cellStyle name="20% - akcent 1 3 3 3 2 4 3" xfId="1866"/>
    <cellStyle name="20% - akcent 1 3 3 3 2 5" xfId="1867"/>
    <cellStyle name="20% - akcent 1 3 3 3 2 5 2" xfId="1868"/>
    <cellStyle name="20% - akcent 1 3 3 3 2 6" xfId="1869"/>
    <cellStyle name="20% - akcent 1 3 3 3 3" xfId="1870"/>
    <cellStyle name="20% - akcent 1 3 3 3 3 2" xfId="1871"/>
    <cellStyle name="20% - akcent 1 3 3 3 3 2 2" xfId="1872"/>
    <cellStyle name="20% - akcent 1 3 3 3 3 3" xfId="1873"/>
    <cellStyle name="20% - akcent 1 3 3 3 4" xfId="1874"/>
    <cellStyle name="20% - akcent 1 3 3 3 4 2" xfId="1875"/>
    <cellStyle name="20% - akcent 1 3 3 3 4 2 2" xfId="1876"/>
    <cellStyle name="20% - akcent 1 3 3 3 4 3" xfId="1877"/>
    <cellStyle name="20% - akcent 1 3 3 3 5" xfId="1878"/>
    <cellStyle name="20% - akcent 1 3 3 3 5 2" xfId="1879"/>
    <cellStyle name="20% - akcent 1 3 3 3 5 2 2" xfId="1880"/>
    <cellStyle name="20% - akcent 1 3 3 3 5 3" xfId="1881"/>
    <cellStyle name="20% - akcent 1 3 3 3 6" xfId="1882"/>
    <cellStyle name="20% - akcent 1 3 3 3 6 2" xfId="1883"/>
    <cellStyle name="20% - akcent 1 3 3 3 7" xfId="1884"/>
    <cellStyle name="20% - akcent 1 3 3 4" xfId="1885"/>
    <cellStyle name="20% - akcent 1 3 3 4 2" xfId="1886"/>
    <cellStyle name="20% - akcent 1 3 3 4 2 2" xfId="1887"/>
    <cellStyle name="20% - akcent 1 3 3 4 2 2 2" xfId="1888"/>
    <cellStyle name="20% - akcent 1 3 3 4 2 3" xfId="1889"/>
    <cellStyle name="20% - akcent 1 3 3 4 3" xfId="1890"/>
    <cellStyle name="20% - akcent 1 3 3 4 3 2" xfId="1891"/>
    <cellStyle name="20% - akcent 1 3 3 4 3 2 2" xfId="1892"/>
    <cellStyle name="20% - akcent 1 3 3 4 3 3" xfId="1893"/>
    <cellStyle name="20% - akcent 1 3 3 4 4" xfId="1894"/>
    <cellStyle name="20% - akcent 1 3 3 4 4 2" xfId="1895"/>
    <cellStyle name="20% - akcent 1 3 3 4 4 2 2" xfId="1896"/>
    <cellStyle name="20% - akcent 1 3 3 4 4 3" xfId="1897"/>
    <cellStyle name="20% - akcent 1 3 3 4 5" xfId="1898"/>
    <cellStyle name="20% - akcent 1 3 3 4 5 2" xfId="1899"/>
    <cellStyle name="20% - akcent 1 3 3 4 6" xfId="1900"/>
    <cellStyle name="20% - akcent 1 3 3 5" xfId="1901"/>
    <cellStyle name="20% - akcent 1 3 3 5 2" xfId="1902"/>
    <cellStyle name="20% - akcent 1 3 3 5 2 2" xfId="1903"/>
    <cellStyle name="20% - akcent 1 3 3 5 2 2 2" xfId="1904"/>
    <cellStyle name="20% - akcent 1 3 3 5 2 3" xfId="1905"/>
    <cellStyle name="20% - akcent 1 3 3 5 3" xfId="1906"/>
    <cellStyle name="20% - akcent 1 3 3 5 3 2" xfId="1907"/>
    <cellStyle name="20% - akcent 1 3 3 5 3 2 2" xfId="1908"/>
    <cellStyle name="20% - akcent 1 3 3 5 3 3" xfId="1909"/>
    <cellStyle name="20% - akcent 1 3 3 5 4" xfId="1910"/>
    <cellStyle name="20% - akcent 1 3 3 5 4 2" xfId="1911"/>
    <cellStyle name="20% - akcent 1 3 3 5 4 2 2" xfId="1912"/>
    <cellStyle name="20% - akcent 1 3 3 5 4 3" xfId="1913"/>
    <cellStyle name="20% - akcent 1 3 3 5 5" xfId="1914"/>
    <cellStyle name="20% - akcent 1 3 3 5 5 2" xfId="1915"/>
    <cellStyle name="20% - akcent 1 3 3 5 6" xfId="1916"/>
    <cellStyle name="20% - akcent 1 3 3 6" xfId="1917"/>
    <cellStyle name="20% - akcent 1 3 3 6 2" xfId="1918"/>
    <cellStyle name="20% - akcent 1 3 3 6 2 2" xfId="1919"/>
    <cellStyle name="20% - akcent 1 3 3 6 2 2 2" xfId="1920"/>
    <cellStyle name="20% - akcent 1 3 3 6 2 3" xfId="1921"/>
    <cellStyle name="20% - akcent 1 3 3 6 3" xfId="1922"/>
    <cellStyle name="20% - akcent 1 3 3 6 3 2" xfId="1923"/>
    <cellStyle name="20% - akcent 1 3 3 6 3 2 2" xfId="1924"/>
    <cellStyle name="20% - akcent 1 3 3 6 3 3" xfId="1925"/>
    <cellStyle name="20% - akcent 1 3 3 6 4" xfId="1926"/>
    <cellStyle name="20% - akcent 1 3 3 6 4 2" xfId="1927"/>
    <cellStyle name="20% - akcent 1 3 3 6 4 2 2" xfId="1928"/>
    <cellStyle name="20% - akcent 1 3 3 6 4 3" xfId="1929"/>
    <cellStyle name="20% - akcent 1 3 3 6 5" xfId="1930"/>
    <cellStyle name="20% - akcent 1 3 3 6 5 2" xfId="1931"/>
    <cellStyle name="20% - akcent 1 3 3 6 6" xfId="1932"/>
    <cellStyle name="20% - akcent 1 3 4" xfId="1933"/>
    <cellStyle name="20% - akcent 1 3 4 10" xfId="1934"/>
    <cellStyle name="20% - akcent 1 3 4 2" xfId="1935"/>
    <cellStyle name="20% - akcent 1 3 4 2 2" xfId="1936"/>
    <cellStyle name="20% - akcent 1 3 4 2 2 2" xfId="1937"/>
    <cellStyle name="20% - akcent 1 3 4 2 2 2 2" xfId="1938"/>
    <cellStyle name="20% - akcent 1 3 4 2 2 2 2 2" xfId="1939"/>
    <cellStyle name="20% - akcent 1 3 4 2 2 2 2 2 2" xfId="1940"/>
    <cellStyle name="20% - akcent 1 3 4 2 2 2 2 3" xfId="1941"/>
    <cellStyle name="20% - akcent 1 3 4 2 2 2 3" xfId="1942"/>
    <cellStyle name="20% - akcent 1 3 4 2 2 2 3 2" xfId="1943"/>
    <cellStyle name="20% - akcent 1 3 4 2 2 2 3 2 2" xfId="1944"/>
    <cellStyle name="20% - akcent 1 3 4 2 2 2 3 3" xfId="1945"/>
    <cellStyle name="20% - akcent 1 3 4 2 2 2 4" xfId="1946"/>
    <cellStyle name="20% - akcent 1 3 4 2 2 2 4 2" xfId="1947"/>
    <cellStyle name="20% - akcent 1 3 4 2 2 2 4 2 2" xfId="1948"/>
    <cellStyle name="20% - akcent 1 3 4 2 2 2 4 3" xfId="1949"/>
    <cellStyle name="20% - akcent 1 3 4 2 2 2 5" xfId="1950"/>
    <cellStyle name="20% - akcent 1 3 4 2 2 2 5 2" xfId="1951"/>
    <cellStyle name="20% - akcent 1 3 4 2 2 2 6" xfId="1952"/>
    <cellStyle name="20% - akcent 1 3 4 2 2 3" xfId="1953"/>
    <cellStyle name="20% - akcent 1 3 4 2 2 3 2" xfId="1954"/>
    <cellStyle name="20% - akcent 1 3 4 2 2 3 2 2" xfId="1955"/>
    <cellStyle name="20% - akcent 1 3 4 2 2 3 3" xfId="1956"/>
    <cellStyle name="20% - akcent 1 3 4 2 2 4" xfId="1957"/>
    <cellStyle name="20% - akcent 1 3 4 2 2 4 2" xfId="1958"/>
    <cellStyle name="20% - akcent 1 3 4 2 2 4 2 2" xfId="1959"/>
    <cellStyle name="20% - akcent 1 3 4 2 2 4 3" xfId="1960"/>
    <cellStyle name="20% - akcent 1 3 4 2 2 5" xfId="1961"/>
    <cellStyle name="20% - akcent 1 3 4 2 2 5 2" xfId="1962"/>
    <cellStyle name="20% - akcent 1 3 4 2 2 5 2 2" xfId="1963"/>
    <cellStyle name="20% - akcent 1 3 4 2 2 5 3" xfId="1964"/>
    <cellStyle name="20% - akcent 1 3 4 2 2 6" xfId="1965"/>
    <cellStyle name="20% - akcent 1 3 4 2 2 6 2" xfId="1966"/>
    <cellStyle name="20% - akcent 1 3 4 2 2 7" xfId="1967"/>
    <cellStyle name="20% - akcent 1 3 4 2 3" xfId="1968"/>
    <cellStyle name="20% - akcent 1 3 4 2 3 2" xfId="1969"/>
    <cellStyle name="20% - akcent 1 3 4 2 3 2 2" xfId="1970"/>
    <cellStyle name="20% - akcent 1 3 4 2 3 2 2 2" xfId="1971"/>
    <cellStyle name="20% - akcent 1 3 4 2 3 2 3" xfId="1972"/>
    <cellStyle name="20% - akcent 1 3 4 2 3 3" xfId="1973"/>
    <cellStyle name="20% - akcent 1 3 4 2 3 3 2" xfId="1974"/>
    <cellStyle name="20% - akcent 1 3 4 2 3 3 2 2" xfId="1975"/>
    <cellStyle name="20% - akcent 1 3 4 2 3 3 3" xfId="1976"/>
    <cellStyle name="20% - akcent 1 3 4 2 3 4" xfId="1977"/>
    <cellStyle name="20% - akcent 1 3 4 2 3 4 2" xfId="1978"/>
    <cellStyle name="20% - akcent 1 3 4 2 3 4 2 2" xfId="1979"/>
    <cellStyle name="20% - akcent 1 3 4 2 3 4 3" xfId="1980"/>
    <cellStyle name="20% - akcent 1 3 4 2 3 5" xfId="1981"/>
    <cellStyle name="20% - akcent 1 3 4 2 3 5 2" xfId="1982"/>
    <cellStyle name="20% - akcent 1 3 4 2 3 6" xfId="1983"/>
    <cellStyle name="20% - akcent 1 3 4 2 4" xfId="1984"/>
    <cellStyle name="20% - akcent 1 3 4 2 4 2" xfId="1985"/>
    <cellStyle name="20% - akcent 1 3 4 2 4 2 2" xfId="1986"/>
    <cellStyle name="20% - akcent 1 3 4 2 4 2 2 2" xfId="1987"/>
    <cellStyle name="20% - akcent 1 3 4 2 4 2 3" xfId="1988"/>
    <cellStyle name="20% - akcent 1 3 4 2 4 3" xfId="1989"/>
    <cellStyle name="20% - akcent 1 3 4 2 4 3 2" xfId="1990"/>
    <cellStyle name="20% - akcent 1 3 4 2 4 3 2 2" xfId="1991"/>
    <cellStyle name="20% - akcent 1 3 4 2 4 3 3" xfId="1992"/>
    <cellStyle name="20% - akcent 1 3 4 2 4 4" xfId="1993"/>
    <cellStyle name="20% - akcent 1 3 4 2 4 4 2" xfId="1994"/>
    <cellStyle name="20% - akcent 1 3 4 2 4 4 2 2" xfId="1995"/>
    <cellStyle name="20% - akcent 1 3 4 2 4 4 3" xfId="1996"/>
    <cellStyle name="20% - akcent 1 3 4 2 4 5" xfId="1997"/>
    <cellStyle name="20% - akcent 1 3 4 2 4 5 2" xfId="1998"/>
    <cellStyle name="20% - akcent 1 3 4 2 4 6" xfId="1999"/>
    <cellStyle name="20% - akcent 1 3 4 2 5" xfId="2000"/>
    <cellStyle name="20% - akcent 1 3 4 2 5 2" xfId="2001"/>
    <cellStyle name="20% - akcent 1 3 4 2 5 2 2" xfId="2002"/>
    <cellStyle name="20% - akcent 1 3 4 2 5 3" xfId="2003"/>
    <cellStyle name="20% - akcent 1 3 4 2 6" xfId="2004"/>
    <cellStyle name="20% - akcent 1 3 4 2 6 2" xfId="2005"/>
    <cellStyle name="20% - akcent 1 3 4 2 6 2 2" xfId="2006"/>
    <cellStyle name="20% - akcent 1 3 4 2 6 3" xfId="2007"/>
    <cellStyle name="20% - akcent 1 3 4 2 7" xfId="2008"/>
    <cellStyle name="20% - akcent 1 3 4 2 7 2" xfId="2009"/>
    <cellStyle name="20% - akcent 1 3 4 2 7 2 2" xfId="2010"/>
    <cellStyle name="20% - akcent 1 3 4 2 7 3" xfId="2011"/>
    <cellStyle name="20% - akcent 1 3 4 2 8" xfId="2012"/>
    <cellStyle name="20% - akcent 1 3 4 2 8 2" xfId="2013"/>
    <cellStyle name="20% - akcent 1 3 4 2 9" xfId="2014"/>
    <cellStyle name="20% - akcent 1 3 4 3" xfId="2015"/>
    <cellStyle name="20% - akcent 1 3 4 3 2" xfId="2016"/>
    <cellStyle name="20% - akcent 1 3 4 3 2 2" xfId="2017"/>
    <cellStyle name="20% - akcent 1 3 4 3 2 2 2" xfId="2018"/>
    <cellStyle name="20% - akcent 1 3 4 3 2 2 2 2" xfId="2019"/>
    <cellStyle name="20% - akcent 1 3 4 3 2 2 3" xfId="2020"/>
    <cellStyle name="20% - akcent 1 3 4 3 2 3" xfId="2021"/>
    <cellStyle name="20% - akcent 1 3 4 3 2 3 2" xfId="2022"/>
    <cellStyle name="20% - akcent 1 3 4 3 2 3 2 2" xfId="2023"/>
    <cellStyle name="20% - akcent 1 3 4 3 2 3 3" xfId="2024"/>
    <cellStyle name="20% - akcent 1 3 4 3 2 4" xfId="2025"/>
    <cellStyle name="20% - akcent 1 3 4 3 2 4 2" xfId="2026"/>
    <cellStyle name="20% - akcent 1 3 4 3 2 4 2 2" xfId="2027"/>
    <cellStyle name="20% - akcent 1 3 4 3 2 4 3" xfId="2028"/>
    <cellStyle name="20% - akcent 1 3 4 3 2 5" xfId="2029"/>
    <cellStyle name="20% - akcent 1 3 4 3 2 5 2" xfId="2030"/>
    <cellStyle name="20% - akcent 1 3 4 3 2 6" xfId="2031"/>
    <cellStyle name="20% - akcent 1 3 4 3 3" xfId="2032"/>
    <cellStyle name="20% - akcent 1 3 4 3 3 2" xfId="2033"/>
    <cellStyle name="20% - akcent 1 3 4 3 3 2 2" xfId="2034"/>
    <cellStyle name="20% - akcent 1 3 4 3 3 3" xfId="2035"/>
    <cellStyle name="20% - akcent 1 3 4 3 4" xfId="2036"/>
    <cellStyle name="20% - akcent 1 3 4 3 4 2" xfId="2037"/>
    <cellStyle name="20% - akcent 1 3 4 3 4 2 2" xfId="2038"/>
    <cellStyle name="20% - akcent 1 3 4 3 4 3" xfId="2039"/>
    <cellStyle name="20% - akcent 1 3 4 3 5" xfId="2040"/>
    <cellStyle name="20% - akcent 1 3 4 3 5 2" xfId="2041"/>
    <cellStyle name="20% - akcent 1 3 4 3 5 2 2" xfId="2042"/>
    <cellStyle name="20% - akcent 1 3 4 3 5 3" xfId="2043"/>
    <cellStyle name="20% - akcent 1 3 4 3 6" xfId="2044"/>
    <cellStyle name="20% - akcent 1 3 4 3 6 2" xfId="2045"/>
    <cellStyle name="20% - akcent 1 3 4 3 7" xfId="2046"/>
    <cellStyle name="20% - akcent 1 3 4 4" xfId="2047"/>
    <cellStyle name="20% - akcent 1 3 4 4 2" xfId="2048"/>
    <cellStyle name="20% - akcent 1 3 4 4 2 2" xfId="2049"/>
    <cellStyle name="20% - akcent 1 3 4 4 2 2 2" xfId="2050"/>
    <cellStyle name="20% - akcent 1 3 4 4 2 3" xfId="2051"/>
    <cellStyle name="20% - akcent 1 3 4 4 3" xfId="2052"/>
    <cellStyle name="20% - akcent 1 3 4 4 3 2" xfId="2053"/>
    <cellStyle name="20% - akcent 1 3 4 4 3 2 2" xfId="2054"/>
    <cellStyle name="20% - akcent 1 3 4 4 3 3" xfId="2055"/>
    <cellStyle name="20% - akcent 1 3 4 4 4" xfId="2056"/>
    <cellStyle name="20% - akcent 1 3 4 4 4 2" xfId="2057"/>
    <cellStyle name="20% - akcent 1 3 4 4 4 2 2" xfId="2058"/>
    <cellStyle name="20% - akcent 1 3 4 4 4 3" xfId="2059"/>
    <cellStyle name="20% - akcent 1 3 4 4 5" xfId="2060"/>
    <cellStyle name="20% - akcent 1 3 4 4 5 2" xfId="2061"/>
    <cellStyle name="20% - akcent 1 3 4 4 6" xfId="2062"/>
    <cellStyle name="20% - akcent 1 3 4 5" xfId="2063"/>
    <cellStyle name="20% - akcent 1 3 4 5 2" xfId="2064"/>
    <cellStyle name="20% - akcent 1 3 4 5 2 2" xfId="2065"/>
    <cellStyle name="20% - akcent 1 3 4 5 2 2 2" xfId="2066"/>
    <cellStyle name="20% - akcent 1 3 4 5 2 3" xfId="2067"/>
    <cellStyle name="20% - akcent 1 3 4 5 3" xfId="2068"/>
    <cellStyle name="20% - akcent 1 3 4 5 3 2" xfId="2069"/>
    <cellStyle name="20% - akcent 1 3 4 5 3 2 2" xfId="2070"/>
    <cellStyle name="20% - akcent 1 3 4 5 3 3" xfId="2071"/>
    <cellStyle name="20% - akcent 1 3 4 5 4" xfId="2072"/>
    <cellStyle name="20% - akcent 1 3 4 5 4 2" xfId="2073"/>
    <cellStyle name="20% - akcent 1 3 4 5 4 2 2" xfId="2074"/>
    <cellStyle name="20% - akcent 1 3 4 5 4 3" xfId="2075"/>
    <cellStyle name="20% - akcent 1 3 4 5 5" xfId="2076"/>
    <cellStyle name="20% - akcent 1 3 4 5 5 2" xfId="2077"/>
    <cellStyle name="20% - akcent 1 3 4 5 6" xfId="2078"/>
    <cellStyle name="20% - akcent 1 3 4 6" xfId="2079"/>
    <cellStyle name="20% - akcent 1 3 4 6 2" xfId="2080"/>
    <cellStyle name="20% - akcent 1 3 4 6 2 2" xfId="2081"/>
    <cellStyle name="20% - akcent 1 3 4 6 3" xfId="2082"/>
    <cellStyle name="20% - akcent 1 3 4 7" xfId="2083"/>
    <cellStyle name="20% - akcent 1 3 4 7 2" xfId="2084"/>
    <cellStyle name="20% - akcent 1 3 4 7 2 2" xfId="2085"/>
    <cellStyle name="20% - akcent 1 3 4 7 3" xfId="2086"/>
    <cellStyle name="20% - akcent 1 3 4 8" xfId="2087"/>
    <cellStyle name="20% - akcent 1 3 4 8 2" xfId="2088"/>
    <cellStyle name="20% - akcent 1 3 4 8 2 2" xfId="2089"/>
    <cellStyle name="20% - akcent 1 3 4 8 3" xfId="2090"/>
    <cellStyle name="20% - akcent 1 3 4 9" xfId="2091"/>
    <cellStyle name="20% - akcent 1 3 4 9 2" xfId="2092"/>
    <cellStyle name="20% - akcent 1 3 5" xfId="2093"/>
    <cellStyle name="20% - akcent 1 3 5 2" xfId="2094"/>
    <cellStyle name="20% - akcent 1 3 5 2 2" xfId="2095"/>
    <cellStyle name="20% - akcent 1 3 5 2 2 2" xfId="2096"/>
    <cellStyle name="20% - akcent 1 3 5 2 2 2 2" xfId="2097"/>
    <cellStyle name="20% - akcent 1 3 5 2 2 2 2 2" xfId="2098"/>
    <cellStyle name="20% - akcent 1 3 5 2 2 2 3" xfId="2099"/>
    <cellStyle name="20% - akcent 1 3 5 2 2 3" xfId="2100"/>
    <cellStyle name="20% - akcent 1 3 5 2 2 3 2" xfId="2101"/>
    <cellStyle name="20% - akcent 1 3 5 2 2 3 2 2" xfId="2102"/>
    <cellStyle name="20% - akcent 1 3 5 2 2 3 3" xfId="2103"/>
    <cellStyle name="20% - akcent 1 3 5 2 2 4" xfId="2104"/>
    <cellStyle name="20% - akcent 1 3 5 2 2 4 2" xfId="2105"/>
    <cellStyle name="20% - akcent 1 3 5 2 2 4 2 2" xfId="2106"/>
    <cellStyle name="20% - akcent 1 3 5 2 2 4 3" xfId="2107"/>
    <cellStyle name="20% - akcent 1 3 5 2 2 5" xfId="2108"/>
    <cellStyle name="20% - akcent 1 3 5 2 2 5 2" xfId="2109"/>
    <cellStyle name="20% - akcent 1 3 5 2 2 6" xfId="2110"/>
    <cellStyle name="20% - akcent 1 3 5 2 3" xfId="2111"/>
    <cellStyle name="20% - akcent 1 3 5 2 3 2" xfId="2112"/>
    <cellStyle name="20% - akcent 1 3 5 2 3 2 2" xfId="2113"/>
    <cellStyle name="20% - akcent 1 3 5 2 3 3" xfId="2114"/>
    <cellStyle name="20% - akcent 1 3 5 2 4" xfId="2115"/>
    <cellStyle name="20% - akcent 1 3 5 2 4 2" xfId="2116"/>
    <cellStyle name="20% - akcent 1 3 5 2 4 2 2" xfId="2117"/>
    <cellStyle name="20% - akcent 1 3 5 2 4 3" xfId="2118"/>
    <cellStyle name="20% - akcent 1 3 5 2 5" xfId="2119"/>
    <cellStyle name="20% - akcent 1 3 5 2 5 2" xfId="2120"/>
    <cellStyle name="20% - akcent 1 3 5 2 5 2 2" xfId="2121"/>
    <cellStyle name="20% - akcent 1 3 5 2 5 3" xfId="2122"/>
    <cellStyle name="20% - akcent 1 3 5 2 6" xfId="2123"/>
    <cellStyle name="20% - akcent 1 3 5 2 6 2" xfId="2124"/>
    <cellStyle name="20% - akcent 1 3 5 2 7" xfId="2125"/>
    <cellStyle name="20% - akcent 1 3 5 3" xfId="2126"/>
    <cellStyle name="20% - akcent 1 3 5 3 2" xfId="2127"/>
    <cellStyle name="20% - akcent 1 3 5 3 2 2" xfId="2128"/>
    <cellStyle name="20% - akcent 1 3 5 3 2 2 2" xfId="2129"/>
    <cellStyle name="20% - akcent 1 3 5 3 2 3" xfId="2130"/>
    <cellStyle name="20% - akcent 1 3 5 3 3" xfId="2131"/>
    <cellStyle name="20% - akcent 1 3 5 3 3 2" xfId="2132"/>
    <cellStyle name="20% - akcent 1 3 5 3 3 2 2" xfId="2133"/>
    <cellStyle name="20% - akcent 1 3 5 3 3 3" xfId="2134"/>
    <cellStyle name="20% - akcent 1 3 5 3 4" xfId="2135"/>
    <cellStyle name="20% - akcent 1 3 5 3 4 2" xfId="2136"/>
    <cellStyle name="20% - akcent 1 3 5 3 4 2 2" xfId="2137"/>
    <cellStyle name="20% - akcent 1 3 5 3 4 3" xfId="2138"/>
    <cellStyle name="20% - akcent 1 3 5 3 5" xfId="2139"/>
    <cellStyle name="20% - akcent 1 3 5 3 5 2" xfId="2140"/>
    <cellStyle name="20% - akcent 1 3 5 3 6" xfId="2141"/>
    <cellStyle name="20% - akcent 1 3 5 4" xfId="2142"/>
    <cellStyle name="20% - akcent 1 3 5 4 2" xfId="2143"/>
    <cellStyle name="20% - akcent 1 3 5 4 2 2" xfId="2144"/>
    <cellStyle name="20% - akcent 1 3 5 4 2 2 2" xfId="2145"/>
    <cellStyle name="20% - akcent 1 3 5 4 2 3" xfId="2146"/>
    <cellStyle name="20% - akcent 1 3 5 4 3" xfId="2147"/>
    <cellStyle name="20% - akcent 1 3 5 4 3 2" xfId="2148"/>
    <cellStyle name="20% - akcent 1 3 5 4 3 2 2" xfId="2149"/>
    <cellStyle name="20% - akcent 1 3 5 4 3 3" xfId="2150"/>
    <cellStyle name="20% - akcent 1 3 5 4 4" xfId="2151"/>
    <cellStyle name="20% - akcent 1 3 5 4 4 2" xfId="2152"/>
    <cellStyle name="20% - akcent 1 3 5 4 4 2 2" xfId="2153"/>
    <cellStyle name="20% - akcent 1 3 5 4 4 3" xfId="2154"/>
    <cellStyle name="20% - akcent 1 3 5 4 5" xfId="2155"/>
    <cellStyle name="20% - akcent 1 3 5 4 5 2" xfId="2156"/>
    <cellStyle name="20% - akcent 1 3 5 4 6" xfId="2157"/>
    <cellStyle name="20% - akcent 1 3 5 5" xfId="2158"/>
    <cellStyle name="20% - akcent 1 3 5 5 2" xfId="2159"/>
    <cellStyle name="20% - akcent 1 3 5 5 2 2" xfId="2160"/>
    <cellStyle name="20% - akcent 1 3 5 5 3" xfId="2161"/>
    <cellStyle name="20% - akcent 1 3 5 6" xfId="2162"/>
    <cellStyle name="20% - akcent 1 3 5 6 2" xfId="2163"/>
    <cellStyle name="20% - akcent 1 3 5 6 2 2" xfId="2164"/>
    <cellStyle name="20% - akcent 1 3 5 6 3" xfId="2165"/>
    <cellStyle name="20% - akcent 1 3 5 7" xfId="2166"/>
    <cellStyle name="20% - akcent 1 3 5 7 2" xfId="2167"/>
    <cellStyle name="20% - akcent 1 3 5 7 2 2" xfId="2168"/>
    <cellStyle name="20% - akcent 1 3 5 7 3" xfId="2169"/>
    <cellStyle name="20% - akcent 1 3 5 8" xfId="2170"/>
    <cellStyle name="20% - akcent 1 3 5 8 2" xfId="2171"/>
    <cellStyle name="20% - akcent 1 3 5 9" xfId="2172"/>
    <cellStyle name="20% - akcent 1 3 6" xfId="2173"/>
    <cellStyle name="20% - akcent 1 3 6 2" xfId="2174"/>
    <cellStyle name="20% - akcent 1 3 6 2 2" xfId="2175"/>
    <cellStyle name="20% - akcent 1 3 6 2 2 2" xfId="2176"/>
    <cellStyle name="20% - akcent 1 3 6 2 2 2 2" xfId="2177"/>
    <cellStyle name="20% - akcent 1 3 6 2 2 2 2 2" xfId="2178"/>
    <cellStyle name="20% - akcent 1 3 6 2 2 2 3" xfId="2179"/>
    <cellStyle name="20% - akcent 1 3 6 2 2 3" xfId="2180"/>
    <cellStyle name="20% - akcent 1 3 6 2 2 3 2" xfId="2181"/>
    <cellStyle name="20% - akcent 1 3 6 2 2 3 2 2" xfId="2182"/>
    <cellStyle name="20% - akcent 1 3 6 2 2 3 3" xfId="2183"/>
    <cellStyle name="20% - akcent 1 3 6 2 2 4" xfId="2184"/>
    <cellStyle name="20% - akcent 1 3 6 2 2 4 2" xfId="2185"/>
    <cellStyle name="20% - akcent 1 3 6 2 2 4 2 2" xfId="2186"/>
    <cellStyle name="20% - akcent 1 3 6 2 2 4 3" xfId="2187"/>
    <cellStyle name="20% - akcent 1 3 6 2 2 5" xfId="2188"/>
    <cellStyle name="20% - akcent 1 3 6 2 2 5 2" xfId="2189"/>
    <cellStyle name="20% - akcent 1 3 6 2 2 6" xfId="2190"/>
    <cellStyle name="20% - akcent 1 3 6 2 3" xfId="2191"/>
    <cellStyle name="20% - akcent 1 3 6 2 3 2" xfId="2192"/>
    <cellStyle name="20% - akcent 1 3 6 2 3 2 2" xfId="2193"/>
    <cellStyle name="20% - akcent 1 3 6 2 3 3" xfId="2194"/>
    <cellStyle name="20% - akcent 1 3 6 2 4" xfId="2195"/>
    <cellStyle name="20% - akcent 1 3 6 2 4 2" xfId="2196"/>
    <cellStyle name="20% - akcent 1 3 6 2 4 2 2" xfId="2197"/>
    <cellStyle name="20% - akcent 1 3 6 2 4 3" xfId="2198"/>
    <cellStyle name="20% - akcent 1 3 6 2 5" xfId="2199"/>
    <cellStyle name="20% - akcent 1 3 6 2 5 2" xfId="2200"/>
    <cellStyle name="20% - akcent 1 3 6 2 5 2 2" xfId="2201"/>
    <cellStyle name="20% - akcent 1 3 6 2 5 3" xfId="2202"/>
    <cellStyle name="20% - akcent 1 3 6 2 6" xfId="2203"/>
    <cellStyle name="20% - akcent 1 3 6 2 6 2" xfId="2204"/>
    <cellStyle name="20% - akcent 1 3 6 2 7" xfId="2205"/>
    <cellStyle name="20% - akcent 1 3 6 3" xfId="2206"/>
    <cellStyle name="20% - akcent 1 3 6 3 2" xfId="2207"/>
    <cellStyle name="20% - akcent 1 3 6 3 2 2" xfId="2208"/>
    <cellStyle name="20% - akcent 1 3 6 3 2 2 2" xfId="2209"/>
    <cellStyle name="20% - akcent 1 3 6 3 2 3" xfId="2210"/>
    <cellStyle name="20% - akcent 1 3 6 3 3" xfId="2211"/>
    <cellStyle name="20% - akcent 1 3 6 3 3 2" xfId="2212"/>
    <cellStyle name="20% - akcent 1 3 6 3 3 2 2" xfId="2213"/>
    <cellStyle name="20% - akcent 1 3 6 3 3 3" xfId="2214"/>
    <cellStyle name="20% - akcent 1 3 6 3 4" xfId="2215"/>
    <cellStyle name="20% - akcent 1 3 6 3 4 2" xfId="2216"/>
    <cellStyle name="20% - akcent 1 3 6 3 4 2 2" xfId="2217"/>
    <cellStyle name="20% - akcent 1 3 6 3 4 3" xfId="2218"/>
    <cellStyle name="20% - akcent 1 3 6 3 5" xfId="2219"/>
    <cellStyle name="20% - akcent 1 3 6 3 5 2" xfId="2220"/>
    <cellStyle name="20% - akcent 1 3 6 3 6" xfId="2221"/>
    <cellStyle name="20% - akcent 1 3 6 4" xfId="2222"/>
    <cellStyle name="20% - akcent 1 3 6 4 2" xfId="2223"/>
    <cellStyle name="20% - akcent 1 3 6 4 2 2" xfId="2224"/>
    <cellStyle name="20% - akcent 1 3 6 4 2 2 2" xfId="2225"/>
    <cellStyle name="20% - akcent 1 3 6 4 2 3" xfId="2226"/>
    <cellStyle name="20% - akcent 1 3 6 4 3" xfId="2227"/>
    <cellStyle name="20% - akcent 1 3 6 4 3 2" xfId="2228"/>
    <cellStyle name="20% - akcent 1 3 6 4 3 2 2" xfId="2229"/>
    <cellStyle name="20% - akcent 1 3 6 4 3 3" xfId="2230"/>
    <cellStyle name="20% - akcent 1 3 6 4 4" xfId="2231"/>
    <cellStyle name="20% - akcent 1 3 6 4 4 2" xfId="2232"/>
    <cellStyle name="20% - akcent 1 3 6 4 4 2 2" xfId="2233"/>
    <cellStyle name="20% - akcent 1 3 6 4 4 3" xfId="2234"/>
    <cellStyle name="20% - akcent 1 3 6 4 5" xfId="2235"/>
    <cellStyle name="20% - akcent 1 3 6 4 5 2" xfId="2236"/>
    <cellStyle name="20% - akcent 1 3 6 4 6" xfId="2237"/>
    <cellStyle name="20% - akcent 1 3 6 5" xfId="2238"/>
    <cellStyle name="20% - akcent 1 3 6 5 2" xfId="2239"/>
    <cellStyle name="20% - akcent 1 3 6 5 2 2" xfId="2240"/>
    <cellStyle name="20% - akcent 1 3 6 5 3" xfId="2241"/>
    <cellStyle name="20% - akcent 1 3 6 6" xfId="2242"/>
    <cellStyle name="20% - akcent 1 3 6 6 2" xfId="2243"/>
    <cellStyle name="20% - akcent 1 3 6 6 2 2" xfId="2244"/>
    <cellStyle name="20% - akcent 1 3 6 6 3" xfId="2245"/>
    <cellStyle name="20% - akcent 1 3 6 7" xfId="2246"/>
    <cellStyle name="20% - akcent 1 3 6 7 2" xfId="2247"/>
    <cellStyle name="20% - akcent 1 3 6 7 2 2" xfId="2248"/>
    <cellStyle name="20% - akcent 1 3 6 7 3" xfId="2249"/>
    <cellStyle name="20% - akcent 1 3 6 8" xfId="2250"/>
    <cellStyle name="20% - akcent 1 3 6 8 2" xfId="2251"/>
    <cellStyle name="20% - akcent 1 3 6 9" xfId="2252"/>
    <cellStyle name="20% - akcent 1 3 7" xfId="2253"/>
    <cellStyle name="20% - akcent 1 3 7 2" xfId="2254"/>
    <cellStyle name="20% - akcent 1 3 7 2 2" xfId="2255"/>
    <cellStyle name="20% - akcent 1 3 7 2 2 2" xfId="2256"/>
    <cellStyle name="20% - akcent 1 3 7 2 2 2 2" xfId="2257"/>
    <cellStyle name="20% - akcent 1 3 7 2 2 3" xfId="2258"/>
    <cellStyle name="20% - akcent 1 3 7 2 3" xfId="2259"/>
    <cellStyle name="20% - akcent 1 3 7 2 3 2" xfId="2260"/>
    <cellStyle name="20% - akcent 1 3 7 2 3 2 2" xfId="2261"/>
    <cellStyle name="20% - akcent 1 3 7 2 3 3" xfId="2262"/>
    <cellStyle name="20% - akcent 1 3 7 2 4" xfId="2263"/>
    <cellStyle name="20% - akcent 1 3 7 2 4 2" xfId="2264"/>
    <cellStyle name="20% - akcent 1 3 7 2 4 2 2" xfId="2265"/>
    <cellStyle name="20% - akcent 1 3 7 2 4 3" xfId="2266"/>
    <cellStyle name="20% - akcent 1 3 7 2 5" xfId="2267"/>
    <cellStyle name="20% - akcent 1 3 7 2 5 2" xfId="2268"/>
    <cellStyle name="20% - akcent 1 3 7 2 6" xfId="2269"/>
    <cellStyle name="20% - akcent 1 3 7 3" xfId="2270"/>
    <cellStyle name="20% - akcent 1 3 7 3 2" xfId="2271"/>
    <cellStyle name="20% - akcent 1 3 7 3 2 2" xfId="2272"/>
    <cellStyle name="20% - akcent 1 3 7 3 3" xfId="2273"/>
    <cellStyle name="20% - akcent 1 3 7 4" xfId="2274"/>
    <cellStyle name="20% - akcent 1 3 7 4 2" xfId="2275"/>
    <cellStyle name="20% - akcent 1 3 7 4 2 2" xfId="2276"/>
    <cellStyle name="20% - akcent 1 3 7 4 3" xfId="2277"/>
    <cellStyle name="20% - akcent 1 3 7 5" xfId="2278"/>
    <cellStyle name="20% - akcent 1 3 7 5 2" xfId="2279"/>
    <cellStyle name="20% - akcent 1 3 7 5 2 2" xfId="2280"/>
    <cellStyle name="20% - akcent 1 3 7 5 3" xfId="2281"/>
    <cellStyle name="20% - akcent 1 3 7 6" xfId="2282"/>
    <cellStyle name="20% - akcent 1 3 7 6 2" xfId="2283"/>
    <cellStyle name="20% - akcent 1 3 7 7" xfId="2284"/>
    <cellStyle name="20% - akcent 1 3 8" xfId="2285"/>
    <cellStyle name="20% - akcent 1 3 8 2" xfId="2286"/>
    <cellStyle name="20% - akcent 1 3 8 2 2" xfId="2287"/>
    <cellStyle name="20% - akcent 1 3 8 2 2 2" xfId="2288"/>
    <cellStyle name="20% - akcent 1 3 8 2 3" xfId="2289"/>
    <cellStyle name="20% - akcent 1 3 8 3" xfId="2290"/>
    <cellStyle name="20% - akcent 1 3 8 3 2" xfId="2291"/>
    <cellStyle name="20% - akcent 1 3 8 3 2 2" xfId="2292"/>
    <cellStyle name="20% - akcent 1 3 8 3 3" xfId="2293"/>
    <cellStyle name="20% - akcent 1 3 8 4" xfId="2294"/>
    <cellStyle name="20% - akcent 1 3 8 4 2" xfId="2295"/>
    <cellStyle name="20% - akcent 1 3 8 4 2 2" xfId="2296"/>
    <cellStyle name="20% - akcent 1 3 8 4 3" xfId="2297"/>
    <cellStyle name="20% - akcent 1 3 8 5" xfId="2298"/>
    <cellStyle name="20% - akcent 1 3 8 5 2" xfId="2299"/>
    <cellStyle name="20% - akcent 1 3 8 6" xfId="2300"/>
    <cellStyle name="20% - akcent 1 3 9" xfId="2301"/>
    <cellStyle name="20% - akcent 1 3 9 2" xfId="2302"/>
    <cellStyle name="20% - akcent 1 3 9 2 2" xfId="2303"/>
    <cellStyle name="20% - akcent 1 3 9 2 2 2" xfId="2304"/>
    <cellStyle name="20% - akcent 1 3 9 2 3" xfId="2305"/>
    <cellStyle name="20% - akcent 1 3 9 3" xfId="2306"/>
    <cellStyle name="20% - akcent 1 3 9 3 2" xfId="2307"/>
    <cellStyle name="20% - akcent 1 3 9 3 2 2" xfId="2308"/>
    <cellStyle name="20% - akcent 1 3 9 3 3" xfId="2309"/>
    <cellStyle name="20% - akcent 1 3 9 4" xfId="2310"/>
    <cellStyle name="20% - akcent 1 3 9 4 2" xfId="2311"/>
    <cellStyle name="20% - akcent 1 3 9 4 2 2" xfId="2312"/>
    <cellStyle name="20% - akcent 1 3 9 4 3" xfId="2313"/>
    <cellStyle name="20% - akcent 1 3 9 5" xfId="2314"/>
    <cellStyle name="20% - akcent 1 3 9 5 2" xfId="2315"/>
    <cellStyle name="20% - akcent 1 3 9 6" xfId="2316"/>
    <cellStyle name="20% - akcent 1 3_2011'05 Raport PGE_DO-CO2" xfId="2317"/>
    <cellStyle name="20% - akcent 1 4" xfId="2318"/>
    <cellStyle name="20% - akcent 1 4 2" xfId="2319"/>
    <cellStyle name="20% - akcent 1 4 2 2" xfId="2320"/>
    <cellStyle name="20% - akcent 1 4 2 2 2" xfId="2321"/>
    <cellStyle name="20% - akcent 1 4 2 2 2 2" xfId="2322"/>
    <cellStyle name="20% - akcent 1 4 2 2 2 2 2" xfId="2323"/>
    <cellStyle name="20% - akcent 1 4 2 2 2 2 2 2" xfId="2324"/>
    <cellStyle name="20% - akcent 1 4 2 2 2 2 2 2 2" xfId="2325"/>
    <cellStyle name="20% - akcent 1 4 2 2 2 2 2 3" xfId="2326"/>
    <cellStyle name="20% - akcent 1 4 2 2 2 2 3" xfId="2327"/>
    <cellStyle name="20% - akcent 1 4 2 2 2 2 3 2" xfId="2328"/>
    <cellStyle name="20% - akcent 1 4 2 2 2 2 3 2 2" xfId="2329"/>
    <cellStyle name="20% - akcent 1 4 2 2 2 2 3 3" xfId="2330"/>
    <cellStyle name="20% - akcent 1 4 2 2 2 2 4" xfId="2331"/>
    <cellStyle name="20% - akcent 1 4 2 2 2 2 4 2" xfId="2332"/>
    <cellStyle name="20% - akcent 1 4 2 2 2 2 4 2 2" xfId="2333"/>
    <cellStyle name="20% - akcent 1 4 2 2 2 2 4 3" xfId="2334"/>
    <cellStyle name="20% - akcent 1 4 2 2 2 2 5" xfId="2335"/>
    <cellStyle name="20% - akcent 1 4 2 2 2 2 5 2" xfId="2336"/>
    <cellStyle name="20% - akcent 1 4 2 2 2 2 6" xfId="2337"/>
    <cellStyle name="20% - akcent 1 4 2 2 2 3" xfId="2338"/>
    <cellStyle name="20% - akcent 1 4 2 2 2 3 2" xfId="2339"/>
    <cellStyle name="20% - akcent 1 4 2 2 2 3 2 2" xfId="2340"/>
    <cellStyle name="20% - akcent 1 4 2 2 2 3 3" xfId="2341"/>
    <cellStyle name="20% - akcent 1 4 2 2 2 4" xfId="2342"/>
    <cellStyle name="20% - akcent 1 4 2 2 2 4 2" xfId="2343"/>
    <cellStyle name="20% - akcent 1 4 2 2 2 4 2 2" xfId="2344"/>
    <cellStyle name="20% - akcent 1 4 2 2 2 4 3" xfId="2345"/>
    <cellStyle name="20% - akcent 1 4 2 2 2 5" xfId="2346"/>
    <cellStyle name="20% - akcent 1 4 2 2 2 5 2" xfId="2347"/>
    <cellStyle name="20% - akcent 1 4 2 2 2 5 2 2" xfId="2348"/>
    <cellStyle name="20% - akcent 1 4 2 2 2 5 3" xfId="2349"/>
    <cellStyle name="20% - akcent 1 4 2 2 2 6" xfId="2350"/>
    <cellStyle name="20% - akcent 1 4 2 2 2 6 2" xfId="2351"/>
    <cellStyle name="20% - akcent 1 4 2 2 2 7" xfId="2352"/>
    <cellStyle name="20% - akcent 1 4 2 2 3" xfId="2353"/>
    <cellStyle name="20% - akcent 1 4 2 2 3 2" xfId="2354"/>
    <cellStyle name="20% - akcent 1 4 2 2 3 2 2" xfId="2355"/>
    <cellStyle name="20% - akcent 1 4 2 2 3 2 2 2" xfId="2356"/>
    <cellStyle name="20% - akcent 1 4 2 2 3 2 3" xfId="2357"/>
    <cellStyle name="20% - akcent 1 4 2 2 3 3" xfId="2358"/>
    <cellStyle name="20% - akcent 1 4 2 2 3 3 2" xfId="2359"/>
    <cellStyle name="20% - akcent 1 4 2 2 3 3 2 2" xfId="2360"/>
    <cellStyle name="20% - akcent 1 4 2 2 3 3 3" xfId="2361"/>
    <cellStyle name="20% - akcent 1 4 2 2 3 4" xfId="2362"/>
    <cellStyle name="20% - akcent 1 4 2 2 3 4 2" xfId="2363"/>
    <cellStyle name="20% - akcent 1 4 2 2 3 4 2 2" xfId="2364"/>
    <cellStyle name="20% - akcent 1 4 2 2 3 4 3" xfId="2365"/>
    <cellStyle name="20% - akcent 1 4 2 2 3 5" xfId="2366"/>
    <cellStyle name="20% - akcent 1 4 2 2 3 5 2" xfId="2367"/>
    <cellStyle name="20% - akcent 1 4 2 2 3 6" xfId="2368"/>
    <cellStyle name="20% - akcent 1 4 2 2 4" xfId="2369"/>
    <cellStyle name="20% - akcent 1 4 2 2 4 2" xfId="2370"/>
    <cellStyle name="20% - akcent 1 4 2 2 4 2 2" xfId="2371"/>
    <cellStyle name="20% - akcent 1 4 2 2 4 2 2 2" xfId="2372"/>
    <cellStyle name="20% - akcent 1 4 2 2 4 2 3" xfId="2373"/>
    <cellStyle name="20% - akcent 1 4 2 2 4 3" xfId="2374"/>
    <cellStyle name="20% - akcent 1 4 2 2 4 3 2" xfId="2375"/>
    <cellStyle name="20% - akcent 1 4 2 2 4 3 2 2" xfId="2376"/>
    <cellStyle name="20% - akcent 1 4 2 2 4 3 3" xfId="2377"/>
    <cellStyle name="20% - akcent 1 4 2 2 4 4" xfId="2378"/>
    <cellStyle name="20% - akcent 1 4 2 2 4 4 2" xfId="2379"/>
    <cellStyle name="20% - akcent 1 4 2 2 4 4 2 2" xfId="2380"/>
    <cellStyle name="20% - akcent 1 4 2 2 4 4 3" xfId="2381"/>
    <cellStyle name="20% - akcent 1 4 2 2 4 5" xfId="2382"/>
    <cellStyle name="20% - akcent 1 4 2 2 4 5 2" xfId="2383"/>
    <cellStyle name="20% - akcent 1 4 2 2 4 6" xfId="2384"/>
    <cellStyle name="20% - akcent 1 4 2 2 5" xfId="2385"/>
    <cellStyle name="20% - akcent 1 4 2 2 5 2" xfId="2386"/>
    <cellStyle name="20% - akcent 1 4 2 2 5 2 2" xfId="2387"/>
    <cellStyle name="20% - akcent 1 4 2 2 5 3" xfId="2388"/>
    <cellStyle name="20% - akcent 1 4 2 2 6" xfId="2389"/>
    <cellStyle name="20% - akcent 1 4 2 2 6 2" xfId="2390"/>
    <cellStyle name="20% - akcent 1 4 2 2 6 2 2" xfId="2391"/>
    <cellStyle name="20% - akcent 1 4 2 2 6 3" xfId="2392"/>
    <cellStyle name="20% - akcent 1 4 2 2 7" xfId="2393"/>
    <cellStyle name="20% - akcent 1 4 2 2 7 2" xfId="2394"/>
    <cellStyle name="20% - akcent 1 4 2 2 7 2 2" xfId="2395"/>
    <cellStyle name="20% - akcent 1 4 2 2 7 3" xfId="2396"/>
    <cellStyle name="20% - akcent 1 4 2 2 8" xfId="2397"/>
    <cellStyle name="20% - akcent 1 4 2 2 8 2" xfId="2398"/>
    <cellStyle name="20% - akcent 1 4 2 2 9" xfId="2399"/>
    <cellStyle name="20% - akcent 1 4 2 3" xfId="2400"/>
    <cellStyle name="20% - akcent 1 4 2 3 2" xfId="2401"/>
    <cellStyle name="20% - akcent 1 4 2 3 2 2" xfId="2402"/>
    <cellStyle name="20% - akcent 1 4 2 3 2 2 2" xfId="2403"/>
    <cellStyle name="20% - akcent 1 4 2 3 2 2 2 2" xfId="2404"/>
    <cellStyle name="20% - akcent 1 4 2 3 2 2 3" xfId="2405"/>
    <cellStyle name="20% - akcent 1 4 2 3 2 3" xfId="2406"/>
    <cellStyle name="20% - akcent 1 4 2 3 2 3 2" xfId="2407"/>
    <cellStyle name="20% - akcent 1 4 2 3 2 3 2 2" xfId="2408"/>
    <cellStyle name="20% - akcent 1 4 2 3 2 3 3" xfId="2409"/>
    <cellStyle name="20% - akcent 1 4 2 3 2 4" xfId="2410"/>
    <cellStyle name="20% - akcent 1 4 2 3 2 4 2" xfId="2411"/>
    <cellStyle name="20% - akcent 1 4 2 3 2 4 2 2" xfId="2412"/>
    <cellStyle name="20% - akcent 1 4 2 3 2 4 3" xfId="2413"/>
    <cellStyle name="20% - akcent 1 4 2 3 2 5" xfId="2414"/>
    <cellStyle name="20% - akcent 1 4 2 3 2 5 2" xfId="2415"/>
    <cellStyle name="20% - akcent 1 4 2 3 2 6" xfId="2416"/>
    <cellStyle name="20% - akcent 1 4 2 3 3" xfId="2417"/>
    <cellStyle name="20% - akcent 1 4 2 3 3 2" xfId="2418"/>
    <cellStyle name="20% - akcent 1 4 2 3 3 2 2" xfId="2419"/>
    <cellStyle name="20% - akcent 1 4 2 3 3 3" xfId="2420"/>
    <cellStyle name="20% - akcent 1 4 2 3 4" xfId="2421"/>
    <cellStyle name="20% - akcent 1 4 2 3 4 2" xfId="2422"/>
    <cellStyle name="20% - akcent 1 4 2 3 4 2 2" xfId="2423"/>
    <cellStyle name="20% - akcent 1 4 2 3 4 3" xfId="2424"/>
    <cellStyle name="20% - akcent 1 4 2 3 5" xfId="2425"/>
    <cellStyle name="20% - akcent 1 4 2 3 5 2" xfId="2426"/>
    <cellStyle name="20% - akcent 1 4 2 3 5 2 2" xfId="2427"/>
    <cellStyle name="20% - akcent 1 4 2 3 5 3" xfId="2428"/>
    <cellStyle name="20% - akcent 1 4 2 3 6" xfId="2429"/>
    <cellStyle name="20% - akcent 1 4 2 3 6 2" xfId="2430"/>
    <cellStyle name="20% - akcent 1 4 2 3 7" xfId="2431"/>
    <cellStyle name="20% - akcent 1 4 2 4" xfId="2432"/>
    <cellStyle name="20% - akcent 1 4 2 4 2" xfId="2433"/>
    <cellStyle name="20% - akcent 1 4 2 4 2 2" xfId="2434"/>
    <cellStyle name="20% - akcent 1 4 2 4 2 2 2" xfId="2435"/>
    <cellStyle name="20% - akcent 1 4 2 4 2 3" xfId="2436"/>
    <cellStyle name="20% - akcent 1 4 2 4 3" xfId="2437"/>
    <cellStyle name="20% - akcent 1 4 2 4 3 2" xfId="2438"/>
    <cellStyle name="20% - akcent 1 4 2 4 3 2 2" xfId="2439"/>
    <cellStyle name="20% - akcent 1 4 2 4 3 3" xfId="2440"/>
    <cellStyle name="20% - akcent 1 4 2 4 4" xfId="2441"/>
    <cellStyle name="20% - akcent 1 4 2 4 4 2" xfId="2442"/>
    <cellStyle name="20% - akcent 1 4 2 4 4 2 2" xfId="2443"/>
    <cellStyle name="20% - akcent 1 4 2 4 4 3" xfId="2444"/>
    <cellStyle name="20% - akcent 1 4 2 4 5" xfId="2445"/>
    <cellStyle name="20% - akcent 1 4 2 4 5 2" xfId="2446"/>
    <cellStyle name="20% - akcent 1 4 2 4 6" xfId="2447"/>
    <cellStyle name="20% - akcent 1 4 2 5" xfId="2448"/>
    <cellStyle name="20% - akcent 1 4 2 5 2" xfId="2449"/>
    <cellStyle name="20% - akcent 1 4 2 5 2 2" xfId="2450"/>
    <cellStyle name="20% - akcent 1 4 2 5 2 2 2" xfId="2451"/>
    <cellStyle name="20% - akcent 1 4 2 5 2 3" xfId="2452"/>
    <cellStyle name="20% - akcent 1 4 2 5 3" xfId="2453"/>
    <cellStyle name="20% - akcent 1 4 2 5 3 2" xfId="2454"/>
    <cellStyle name="20% - akcent 1 4 2 5 3 2 2" xfId="2455"/>
    <cellStyle name="20% - akcent 1 4 2 5 3 3" xfId="2456"/>
    <cellStyle name="20% - akcent 1 4 2 5 4" xfId="2457"/>
    <cellStyle name="20% - akcent 1 4 2 5 4 2" xfId="2458"/>
    <cellStyle name="20% - akcent 1 4 2 5 4 2 2" xfId="2459"/>
    <cellStyle name="20% - akcent 1 4 2 5 4 3" xfId="2460"/>
    <cellStyle name="20% - akcent 1 4 2 5 5" xfId="2461"/>
    <cellStyle name="20% - akcent 1 4 2 5 5 2" xfId="2462"/>
    <cellStyle name="20% - akcent 1 4 2 5 6" xfId="2463"/>
    <cellStyle name="20% - akcent 1 4 2 6" xfId="2464"/>
    <cellStyle name="20% - akcent 1 4 2 7" xfId="2465"/>
    <cellStyle name="20% - akcent 1 4 2 7 2" xfId="2466"/>
    <cellStyle name="20% - akcent 1 4 2 7 2 2" xfId="2467"/>
    <cellStyle name="20% - akcent 1 4 2 7 2 2 2" xfId="2468"/>
    <cellStyle name="20% - akcent 1 4 2 7 2 3" xfId="2469"/>
    <cellStyle name="20% - akcent 1 4 2 7 3" xfId="2470"/>
    <cellStyle name="20% - akcent 1 4 2 7 3 2" xfId="2471"/>
    <cellStyle name="20% - akcent 1 4 2 7 3 2 2" xfId="2472"/>
    <cellStyle name="20% - akcent 1 4 2 7 3 3" xfId="2473"/>
    <cellStyle name="20% - akcent 1 4 2 7 4" xfId="2474"/>
    <cellStyle name="20% - akcent 1 4 2 7 4 2" xfId="2475"/>
    <cellStyle name="20% - akcent 1 4 2 7 4 2 2" xfId="2476"/>
    <cellStyle name="20% - akcent 1 4 2 7 4 3" xfId="2477"/>
    <cellStyle name="20% - akcent 1 4 2 7 5" xfId="2478"/>
    <cellStyle name="20% - akcent 1 4 2 7 5 2" xfId="2479"/>
    <cellStyle name="20% - akcent 1 4 2 7 6" xfId="2480"/>
    <cellStyle name="20% - akcent 1 4 3" xfId="2481"/>
    <cellStyle name="20% - akcent 1 4 3 2" xfId="2482"/>
    <cellStyle name="20% - akcent 1 4 3 2 2" xfId="2483"/>
    <cellStyle name="20% - akcent 1 4 3 2 2 2" xfId="2484"/>
    <cellStyle name="20% - akcent 1 4 3 2 2 2 2" xfId="2485"/>
    <cellStyle name="20% - akcent 1 4 3 2 2 2 2 2" xfId="2486"/>
    <cellStyle name="20% - akcent 1 4 3 2 2 2 3" xfId="2487"/>
    <cellStyle name="20% - akcent 1 4 3 2 2 3" xfId="2488"/>
    <cellStyle name="20% - akcent 1 4 3 2 2 3 2" xfId="2489"/>
    <cellStyle name="20% - akcent 1 4 3 2 2 3 2 2" xfId="2490"/>
    <cellStyle name="20% - akcent 1 4 3 2 2 3 3" xfId="2491"/>
    <cellStyle name="20% - akcent 1 4 3 2 2 4" xfId="2492"/>
    <cellStyle name="20% - akcent 1 4 3 2 2 4 2" xfId="2493"/>
    <cellStyle name="20% - akcent 1 4 3 2 2 4 2 2" xfId="2494"/>
    <cellStyle name="20% - akcent 1 4 3 2 2 4 3" xfId="2495"/>
    <cellStyle name="20% - akcent 1 4 3 2 2 5" xfId="2496"/>
    <cellStyle name="20% - akcent 1 4 3 2 2 5 2" xfId="2497"/>
    <cellStyle name="20% - akcent 1 4 3 2 2 6" xfId="2498"/>
    <cellStyle name="20% - akcent 1 4 3 2 3" xfId="2499"/>
    <cellStyle name="20% - akcent 1 4 3 2 3 2" xfId="2500"/>
    <cellStyle name="20% - akcent 1 4 3 2 3 2 2" xfId="2501"/>
    <cellStyle name="20% - akcent 1 4 3 2 3 3" xfId="2502"/>
    <cellStyle name="20% - akcent 1 4 3 2 4" xfId="2503"/>
    <cellStyle name="20% - akcent 1 4 3 2 4 2" xfId="2504"/>
    <cellStyle name="20% - akcent 1 4 3 2 4 2 2" xfId="2505"/>
    <cellStyle name="20% - akcent 1 4 3 2 4 3" xfId="2506"/>
    <cellStyle name="20% - akcent 1 4 3 2 5" xfId="2507"/>
    <cellStyle name="20% - akcent 1 4 3 2 5 2" xfId="2508"/>
    <cellStyle name="20% - akcent 1 4 3 2 5 2 2" xfId="2509"/>
    <cellStyle name="20% - akcent 1 4 3 2 5 3" xfId="2510"/>
    <cellStyle name="20% - akcent 1 4 3 2 6" xfId="2511"/>
    <cellStyle name="20% - akcent 1 4 3 2 6 2" xfId="2512"/>
    <cellStyle name="20% - akcent 1 4 3 2 7" xfId="2513"/>
    <cellStyle name="20% - akcent 1 4 3 3" xfId="2514"/>
    <cellStyle name="20% - akcent 1 4 3 3 2" xfId="2515"/>
    <cellStyle name="20% - akcent 1 4 3 3 2 2" xfId="2516"/>
    <cellStyle name="20% - akcent 1 4 3 3 2 2 2" xfId="2517"/>
    <cellStyle name="20% - akcent 1 4 3 3 2 3" xfId="2518"/>
    <cellStyle name="20% - akcent 1 4 3 3 3" xfId="2519"/>
    <cellStyle name="20% - akcent 1 4 3 3 3 2" xfId="2520"/>
    <cellStyle name="20% - akcent 1 4 3 3 3 2 2" xfId="2521"/>
    <cellStyle name="20% - akcent 1 4 3 3 3 3" xfId="2522"/>
    <cellStyle name="20% - akcent 1 4 3 3 4" xfId="2523"/>
    <cellStyle name="20% - akcent 1 4 3 3 4 2" xfId="2524"/>
    <cellStyle name="20% - akcent 1 4 3 3 4 2 2" xfId="2525"/>
    <cellStyle name="20% - akcent 1 4 3 3 4 3" xfId="2526"/>
    <cellStyle name="20% - akcent 1 4 3 3 5" xfId="2527"/>
    <cellStyle name="20% - akcent 1 4 3 3 5 2" xfId="2528"/>
    <cellStyle name="20% - akcent 1 4 3 3 6" xfId="2529"/>
    <cellStyle name="20% - akcent 1 4 3 4" xfId="2530"/>
    <cellStyle name="20% - akcent 1 4 3 4 2" xfId="2531"/>
    <cellStyle name="20% - akcent 1 4 3 4 2 2" xfId="2532"/>
    <cellStyle name="20% - akcent 1 4 3 4 2 2 2" xfId="2533"/>
    <cellStyle name="20% - akcent 1 4 3 4 2 3" xfId="2534"/>
    <cellStyle name="20% - akcent 1 4 3 4 3" xfId="2535"/>
    <cellStyle name="20% - akcent 1 4 3 4 3 2" xfId="2536"/>
    <cellStyle name="20% - akcent 1 4 3 4 3 2 2" xfId="2537"/>
    <cellStyle name="20% - akcent 1 4 3 4 3 3" xfId="2538"/>
    <cellStyle name="20% - akcent 1 4 3 4 4" xfId="2539"/>
    <cellStyle name="20% - akcent 1 4 3 4 4 2" xfId="2540"/>
    <cellStyle name="20% - akcent 1 4 3 4 4 2 2" xfId="2541"/>
    <cellStyle name="20% - akcent 1 4 3 4 4 3" xfId="2542"/>
    <cellStyle name="20% - akcent 1 4 3 4 5" xfId="2543"/>
    <cellStyle name="20% - akcent 1 4 3 4 5 2" xfId="2544"/>
    <cellStyle name="20% - akcent 1 4 3 4 6" xfId="2545"/>
    <cellStyle name="20% - akcent 1 4 3 5" xfId="2546"/>
    <cellStyle name="20% - akcent 1 4 3 5 2" xfId="2547"/>
    <cellStyle name="20% - akcent 1 4 3 5 2 2" xfId="2548"/>
    <cellStyle name="20% - akcent 1 4 3 5 2 2 2" xfId="2549"/>
    <cellStyle name="20% - akcent 1 4 3 5 2 3" xfId="2550"/>
    <cellStyle name="20% - akcent 1 4 3 5 3" xfId="2551"/>
    <cellStyle name="20% - akcent 1 4 3 5 3 2" xfId="2552"/>
    <cellStyle name="20% - akcent 1 4 3 5 3 2 2" xfId="2553"/>
    <cellStyle name="20% - akcent 1 4 3 5 3 3" xfId="2554"/>
    <cellStyle name="20% - akcent 1 4 3 5 4" xfId="2555"/>
    <cellStyle name="20% - akcent 1 4 3 5 4 2" xfId="2556"/>
    <cellStyle name="20% - akcent 1 4 3 5 4 2 2" xfId="2557"/>
    <cellStyle name="20% - akcent 1 4 3 5 4 3" xfId="2558"/>
    <cellStyle name="20% - akcent 1 4 3 5 5" xfId="2559"/>
    <cellStyle name="20% - akcent 1 4 3 5 5 2" xfId="2560"/>
    <cellStyle name="20% - akcent 1 4 3 5 6" xfId="2561"/>
    <cellStyle name="20% - akcent 1 4 4" xfId="2562"/>
    <cellStyle name="20% - akcent 1 4 4 2" xfId="2563"/>
    <cellStyle name="20% - akcent 1 4 4 2 2" xfId="2564"/>
    <cellStyle name="20% - akcent 1 4 4 2 2 2" xfId="2565"/>
    <cellStyle name="20% - akcent 1 4 4 2 2 2 2" xfId="2566"/>
    <cellStyle name="20% - akcent 1 4 4 2 2 3" xfId="2567"/>
    <cellStyle name="20% - akcent 1 4 4 2 3" xfId="2568"/>
    <cellStyle name="20% - akcent 1 4 4 2 3 2" xfId="2569"/>
    <cellStyle name="20% - akcent 1 4 4 2 3 2 2" xfId="2570"/>
    <cellStyle name="20% - akcent 1 4 4 2 3 3" xfId="2571"/>
    <cellStyle name="20% - akcent 1 4 4 2 4" xfId="2572"/>
    <cellStyle name="20% - akcent 1 4 4 2 4 2" xfId="2573"/>
    <cellStyle name="20% - akcent 1 4 4 2 4 2 2" xfId="2574"/>
    <cellStyle name="20% - akcent 1 4 4 2 4 3" xfId="2575"/>
    <cellStyle name="20% - akcent 1 4 4 2 5" xfId="2576"/>
    <cellStyle name="20% - akcent 1 4 4 2 5 2" xfId="2577"/>
    <cellStyle name="20% - akcent 1 4 4 2 6" xfId="2578"/>
    <cellStyle name="20% - akcent 1 4 4 3" xfId="2579"/>
    <cellStyle name="20% - akcent 1 4 4 3 2" xfId="2580"/>
    <cellStyle name="20% - akcent 1 4 4 3 2 2" xfId="2581"/>
    <cellStyle name="20% - akcent 1 4 4 3 2 2 2" xfId="2582"/>
    <cellStyle name="20% - akcent 1 4 4 3 2 3" xfId="2583"/>
    <cellStyle name="20% - akcent 1 4 4 3 3" xfId="2584"/>
    <cellStyle name="20% - akcent 1 4 4 3 3 2" xfId="2585"/>
    <cellStyle name="20% - akcent 1 4 4 3 3 2 2" xfId="2586"/>
    <cellStyle name="20% - akcent 1 4 4 3 3 3" xfId="2587"/>
    <cellStyle name="20% - akcent 1 4 4 3 4" xfId="2588"/>
    <cellStyle name="20% - akcent 1 4 4 3 4 2" xfId="2589"/>
    <cellStyle name="20% - akcent 1 4 4 3 4 2 2" xfId="2590"/>
    <cellStyle name="20% - akcent 1 4 4 3 4 3" xfId="2591"/>
    <cellStyle name="20% - akcent 1 4 4 3 5" xfId="2592"/>
    <cellStyle name="20% - akcent 1 4 4 3 5 2" xfId="2593"/>
    <cellStyle name="20% - akcent 1 4 4 3 6" xfId="2594"/>
    <cellStyle name="20% - akcent 1 4 5" xfId="2595"/>
    <cellStyle name="20% - akcent 1 4 5 2" xfId="2596"/>
    <cellStyle name="20% - akcent 1 4 5 2 2" xfId="2597"/>
    <cellStyle name="20% - akcent 1 4 5 2 2 2" xfId="2598"/>
    <cellStyle name="20% - akcent 1 4 5 2 3" xfId="2599"/>
    <cellStyle name="20% - akcent 1 4 5 3" xfId="2600"/>
    <cellStyle name="20% - akcent 1 4 5 3 2" xfId="2601"/>
    <cellStyle name="20% - akcent 1 4 5 3 2 2" xfId="2602"/>
    <cellStyle name="20% - akcent 1 4 5 3 3" xfId="2603"/>
    <cellStyle name="20% - akcent 1 4 5 4" xfId="2604"/>
    <cellStyle name="20% - akcent 1 4 5 4 2" xfId="2605"/>
    <cellStyle name="20% - akcent 1 4 5 4 2 2" xfId="2606"/>
    <cellStyle name="20% - akcent 1 4 5 4 3" xfId="2607"/>
    <cellStyle name="20% - akcent 1 4 5 5" xfId="2608"/>
    <cellStyle name="20% - akcent 1 4 5 5 2" xfId="2609"/>
    <cellStyle name="20% - akcent 1 4 5 6" xfId="2610"/>
    <cellStyle name="20% - akcent 1 4 6" xfId="2611"/>
    <cellStyle name="20% - akcent 1 4 6 2" xfId="2612"/>
    <cellStyle name="20% - akcent 1 4 6 2 2" xfId="2613"/>
    <cellStyle name="20% - akcent 1 4 6 2 2 2" xfId="2614"/>
    <cellStyle name="20% - akcent 1 4 6 2 3" xfId="2615"/>
    <cellStyle name="20% - akcent 1 4 6 3" xfId="2616"/>
    <cellStyle name="20% - akcent 1 4 6 3 2" xfId="2617"/>
    <cellStyle name="20% - akcent 1 4 6 3 2 2" xfId="2618"/>
    <cellStyle name="20% - akcent 1 4 6 3 3" xfId="2619"/>
    <cellStyle name="20% - akcent 1 4 6 4" xfId="2620"/>
    <cellStyle name="20% - akcent 1 4 6 4 2" xfId="2621"/>
    <cellStyle name="20% - akcent 1 4 6 4 2 2" xfId="2622"/>
    <cellStyle name="20% - akcent 1 4 6 4 3" xfId="2623"/>
    <cellStyle name="20% - akcent 1 4 6 5" xfId="2624"/>
    <cellStyle name="20% - akcent 1 4 6 5 2" xfId="2625"/>
    <cellStyle name="20% - akcent 1 4 6 6" xfId="2626"/>
    <cellStyle name="20% - akcent 1 4 7" xfId="2627"/>
    <cellStyle name="20% - akcent 1 4 7 2" xfId="2628"/>
    <cellStyle name="20% - akcent 1 4 7 2 2" xfId="2629"/>
    <cellStyle name="20% - akcent 1 4 7 2 2 2" xfId="2630"/>
    <cellStyle name="20% - akcent 1 4 7 2 3" xfId="2631"/>
    <cellStyle name="20% - akcent 1 4 7 3" xfId="2632"/>
    <cellStyle name="20% - akcent 1 4 7 3 2" xfId="2633"/>
    <cellStyle name="20% - akcent 1 4 7 3 2 2" xfId="2634"/>
    <cellStyle name="20% - akcent 1 4 7 3 3" xfId="2635"/>
    <cellStyle name="20% - akcent 1 4 7 4" xfId="2636"/>
    <cellStyle name="20% - akcent 1 4 7 4 2" xfId="2637"/>
    <cellStyle name="20% - akcent 1 4 7 4 2 2" xfId="2638"/>
    <cellStyle name="20% - akcent 1 4 7 4 3" xfId="2639"/>
    <cellStyle name="20% - akcent 1 4 7 5" xfId="2640"/>
    <cellStyle name="20% - akcent 1 4 7 5 2" xfId="2641"/>
    <cellStyle name="20% - akcent 1 4 7 6" xfId="2642"/>
    <cellStyle name="20% - akcent 1 4_2011'05 Raport PGE_DO-CO2" xfId="2643"/>
    <cellStyle name="20% - akcent 1 5" xfId="2644"/>
    <cellStyle name="20% - akcent 1 5 2" xfId="2645"/>
    <cellStyle name="20% - akcent 1 5 2 2" xfId="2646"/>
    <cellStyle name="20% - akcent 1 5 2 2 2" xfId="2647"/>
    <cellStyle name="20% - akcent 1 5 2 2 2 2" xfId="2648"/>
    <cellStyle name="20% - akcent 1 5 2 2 2 2 2" xfId="2649"/>
    <cellStyle name="20% - akcent 1 5 2 2 2 2 2 2" xfId="2650"/>
    <cellStyle name="20% - akcent 1 5 2 2 2 2 3" xfId="2651"/>
    <cellStyle name="20% - akcent 1 5 2 2 2 3" xfId="2652"/>
    <cellStyle name="20% - akcent 1 5 2 2 2 3 2" xfId="2653"/>
    <cellStyle name="20% - akcent 1 5 2 2 2 3 2 2" xfId="2654"/>
    <cellStyle name="20% - akcent 1 5 2 2 2 3 3" xfId="2655"/>
    <cellStyle name="20% - akcent 1 5 2 2 2 4" xfId="2656"/>
    <cellStyle name="20% - akcent 1 5 2 2 2 4 2" xfId="2657"/>
    <cellStyle name="20% - akcent 1 5 2 2 2 4 2 2" xfId="2658"/>
    <cellStyle name="20% - akcent 1 5 2 2 2 4 3" xfId="2659"/>
    <cellStyle name="20% - akcent 1 5 2 2 2 5" xfId="2660"/>
    <cellStyle name="20% - akcent 1 5 2 2 2 5 2" xfId="2661"/>
    <cellStyle name="20% - akcent 1 5 2 2 2 6" xfId="2662"/>
    <cellStyle name="20% - akcent 1 5 2 2 3" xfId="2663"/>
    <cellStyle name="20% - akcent 1 5 2 2 3 2" xfId="2664"/>
    <cellStyle name="20% - akcent 1 5 2 2 3 2 2" xfId="2665"/>
    <cellStyle name="20% - akcent 1 5 2 2 3 3" xfId="2666"/>
    <cellStyle name="20% - akcent 1 5 2 2 4" xfId="2667"/>
    <cellStyle name="20% - akcent 1 5 2 2 4 2" xfId="2668"/>
    <cellStyle name="20% - akcent 1 5 2 2 4 2 2" xfId="2669"/>
    <cellStyle name="20% - akcent 1 5 2 2 4 3" xfId="2670"/>
    <cellStyle name="20% - akcent 1 5 2 2 5" xfId="2671"/>
    <cellStyle name="20% - akcent 1 5 2 2 5 2" xfId="2672"/>
    <cellStyle name="20% - akcent 1 5 2 2 5 2 2" xfId="2673"/>
    <cellStyle name="20% - akcent 1 5 2 2 5 3" xfId="2674"/>
    <cellStyle name="20% - akcent 1 5 2 2 6" xfId="2675"/>
    <cellStyle name="20% - akcent 1 5 2 2 6 2" xfId="2676"/>
    <cellStyle name="20% - akcent 1 5 2 2 7" xfId="2677"/>
    <cellStyle name="20% - akcent 1 5 2 3" xfId="2678"/>
    <cellStyle name="20% - akcent 1 5 2 3 2" xfId="2679"/>
    <cellStyle name="20% - akcent 1 5 2 3 2 2" xfId="2680"/>
    <cellStyle name="20% - akcent 1 5 2 3 2 2 2" xfId="2681"/>
    <cellStyle name="20% - akcent 1 5 2 3 2 3" xfId="2682"/>
    <cellStyle name="20% - akcent 1 5 2 3 3" xfId="2683"/>
    <cellStyle name="20% - akcent 1 5 2 3 3 2" xfId="2684"/>
    <cellStyle name="20% - akcent 1 5 2 3 3 2 2" xfId="2685"/>
    <cellStyle name="20% - akcent 1 5 2 3 3 3" xfId="2686"/>
    <cellStyle name="20% - akcent 1 5 2 3 4" xfId="2687"/>
    <cellStyle name="20% - akcent 1 5 2 3 4 2" xfId="2688"/>
    <cellStyle name="20% - akcent 1 5 2 3 4 2 2" xfId="2689"/>
    <cellStyle name="20% - akcent 1 5 2 3 4 3" xfId="2690"/>
    <cellStyle name="20% - akcent 1 5 2 3 5" xfId="2691"/>
    <cellStyle name="20% - akcent 1 5 2 3 5 2" xfId="2692"/>
    <cellStyle name="20% - akcent 1 5 2 3 6" xfId="2693"/>
    <cellStyle name="20% - akcent 1 5 2 4" xfId="2694"/>
    <cellStyle name="20% - akcent 1 5 2 4 2" xfId="2695"/>
    <cellStyle name="20% - akcent 1 5 2 4 2 2" xfId="2696"/>
    <cellStyle name="20% - akcent 1 5 2 4 2 2 2" xfId="2697"/>
    <cellStyle name="20% - akcent 1 5 2 4 2 3" xfId="2698"/>
    <cellStyle name="20% - akcent 1 5 2 4 3" xfId="2699"/>
    <cellStyle name="20% - akcent 1 5 2 4 3 2" xfId="2700"/>
    <cellStyle name="20% - akcent 1 5 2 4 3 2 2" xfId="2701"/>
    <cellStyle name="20% - akcent 1 5 2 4 3 3" xfId="2702"/>
    <cellStyle name="20% - akcent 1 5 2 4 4" xfId="2703"/>
    <cellStyle name="20% - akcent 1 5 2 4 4 2" xfId="2704"/>
    <cellStyle name="20% - akcent 1 5 2 4 4 2 2" xfId="2705"/>
    <cellStyle name="20% - akcent 1 5 2 4 4 3" xfId="2706"/>
    <cellStyle name="20% - akcent 1 5 2 4 5" xfId="2707"/>
    <cellStyle name="20% - akcent 1 5 2 4 5 2" xfId="2708"/>
    <cellStyle name="20% - akcent 1 5 2 4 6" xfId="2709"/>
    <cellStyle name="20% - akcent 1 5 2 5" xfId="2710"/>
    <cellStyle name="20% - akcent 1 5 2 6" xfId="2711"/>
    <cellStyle name="20% - akcent 1 5 2 6 2" xfId="2712"/>
    <cellStyle name="20% - akcent 1 5 2 6 2 2" xfId="2713"/>
    <cellStyle name="20% - akcent 1 5 2 6 2 2 2" xfId="2714"/>
    <cellStyle name="20% - akcent 1 5 2 6 2 3" xfId="2715"/>
    <cellStyle name="20% - akcent 1 5 2 6 3" xfId="2716"/>
    <cellStyle name="20% - akcent 1 5 2 6 3 2" xfId="2717"/>
    <cellStyle name="20% - akcent 1 5 2 6 3 2 2" xfId="2718"/>
    <cellStyle name="20% - akcent 1 5 2 6 3 3" xfId="2719"/>
    <cellStyle name="20% - akcent 1 5 2 6 4" xfId="2720"/>
    <cellStyle name="20% - akcent 1 5 2 6 4 2" xfId="2721"/>
    <cellStyle name="20% - akcent 1 5 2 6 4 2 2" xfId="2722"/>
    <cellStyle name="20% - akcent 1 5 2 6 4 3" xfId="2723"/>
    <cellStyle name="20% - akcent 1 5 2 6 5" xfId="2724"/>
    <cellStyle name="20% - akcent 1 5 2 6 5 2" xfId="2725"/>
    <cellStyle name="20% - akcent 1 5 2 6 6" xfId="2726"/>
    <cellStyle name="20% - akcent 1 5 3" xfId="2727"/>
    <cellStyle name="20% - akcent 1 5 3 2" xfId="2728"/>
    <cellStyle name="20% - akcent 1 5 3 2 2" xfId="2729"/>
    <cellStyle name="20% - akcent 1 5 3 2 2 2" xfId="2730"/>
    <cellStyle name="20% - akcent 1 5 3 2 2 2 2" xfId="2731"/>
    <cellStyle name="20% - akcent 1 5 3 2 2 3" xfId="2732"/>
    <cellStyle name="20% - akcent 1 5 3 2 3" xfId="2733"/>
    <cellStyle name="20% - akcent 1 5 3 2 3 2" xfId="2734"/>
    <cellStyle name="20% - akcent 1 5 3 2 3 2 2" xfId="2735"/>
    <cellStyle name="20% - akcent 1 5 3 2 3 3" xfId="2736"/>
    <cellStyle name="20% - akcent 1 5 3 2 4" xfId="2737"/>
    <cellStyle name="20% - akcent 1 5 3 2 4 2" xfId="2738"/>
    <cellStyle name="20% - akcent 1 5 3 2 4 2 2" xfId="2739"/>
    <cellStyle name="20% - akcent 1 5 3 2 4 3" xfId="2740"/>
    <cellStyle name="20% - akcent 1 5 3 2 5" xfId="2741"/>
    <cellStyle name="20% - akcent 1 5 3 2 5 2" xfId="2742"/>
    <cellStyle name="20% - akcent 1 5 3 2 6" xfId="2743"/>
    <cellStyle name="20% - akcent 1 5 3 3" xfId="2744"/>
    <cellStyle name="20% - akcent 1 5 3 3 2" xfId="2745"/>
    <cellStyle name="20% - akcent 1 5 3 3 2 2" xfId="2746"/>
    <cellStyle name="20% - akcent 1 5 3 3 3" xfId="2747"/>
    <cellStyle name="20% - akcent 1 5 3 4" xfId="2748"/>
    <cellStyle name="20% - akcent 1 5 3 4 2" xfId="2749"/>
    <cellStyle name="20% - akcent 1 5 3 4 2 2" xfId="2750"/>
    <cellStyle name="20% - akcent 1 5 3 4 3" xfId="2751"/>
    <cellStyle name="20% - akcent 1 5 3 5" xfId="2752"/>
    <cellStyle name="20% - akcent 1 5 3 5 2" xfId="2753"/>
    <cellStyle name="20% - akcent 1 5 3 5 2 2" xfId="2754"/>
    <cellStyle name="20% - akcent 1 5 3 5 3" xfId="2755"/>
    <cellStyle name="20% - akcent 1 5 3 6" xfId="2756"/>
    <cellStyle name="20% - akcent 1 5 3 6 2" xfId="2757"/>
    <cellStyle name="20% - akcent 1 5 3 7" xfId="2758"/>
    <cellStyle name="20% - akcent 1 5 4" xfId="2759"/>
    <cellStyle name="20% - akcent 1 5 4 2" xfId="2760"/>
    <cellStyle name="20% - akcent 1 5 4 2 2" xfId="2761"/>
    <cellStyle name="20% - akcent 1 5 4 2 2 2" xfId="2762"/>
    <cellStyle name="20% - akcent 1 5 4 2 3" xfId="2763"/>
    <cellStyle name="20% - akcent 1 5 4 3" xfId="2764"/>
    <cellStyle name="20% - akcent 1 5 4 3 2" xfId="2765"/>
    <cellStyle name="20% - akcent 1 5 4 3 2 2" xfId="2766"/>
    <cellStyle name="20% - akcent 1 5 4 3 3" xfId="2767"/>
    <cellStyle name="20% - akcent 1 5 4 4" xfId="2768"/>
    <cellStyle name="20% - akcent 1 5 4 4 2" xfId="2769"/>
    <cellStyle name="20% - akcent 1 5 4 4 2 2" xfId="2770"/>
    <cellStyle name="20% - akcent 1 5 4 4 3" xfId="2771"/>
    <cellStyle name="20% - akcent 1 5 4 5" xfId="2772"/>
    <cellStyle name="20% - akcent 1 5 4 5 2" xfId="2773"/>
    <cellStyle name="20% - akcent 1 5 4 6" xfId="2774"/>
    <cellStyle name="20% - akcent 1 5 5" xfId="2775"/>
    <cellStyle name="20% - akcent 1 5 5 2" xfId="2776"/>
    <cellStyle name="20% - akcent 1 5 5 2 2" xfId="2777"/>
    <cellStyle name="20% - akcent 1 5 5 2 2 2" xfId="2778"/>
    <cellStyle name="20% - akcent 1 5 5 2 3" xfId="2779"/>
    <cellStyle name="20% - akcent 1 5 5 3" xfId="2780"/>
    <cellStyle name="20% - akcent 1 5 5 3 2" xfId="2781"/>
    <cellStyle name="20% - akcent 1 5 5 3 2 2" xfId="2782"/>
    <cellStyle name="20% - akcent 1 5 5 3 3" xfId="2783"/>
    <cellStyle name="20% - akcent 1 5 5 4" xfId="2784"/>
    <cellStyle name="20% - akcent 1 5 5 4 2" xfId="2785"/>
    <cellStyle name="20% - akcent 1 5 5 4 2 2" xfId="2786"/>
    <cellStyle name="20% - akcent 1 5 5 4 3" xfId="2787"/>
    <cellStyle name="20% - akcent 1 5 5 5" xfId="2788"/>
    <cellStyle name="20% - akcent 1 5 5 5 2" xfId="2789"/>
    <cellStyle name="20% - akcent 1 5 5 6" xfId="2790"/>
    <cellStyle name="20% - akcent 1 5 6" xfId="2791"/>
    <cellStyle name="20% - akcent 1 5 6 2" xfId="2792"/>
    <cellStyle name="20% - akcent 1 5 6 2 2" xfId="2793"/>
    <cellStyle name="20% - akcent 1 5 6 2 2 2" xfId="2794"/>
    <cellStyle name="20% - akcent 1 5 6 2 3" xfId="2795"/>
    <cellStyle name="20% - akcent 1 5 6 3" xfId="2796"/>
    <cellStyle name="20% - akcent 1 5 6 3 2" xfId="2797"/>
    <cellStyle name="20% - akcent 1 5 6 3 2 2" xfId="2798"/>
    <cellStyle name="20% - akcent 1 5 6 3 3" xfId="2799"/>
    <cellStyle name="20% - akcent 1 5 6 4" xfId="2800"/>
    <cellStyle name="20% - akcent 1 5 6 4 2" xfId="2801"/>
    <cellStyle name="20% - akcent 1 5 6 4 2 2" xfId="2802"/>
    <cellStyle name="20% - akcent 1 5 6 4 3" xfId="2803"/>
    <cellStyle name="20% - akcent 1 5 6 5" xfId="2804"/>
    <cellStyle name="20% - akcent 1 5 6 5 2" xfId="2805"/>
    <cellStyle name="20% - akcent 1 5 6 6" xfId="2806"/>
    <cellStyle name="20% - akcent 1 5 7" xfId="2807"/>
    <cellStyle name="20% - akcent 1 5 8" xfId="2808"/>
    <cellStyle name="20% - akcent 1 5_2011'05 Raport PGE_DO-CO2" xfId="2809"/>
    <cellStyle name="20% - akcent 1 6" xfId="2810"/>
    <cellStyle name="20% - akcent 1 6 2" xfId="2811"/>
    <cellStyle name="20% - akcent 1 6 2 10" xfId="2812"/>
    <cellStyle name="20% - akcent 1 6 2 2" xfId="2813"/>
    <cellStyle name="20% - akcent 1 6 2 2 2" xfId="2814"/>
    <cellStyle name="20% - akcent 1 6 2 2 2 2" xfId="2815"/>
    <cellStyle name="20% - akcent 1 6 2 2 2 2 2" xfId="2816"/>
    <cellStyle name="20% - akcent 1 6 2 2 2 2 2 2" xfId="2817"/>
    <cellStyle name="20% - akcent 1 6 2 2 2 2 3" xfId="2818"/>
    <cellStyle name="20% - akcent 1 6 2 2 2 3" xfId="2819"/>
    <cellStyle name="20% - akcent 1 6 2 2 2 3 2" xfId="2820"/>
    <cellStyle name="20% - akcent 1 6 2 2 2 3 2 2" xfId="2821"/>
    <cellStyle name="20% - akcent 1 6 2 2 2 3 3" xfId="2822"/>
    <cellStyle name="20% - akcent 1 6 2 2 2 4" xfId="2823"/>
    <cellStyle name="20% - akcent 1 6 2 2 2 4 2" xfId="2824"/>
    <cellStyle name="20% - akcent 1 6 2 2 2 4 2 2" xfId="2825"/>
    <cellStyle name="20% - akcent 1 6 2 2 2 4 3" xfId="2826"/>
    <cellStyle name="20% - akcent 1 6 2 2 2 5" xfId="2827"/>
    <cellStyle name="20% - akcent 1 6 2 2 2 5 2" xfId="2828"/>
    <cellStyle name="20% - akcent 1 6 2 2 2 6" xfId="2829"/>
    <cellStyle name="20% - akcent 1 6 2 2 3" xfId="2830"/>
    <cellStyle name="20% - akcent 1 6 2 2 3 2" xfId="2831"/>
    <cellStyle name="20% - akcent 1 6 2 2 3 2 2" xfId="2832"/>
    <cellStyle name="20% - akcent 1 6 2 2 3 3" xfId="2833"/>
    <cellStyle name="20% - akcent 1 6 2 2 4" xfId="2834"/>
    <cellStyle name="20% - akcent 1 6 2 2 4 2" xfId="2835"/>
    <cellStyle name="20% - akcent 1 6 2 2 4 2 2" xfId="2836"/>
    <cellStyle name="20% - akcent 1 6 2 2 4 3" xfId="2837"/>
    <cellStyle name="20% - akcent 1 6 2 2 5" xfId="2838"/>
    <cellStyle name="20% - akcent 1 6 2 2 5 2" xfId="2839"/>
    <cellStyle name="20% - akcent 1 6 2 2 5 2 2" xfId="2840"/>
    <cellStyle name="20% - akcent 1 6 2 2 5 3" xfId="2841"/>
    <cellStyle name="20% - akcent 1 6 2 2 6" xfId="2842"/>
    <cellStyle name="20% - akcent 1 6 2 2 6 2" xfId="2843"/>
    <cellStyle name="20% - akcent 1 6 2 2 7" xfId="2844"/>
    <cellStyle name="20% - akcent 1 6 2 3" xfId="2845"/>
    <cellStyle name="20% - akcent 1 6 2 3 2" xfId="2846"/>
    <cellStyle name="20% - akcent 1 6 2 3 2 2" xfId="2847"/>
    <cellStyle name="20% - akcent 1 6 2 3 2 2 2" xfId="2848"/>
    <cellStyle name="20% - akcent 1 6 2 3 2 3" xfId="2849"/>
    <cellStyle name="20% - akcent 1 6 2 3 3" xfId="2850"/>
    <cellStyle name="20% - akcent 1 6 2 3 3 2" xfId="2851"/>
    <cellStyle name="20% - akcent 1 6 2 3 3 2 2" xfId="2852"/>
    <cellStyle name="20% - akcent 1 6 2 3 3 3" xfId="2853"/>
    <cellStyle name="20% - akcent 1 6 2 3 4" xfId="2854"/>
    <cellStyle name="20% - akcent 1 6 2 3 4 2" xfId="2855"/>
    <cellStyle name="20% - akcent 1 6 2 3 4 2 2" xfId="2856"/>
    <cellStyle name="20% - akcent 1 6 2 3 4 3" xfId="2857"/>
    <cellStyle name="20% - akcent 1 6 2 3 5" xfId="2858"/>
    <cellStyle name="20% - akcent 1 6 2 3 5 2" xfId="2859"/>
    <cellStyle name="20% - akcent 1 6 2 3 6" xfId="2860"/>
    <cellStyle name="20% - akcent 1 6 2 4" xfId="2861"/>
    <cellStyle name="20% - akcent 1 6 2 4 2" xfId="2862"/>
    <cellStyle name="20% - akcent 1 6 2 4 2 2" xfId="2863"/>
    <cellStyle name="20% - akcent 1 6 2 4 2 2 2" xfId="2864"/>
    <cellStyle name="20% - akcent 1 6 2 4 2 3" xfId="2865"/>
    <cellStyle name="20% - akcent 1 6 2 4 3" xfId="2866"/>
    <cellStyle name="20% - akcent 1 6 2 4 3 2" xfId="2867"/>
    <cellStyle name="20% - akcent 1 6 2 4 3 2 2" xfId="2868"/>
    <cellStyle name="20% - akcent 1 6 2 4 3 3" xfId="2869"/>
    <cellStyle name="20% - akcent 1 6 2 4 4" xfId="2870"/>
    <cellStyle name="20% - akcent 1 6 2 4 4 2" xfId="2871"/>
    <cellStyle name="20% - akcent 1 6 2 4 4 2 2" xfId="2872"/>
    <cellStyle name="20% - akcent 1 6 2 4 4 3" xfId="2873"/>
    <cellStyle name="20% - akcent 1 6 2 4 5" xfId="2874"/>
    <cellStyle name="20% - akcent 1 6 2 4 5 2" xfId="2875"/>
    <cellStyle name="20% - akcent 1 6 2 4 6" xfId="2876"/>
    <cellStyle name="20% - akcent 1 6 2 5" xfId="2877"/>
    <cellStyle name="20% - akcent 1 6 2 6" xfId="2878"/>
    <cellStyle name="20% - akcent 1 6 2 6 2" xfId="2879"/>
    <cellStyle name="20% - akcent 1 6 2 6 2 2" xfId="2880"/>
    <cellStyle name="20% - akcent 1 6 2 6 3" xfId="2881"/>
    <cellStyle name="20% - akcent 1 6 2 7" xfId="2882"/>
    <cellStyle name="20% - akcent 1 6 2 7 2" xfId="2883"/>
    <cellStyle name="20% - akcent 1 6 2 7 2 2" xfId="2884"/>
    <cellStyle name="20% - akcent 1 6 2 7 3" xfId="2885"/>
    <cellStyle name="20% - akcent 1 6 2 8" xfId="2886"/>
    <cellStyle name="20% - akcent 1 6 2 8 2" xfId="2887"/>
    <cellStyle name="20% - akcent 1 6 2 8 2 2" xfId="2888"/>
    <cellStyle name="20% - akcent 1 6 2 8 3" xfId="2889"/>
    <cellStyle name="20% - akcent 1 6 2 9" xfId="2890"/>
    <cellStyle name="20% - akcent 1 6 2 9 2" xfId="2891"/>
    <cellStyle name="20% - akcent 1 6 3" xfId="2892"/>
    <cellStyle name="20% - akcent 1 6 3 2" xfId="2893"/>
    <cellStyle name="20% - akcent 1 6 3 2 2" xfId="2894"/>
    <cellStyle name="20% - akcent 1 6 3 2 2 2" xfId="2895"/>
    <cellStyle name="20% - akcent 1 6 3 2 2 2 2" xfId="2896"/>
    <cellStyle name="20% - akcent 1 6 3 2 2 3" xfId="2897"/>
    <cellStyle name="20% - akcent 1 6 3 2 3" xfId="2898"/>
    <cellStyle name="20% - akcent 1 6 3 2 3 2" xfId="2899"/>
    <cellStyle name="20% - akcent 1 6 3 2 3 2 2" xfId="2900"/>
    <cellStyle name="20% - akcent 1 6 3 2 3 3" xfId="2901"/>
    <cellStyle name="20% - akcent 1 6 3 2 4" xfId="2902"/>
    <cellStyle name="20% - akcent 1 6 3 2 4 2" xfId="2903"/>
    <cellStyle name="20% - akcent 1 6 3 2 4 2 2" xfId="2904"/>
    <cellStyle name="20% - akcent 1 6 3 2 4 3" xfId="2905"/>
    <cellStyle name="20% - akcent 1 6 3 2 5" xfId="2906"/>
    <cellStyle name="20% - akcent 1 6 3 2 5 2" xfId="2907"/>
    <cellStyle name="20% - akcent 1 6 3 2 6" xfId="2908"/>
    <cellStyle name="20% - akcent 1 6 3 3" xfId="2909"/>
    <cellStyle name="20% - akcent 1 6 3 3 2" xfId="2910"/>
    <cellStyle name="20% - akcent 1 6 3 3 2 2" xfId="2911"/>
    <cellStyle name="20% - akcent 1 6 3 3 3" xfId="2912"/>
    <cellStyle name="20% - akcent 1 6 3 4" xfId="2913"/>
    <cellStyle name="20% - akcent 1 6 3 4 2" xfId="2914"/>
    <cellStyle name="20% - akcent 1 6 3 4 2 2" xfId="2915"/>
    <cellStyle name="20% - akcent 1 6 3 4 3" xfId="2916"/>
    <cellStyle name="20% - akcent 1 6 3 5" xfId="2917"/>
    <cellStyle name="20% - akcent 1 6 3 5 2" xfId="2918"/>
    <cellStyle name="20% - akcent 1 6 3 5 2 2" xfId="2919"/>
    <cellStyle name="20% - akcent 1 6 3 5 3" xfId="2920"/>
    <cellStyle name="20% - akcent 1 6 3 6" xfId="2921"/>
    <cellStyle name="20% - akcent 1 6 3 6 2" xfId="2922"/>
    <cellStyle name="20% - akcent 1 6 3 7" xfId="2923"/>
    <cellStyle name="20% - akcent 1 6 4" xfId="2924"/>
    <cellStyle name="20% - akcent 1 6 4 2" xfId="2925"/>
    <cellStyle name="20% - akcent 1 6 4 2 2" xfId="2926"/>
    <cellStyle name="20% - akcent 1 6 4 2 2 2" xfId="2927"/>
    <cellStyle name="20% - akcent 1 6 4 2 3" xfId="2928"/>
    <cellStyle name="20% - akcent 1 6 4 3" xfId="2929"/>
    <cellStyle name="20% - akcent 1 6 4 3 2" xfId="2930"/>
    <cellStyle name="20% - akcent 1 6 4 3 2 2" xfId="2931"/>
    <cellStyle name="20% - akcent 1 6 4 3 3" xfId="2932"/>
    <cellStyle name="20% - akcent 1 6 4 4" xfId="2933"/>
    <cellStyle name="20% - akcent 1 6 4 4 2" xfId="2934"/>
    <cellStyle name="20% - akcent 1 6 4 4 2 2" xfId="2935"/>
    <cellStyle name="20% - akcent 1 6 4 4 3" xfId="2936"/>
    <cellStyle name="20% - akcent 1 6 4 5" xfId="2937"/>
    <cellStyle name="20% - akcent 1 6 4 5 2" xfId="2938"/>
    <cellStyle name="20% - akcent 1 6 4 6" xfId="2939"/>
    <cellStyle name="20% - akcent 1 6 5" xfId="2940"/>
    <cellStyle name="20% - akcent 1 6 5 2" xfId="2941"/>
    <cellStyle name="20% - akcent 1 6 5 2 2" xfId="2942"/>
    <cellStyle name="20% - akcent 1 6 5 2 2 2" xfId="2943"/>
    <cellStyle name="20% - akcent 1 6 5 2 3" xfId="2944"/>
    <cellStyle name="20% - akcent 1 6 5 3" xfId="2945"/>
    <cellStyle name="20% - akcent 1 6 5 3 2" xfId="2946"/>
    <cellStyle name="20% - akcent 1 6 5 3 2 2" xfId="2947"/>
    <cellStyle name="20% - akcent 1 6 5 3 3" xfId="2948"/>
    <cellStyle name="20% - akcent 1 6 5 4" xfId="2949"/>
    <cellStyle name="20% - akcent 1 6 5 4 2" xfId="2950"/>
    <cellStyle name="20% - akcent 1 6 5 4 2 2" xfId="2951"/>
    <cellStyle name="20% - akcent 1 6 5 4 3" xfId="2952"/>
    <cellStyle name="20% - akcent 1 6 5 5" xfId="2953"/>
    <cellStyle name="20% - akcent 1 6 5 5 2" xfId="2954"/>
    <cellStyle name="20% - akcent 1 6 5 6" xfId="2955"/>
    <cellStyle name="20% - akcent 1 6 6" xfId="2956"/>
    <cellStyle name="20% - akcent 1 6 7" xfId="2957"/>
    <cellStyle name="20% - akcent 1 6 7 2" xfId="2958"/>
    <cellStyle name="20% - akcent 1 6 7 2 2" xfId="2959"/>
    <cellStyle name="20% - akcent 1 6 7 2 2 2" xfId="2960"/>
    <cellStyle name="20% - akcent 1 6 7 2 3" xfId="2961"/>
    <cellStyle name="20% - akcent 1 6 7 3" xfId="2962"/>
    <cellStyle name="20% - akcent 1 6 7 3 2" xfId="2963"/>
    <cellStyle name="20% - akcent 1 6 7 3 2 2" xfId="2964"/>
    <cellStyle name="20% - akcent 1 6 7 3 3" xfId="2965"/>
    <cellStyle name="20% - akcent 1 6 7 4" xfId="2966"/>
    <cellStyle name="20% - akcent 1 6 7 4 2" xfId="2967"/>
    <cellStyle name="20% - akcent 1 6 7 4 2 2" xfId="2968"/>
    <cellStyle name="20% - akcent 1 6 7 4 3" xfId="2969"/>
    <cellStyle name="20% - akcent 1 6 7 5" xfId="2970"/>
    <cellStyle name="20% - akcent 1 6 7 5 2" xfId="2971"/>
    <cellStyle name="20% - akcent 1 6 7 6" xfId="2972"/>
    <cellStyle name="20% - akcent 1 6_Arkusz1" xfId="2973"/>
    <cellStyle name="20% - akcent 1 7" xfId="2974"/>
    <cellStyle name="20% - akcent 1 7 2" xfId="2975"/>
    <cellStyle name="20% - akcent 1 7 2 10" xfId="2976"/>
    <cellStyle name="20% - akcent 1 7 2 2" xfId="2977"/>
    <cellStyle name="20% - akcent 1 7 2 2 2" xfId="2978"/>
    <cellStyle name="20% - akcent 1 7 2 2 2 2" xfId="2979"/>
    <cellStyle name="20% - akcent 1 7 2 2 2 2 2" xfId="2980"/>
    <cellStyle name="20% - akcent 1 7 2 2 2 2 2 2" xfId="2981"/>
    <cellStyle name="20% - akcent 1 7 2 2 2 2 3" xfId="2982"/>
    <cellStyle name="20% - akcent 1 7 2 2 2 3" xfId="2983"/>
    <cellStyle name="20% - akcent 1 7 2 2 2 3 2" xfId="2984"/>
    <cellStyle name="20% - akcent 1 7 2 2 2 3 2 2" xfId="2985"/>
    <cellStyle name="20% - akcent 1 7 2 2 2 3 3" xfId="2986"/>
    <cellStyle name="20% - akcent 1 7 2 2 2 4" xfId="2987"/>
    <cellStyle name="20% - akcent 1 7 2 2 2 4 2" xfId="2988"/>
    <cellStyle name="20% - akcent 1 7 2 2 2 4 2 2" xfId="2989"/>
    <cellStyle name="20% - akcent 1 7 2 2 2 4 3" xfId="2990"/>
    <cellStyle name="20% - akcent 1 7 2 2 2 5" xfId="2991"/>
    <cellStyle name="20% - akcent 1 7 2 2 2 5 2" xfId="2992"/>
    <cellStyle name="20% - akcent 1 7 2 2 2 6" xfId="2993"/>
    <cellStyle name="20% - akcent 1 7 2 2 3" xfId="2994"/>
    <cellStyle name="20% - akcent 1 7 2 2 3 2" xfId="2995"/>
    <cellStyle name="20% - akcent 1 7 2 2 3 2 2" xfId="2996"/>
    <cellStyle name="20% - akcent 1 7 2 2 3 3" xfId="2997"/>
    <cellStyle name="20% - akcent 1 7 2 2 4" xfId="2998"/>
    <cellStyle name="20% - akcent 1 7 2 2 4 2" xfId="2999"/>
    <cellStyle name="20% - akcent 1 7 2 2 4 2 2" xfId="3000"/>
    <cellStyle name="20% - akcent 1 7 2 2 4 3" xfId="3001"/>
    <cellStyle name="20% - akcent 1 7 2 2 5" xfId="3002"/>
    <cellStyle name="20% - akcent 1 7 2 2 5 2" xfId="3003"/>
    <cellStyle name="20% - akcent 1 7 2 2 5 2 2" xfId="3004"/>
    <cellStyle name="20% - akcent 1 7 2 2 5 3" xfId="3005"/>
    <cellStyle name="20% - akcent 1 7 2 2 6" xfId="3006"/>
    <cellStyle name="20% - akcent 1 7 2 2 6 2" xfId="3007"/>
    <cellStyle name="20% - akcent 1 7 2 2 7" xfId="3008"/>
    <cellStyle name="20% - akcent 1 7 2 3" xfId="3009"/>
    <cellStyle name="20% - akcent 1 7 2 3 2" xfId="3010"/>
    <cellStyle name="20% - akcent 1 7 2 3 2 2" xfId="3011"/>
    <cellStyle name="20% - akcent 1 7 2 3 2 2 2" xfId="3012"/>
    <cellStyle name="20% - akcent 1 7 2 3 2 3" xfId="3013"/>
    <cellStyle name="20% - akcent 1 7 2 3 3" xfId="3014"/>
    <cellStyle name="20% - akcent 1 7 2 3 3 2" xfId="3015"/>
    <cellStyle name="20% - akcent 1 7 2 3 3 2 2" xfId="3016"/>
    <cellStyle name="20% - akcent 1 7 2 3 3 3" xfId="3017"/>
    <cellStyle name="20% - akcent 1 7 2 3 4" xfId="3018"/>
    <cellStyle name="20% - akcent 1 7 2 3 4 2" xfId="3019"/>
    <cellStyle name="20% - akcent 1 7 2 3 4 2 2" xfId="3020"/>
    <cellStyle name="20% - akcent 1 7 2 3 4 3" xfId="3021"/>
    <cellStyle name="20% - akcent 1 7 2 3 5" xfId="3022"/>
    <cellStyle name="20% - akcent 1 7 2 3 5 2" xfId="3023"/>
    <cellStyle name="20% - akcent 1 7 2 3 6" xfId="3024"/>
    <cellStyle name="20% - akcent 1 7 2 4" xfId="3025"/>
    <cellStyle name="20% - akcent 1 7 2 4 2" xfId="3026"/>
    <cellStyle name="20% - akcent 1 7 2 4 2 2" xfId="3027"/>
    <cellStyle name="20% - akcent 1 7 2 4 2 2 2" xfId="3028"/>
    <cellStyle name="20% - akcent 1 7 2 4 2 3" xfId="3029"/>
    <cellStyle name="20% - akcent 1 7 2 4 3" xfId="3030"/>
    <cellStyle name="20% - akcent 1 7 2 4 3 2" xfId="3031"/>
    <cellStyle name="20% - akcent 1 7 2 4 3 2 2" xfId="3032"/>
    <cellStyle name="20% - akcent 1 7 2 4 3 3" xfId="3033"/>
    <cellStyle name="20% - akcent 1 7 2 4 4" xfId="3034"/>
    <cellStyle name="20% - akcent 1 7 2 4 4 2" xfId="3035"/>
    <cellStyle name="20% - akcent 1 7 2 4 4 2 2" xfId="3036"/>
    <cellStyle name="20% - akcent 1 7 2 4 4 3" xfId="3037"/>
    <cellStyle name="20% - akcent 1 7 2 4 5" xfId="3038"/>
    <cellStyle name="20% - akcent 1 7 2 4 5 2" xfId="3039"/>
    <cellStyle name="20% - akcent 1 7 2 4 6" xfId="3040"/>
    <cellStyle name="20% - akcent 1 7 2 5" xfId="3041"/>
    <cellStyle name="20% - akcent 1 7 2 6" xfId="3042"/>
    <cellStyle name="20% - akcent 1 7 2 6 2" xfId="3043"/>
    <cellStyle name="20% - akcent 1 7 2 6 2 2" xfId="3044"/>
    <cellStyle name="20% - akcent 1 7 2 6 3" xfId="3045"/>
    <cellStyle name="20% - akcent 1 7 2 7" xfId="3046"/>
    <cellStyle name="20% - akcent 1 7 2 7 2" xfId="3047"/>
    <cellStyle name="20% - akcent 1 7 2 7 2 2" xfId="3048"/>
    <cellStyle name="20% - akcent 1 7 2 7 3" xfId="3049"/>
    <cellStyle name="20% - akcent 1 7 2 8" xfId="3050"/>
    <cellStyle name="20% - akcent 1 7 2 8 2" xfId="3051"/>
    <cellStyle name="20% - akcent 1 7 2 8 2 2" xfId="3052"/>
    <cellStyle name="20% - akcent 1 7 2 8 3" xfId="3053"/>
    <cellStyle name="20% - akcent 1 7 2 9" xfId="3054"/>
    <cellStyle name="20% - akcent 1 7 2 9 2" xfId="3055"/>
    <cellStyle name="20% - akcent 1 7 3" xfId="3056"/>
    <cellStyle name="20% - akcent 1 7 3 2" xfId="3057"/>
    <cellStyle name="20% - akcent 1 7 3 2 2" xfId="3058"/>
    <cellStyle name="20% - akcent 1 7 3 2 2 2" xfId="3059"/>
    <cellStyle name="20% - akcent 1 7 3 2 2 2 2" xfId="3060"/>
    <cellStyle name="20% - akcent 1 7 3 2 2 3" xfId="3061"/>
    <cellStyle name="20% - akcent 1 7 3 2 3" xfId="3062"/>
    <cellStyle name="20% - akcent 1 7 3 2 3 2" xfId="3063"/>
    <cellStyle name="20% - akcent 1 7 3 2 3 2 2" xfId="3064"/>
    <cellStyle name="20% - akcent 1 7 3 2 3 3" xfId="3065"/>
    <cellStyle name="20% - akcent 1 7 3 2 4" xfId="3066"/>
    <cellStyle name="20% - akcent 1 7 3 2 4 2" xfId="3067"/>
    <cellStyle name="20% - akcent 1 7 3 2 4 2 2" xfId="3068"/>
    <cellStyle name="20% - akcent 1 7 3 2 4 3" xfId="3069"/>
    <cellStyle name="20% - akcent 1 7 3 2 5" xfId="3070"/>
    <cellStyle name="20% - akcent 1 7 3 2 5 2" xfId="3071"/>
    <cellStyle name="20% - akcent 1 7 3 2 6" xfId="3072"/>
    <cellStyle name="20% - akcent 1 7 3 3" xfId="3073"/>
    <cellStyle name="20% - akcent 1 7 3 3 2" xfId="3074"/>
    <cellStyle name="20% - akcent 1 7 3 3 2 2" xfId="3075"/>
    <cellStyle name="20% - akcent 1 7 3 3 3" xfId="3076"/>
    <cellStyle name="20% - akcent 1 7 3 4" xfId="3077"/>
    <cellStyle name="20% - akcent 1 7 3 4 2" xfId="3078"/>
    <cellStyle name="20% - akcent 1 7 3 4 2 2" xfId="3079"/>
    <cellStyle name="20% - akcent 1 7 3 4 3" xfId="3080"/>
    <cellStyle name="20% - akcent 1 7 3 5" xfId="3081"/>
    <cellStyle name="20% - akcent 1 7 3 5 2" xfId="3082"/>
    <cellStyle name="20% - akcent 1 7 3 5 2 2" xfId="3083"/>
    <cellStyle name="20% - akcent 1 7 3 5 3" xfId="3084"/>
    <cellStyle name="20% - akcent 1 7 3 6" xfId="3085"/>
    <cellStyle name="20% - akcent 1 7 3 6 2" xfId="3086"/>
    <cellStyle name="20% - akcent 1 7 3 7" xfId="3087"/>
    <cellStyle name="20% - akcent 1 7 4" xfId="3088"/>
    <cellStyle name="20% - akcent 1 7 4 2" xfId="3089"/>
    <cellStyle name="20% - akcent 1 7 4 2 2" xfId="3090"/>
    <cellStyle name="20% - akcent 1 7 4 2 2 2" xfId="3091"/>
    <cellStyle name="20% - akcent 1 7 4 2 3" xfId="3092"/>
    <cellStyle name="20% - akcent 1 7 4 3" xfId="3093"/>
    <cellStyle name="20% - akcent 1 7 4 3 2" xfId="3094"/>
    <cellStyle name="20% - akcent 1 7 4 3 2 2" xfId="3095"/>
    <cellStyle name="20% - akcent 1 7 4 3 3" xfId="3096"/>
    <cellStyle name="20% - akcent 1 7 4 4" xfId="3097"/>
    <cellStyle name="20% - akcent 1 7 4 4 2" xfId="3098"/>
    <cellStyle name="20% - akcent 1 7 4 4 2 2" xfId="3099"/>
    <cellStyle name="20% - akcent 1 7 4 4 3" xfId="3100"/>
    <cellStyle name="20% - akcent 1 7 4 5" xfId="3101"/>
    <cellStyle name="20% - akcent 1 7 4 5 2" xfId="3102"/>
    <cellStyle name="20% - akcent 1 7 4 6" xfId="3103"/>
    <cellStyle name="20% - akcent 1 7 5" xfId="3104"/>
    <cellStyle name="20% - akcent 1 7 5 2" xfId="3105"/>
    <cellStyle name="20% - akcent 1 7 5 2 2" xfId="3106"/>
    <cellStyle name="20% - akcent 1 7 5 2 2 2" xfId="3107"/>
    <cellStyle name="20% - akcent 1 7 5 2 3" xfId="3108"/>
    <cellStyle name="20% - akcent 1 7 5 3" xfId="3109"/>
    <cellStyle name="20% - akcent 1 7 5 3 2" xfId="3110"/>
    <cellStyle name="20% - akcent 1 7 5 3 2 2" xfId="3111"/>
    <cellStyle name="20% - akcent 1 7 5 3 3" xfId="3112"/>
    <cellStyle name="20% - akcent 1 7 5 4" xfId="3113"/>
    <cellStyle name="20% - akcent 1 7 5 4 2" xfId="3114"/>
    <cellStyle name="20% - akcent 1 7 5 4 2 2" xfId="3115"/>
    <cellStyle name="20% - akcent 1 7 5 4 3" xfId="3116"/>
    <cellStyle name="20% - akcent 1 7 5 5" xfId="3117"/>
    <cellStyle name="20% - akcent 1 7 5 5 2" xfId="3118"/>
    <cellStyle name="20% - akcent 1 7 5 6" xfId="3119"/>
    <cellStyle name="20% - akcent 1 7 6" xfId="3120"/>
    <cellStyle name="20% - akcent 1 7 7" xfId="3121"/>
    <cellStyle name="20% - akcent 1 7 7 2" xfId="3122"/>
    <cellStyle name="20% - akcent 1 7 7 2 2" xfId="3123"/>
    <cellStyle name="20% - akcent 1 7 7 2 2 2" xfId="3124"/>
    <cellStyle name="20% - akcent 1 7 7 2 3" xfId="3125"/>
    <cellStyle name="20% - akcent 1 7 7 3" xfId="3126"/>
    <cellStyle name="20% - akcent 1 7 7 3 2" xfId="3127"/>
    <cellStyle name="20% - akcent 1 7 7 3 2 2" xfId="3128"/>
    <cellStyle name="20% - akcent 1 7 7 3 3" xfId="3129"/>
    <cellStyle name="20% - akcent 1 7 7 4" xfId="3130"/>
    <cellStyle name="20% - akcent 1 7 7 4 2" xfId="3131"/>
    <cellStyle name="20% - akcent 1 7 7 4 2 2" xfId="3132"/>
    <cellStyle name="20% - akcent 1 7 7 4 3" xfId="3133"/>
    <cellStyle name="20% - akcent 1 7 7 5" xfId="3134"/>
    <cellStyle name="20% - akcent 1 7 7 5 2" xfId="3135"/>
    <cellStyle name="20% - akcent 1 7 7 6" xfId="3136"/>
    <cellStyle name="20% - akcent 1 7_Arkusz1" xfId="3137"/>
    <cellStyle name="20% - akcent 1 8" xfId="3138"/>
    <cellStyle name="20% - akcent 1 8 2" xfId="3139"/>
    <cellStyle name="20% - akcent 1 8 3" xfId="3140"/>
    <cellStyle name="20% - akcent 1 8_Arkusz1" xfId="3141"/>
    <cellStyle name="20% - akcent 1 9" xfId="3142"/>
    <cellStyle name="20% - akcent 1 9 2" xfId="3143"/>
    <cellStyle name="20% - akcent 1 9_Arkusz1" xfId="3144"/>
    <cellStyle name="20% - akcent 2 10" xfId="3145"/>
    <cellStyle name="20% - akcent 2 10 2" xfId="3146"/>
    <cellStyle name="20% - akcent 2 10_Arkusz1" xfId="3147"/>
    <cellStyle name="20% - akcent 2 11" xfId="3148"/>
    <cellStyle name="20% - akcent 2 12" xfId="3149"/>
    <cellStyle name="20% - akcent 2 13" xfId="3150"/>
    <cellStyle name="20% - akcent 2 2" xfId="3151"/>
    <cellStyle name="20% - akcent 2 2 10" xfId="3152"/>
    <cellStyle name="20% - akcent 2 2 11" xfId="3153"/>
    <cellStyle name="20% - akcent 2 2 11 2" xfId="3154"/>
    <cellStyle name="20% - akcent 2 2 2" xfId="3155"/>
    <cellStyle name="20% - akcent 2 2 2 2" xfId="3156"/>
    <cellStyle name="20% - akcent 2 2 2 2 2" xfId="3157"/>
    <cellStyle name="20% - akcent 2 2 2 2 2 2" xfId="3158"/>
    <cellStyle name="20% - akcent 2 2 2 2 2 2 2" xfId="3159"/>
    <cellStyle name="20% - akcent 2 2 2 2 2 2 2 2" xfId="3160"/>
    <cellStyle name="20% - akcent 2 2 2 2 2 2 2 2 2" xfId="3161"/>
    <cellStyle name="20% - akcent 2 2 2 2 2 2 2 2 2 2" xfId="3162"/>
    <cellStyle name="20% - akcent 2 2 2 2 2 2 2 2 3" xfId="3163"/>
    <cellStyle name="20% - akcent 2 2 2 2 2 2 2 3" xfId="3164"/>
    <cellStyle name="20% - akcent 2 2 2 2 2 2 2 3 2" xfId="3165"/>
    <cellStyle name="20% - akcent 2 2 2 2 2 2 2 3 2 2" xfId="3166"/>
    <cellStyle name="20% - akcent 2 2 2 2 2 2 2 3 3" xfId="3167"/>
    <cellStyle name="20% - akcent 2 2 2 2 2 2 2 4" xfId="3168"/>
    <cellStyle name="20% - akcent 2 2 2 2 2 2 2 4 2" xfId="3169"/>
    <cellStyle name="20% - akcent 2 2 2 2 2 2 2 4 2 2" xfId="3170"/>
    <cellStyle name="20% - akcent 2 2 2 2 2 2 2 4 3" xfId="3171"/>
    <cellStyle name="20% - akcent 2 2 2 2 2 2 2 5" xfId="3172"/>
    <cellStyle name="20% - akcent 2 2 2 2 2 2 2 5 2" xfId="3173"/>
    <cellStyle name="20% - akcent 2 2 2 2 2 2 2 6" xfId="3174"/>
    <cellStyle name="20% - akcent 2 2 2 2 2 2 3" xfId="3175"/>
    <cellStyle name="20% - akcent 2 2 2 2 2 2 3 2" xfId="3176"/>
    <cellStyle name="20% - akcent 2 2 2 2 2 2 3 2 2" xfId="3177"/>
    <cellStyle name="20% - akcent 2 2 2 2 2 2 3 3" xfId="3178"/>
    <cellStyle name="20% - akcent 2 2 2 2 2 2 4" xfId="3179"/>
    <cellStyle name="20% - akcent 2 2 2 2 2 2 4 2" xfId="3180"/>
    <cellStyle name="20% - akcent 2 2 2 2 2 2 4 2 2" xfId="3181"/>
    <cellStyle name="20% - akcent 2 2 2 2 2 2 4 3" xfId="3182"/>
    <cellStyle name="20% - akcent 2 2 2 2 2 2 5" xfId="3183"/>
    <cellStyle name="20% - akcent 2 2 2 2 2 2 5 2" xfId="3184"/>
    <cellStyle name="20% - akcent 2 2 2 2 2 2 5 2 2" xfId="3185"/>
    <cellStyle name="20% - akcent 2 2 2 2 2 2 5 3" xfId="3186"/>
    <cellStyle name="20% - akcent 2 2 2 2 2 2 6" xfId="3187"/>
    <cellStyle name="20% - akcent 2 2 2 2 2 2 6 2" xfId="3188"/>
    <cellStyle name="20% - akcent 2 2 2 2 2 2 7" xfId="3189"/>
    <cellStyle name="20% - akcent 2 2 2 2 2 3" xfId="3190"/>
    <cellStyle name="20% - akcent 2 2 2 2 2 3 2" xfId="3191"/>
    <cellStyle name="20% - akcent 2 2 2 2 2 3 2 2" xfId="3192"/>
    <cellStyle name="20% - akcent 2 2 2 2 2 3 2 2 2" xfId="3193"/>
    <cellStyle name="20% - akcent 2 2 2 2 2 3 2 3" xfId="3194"/>
    <cellStyle name="20% - akcent 2 2 2 2 2 3 3" xfId="3195"/>
    <cellStyle name="20% - akcent 2 2 2 2 2 3 3 2" xfId="3196"/>
    <cellStyle name="20% - akcent 2 2 2 2 2 3 3 2 2" xfId="3197"/>
    <cellStyle name="20% - akcent 2 2 2 2 2 3 3 3" xfId="3198"/>
    <cellStyle name="20% - akcent 2 2 2 2 2 3 4" xfId="3199"/>
    <cellStyle name="20% - akcent 2 2 2 2 2 3 4 2" xfId="3200"/>
    <cellStyle name="20% - akcent 2 2 2 2 2 3 4 2 2" xfId="3201"/>
    <cellStyle name="20% - akcent 2 2 2 2 2 3 4 3" xfId="3202"/>
    <cellStyle name="20% - akcent 2 2 2 2 2 3 5" xfId="3203"/>
    <cellStyle name="20% - akcent 2 2 2 2 2 3 5 2" xfId="3204"/>
    <cellStyle name="20% - akcent 2 2 2 2 2 3 6" xfId="3205"/>
    <cellStyle name="20% - akcent 2 2 2 2 2 4" xfId="3206"/>
    <cellStyle name="20% - akcent 2 2 2 2 2 4 2" xfId="3207"/>
    <cellStyle name="20% - akcent 2 2 2 2 2 4 2 2" xfId="3208"/>
    <cellStyle name="20% - akcent 2 2 2 2 2 4 2 2 2" xfId="3209"/>
    <cellStyle name="20% - akcent 2 2 2 2 2 4 2 3" xfId="3210"/>
    <cellStyle name="20% - akcent 2 2 2 2 2 4 3" xfId="3211"/>
    <cellStyle name="20% - akcent 2 2 2 2 2 4 3 2" xfId="3212"/>
    <cellStyle name="20% - akcent 2 2 2 2 2 4 3 2 2" xfId="3213"/>
    <cellStyle name="20% - akcent 2 2 2 2 2 4 3 3" xfId="3214"/>
    <cellStyle name="20% - akcent 2 2 2 2 2 4 4" xfId="3215"/>
    <cellStyle name="20% - akcent 2 2 2 2 2 4 4 2" xfId="3216"/>
    <cellStyle name="20% - akcent 2 2 2 2 2 4 4 2 2" xfId="3217"/>
    <cellStyle name="20% - akcent 2 2 2 2 2 4 4 3" xfId="3218"/>
    <cellStyle name="20% - akcent 2 2 2 2 2 4 5" xfId="3219"/>
    <cellStyle name="20% - akcent 2 2 2 2 2 4 5 2" xfId="3220"/>
    <cellStyle name="20% - akcent 2 2 2 2 2 4 6" xfId="3221"/>
    <cellStyle name="20% - akcent 2 2 2 2 2 5" xfId="3222"/>
    <cellStyle name="20% - akcent 2 2 2 2 2 5 2" xfId="3223"/>
    <cellStyle name="20% - akcent 2 2 2 2 2 5 2 2" xfId="3224"/>
    <cellStyle name="20% - akcent 2 2 2 2 2 5 3" xfId="3225"/>
    <cellStyle name="20% - akcent 2 2 2 2 2 6" xfId="3226"/>
    <cellStyle name="20% - akcent 2 2 2 2 2 6 2" xfId="3227"/>
    <cellStyle name="20% - akcent 2 2 2 2 2 6 2 2" xfId="3228"/>
    <cellStyle name="20% - akcent 2 2 2 2 2 6 3" xfId="3229"/>
    <cellStyle name="20% - akcent 2 2 2 2 2 7" xfId="3230"/>
    <cellStyle name="20% - akcent 2 2 2 2 2 7 2" xfId="3231"/>
    <cellStyle name="20% - akcent 2 2 2 2 2 7 2 2" xfId="3232"/>
    <cellStyle name="20% - akcent 2 2 2 2 2 7 3" xfId="3233"/>
    <cellStyle name="20% - akcent 2 2 2 2 2 8" xfId="3234"/>
    <cellStyle name="20% - akcent 2 2 2 2 2 8 2" xfId="3235"/>
    <cellStyle name="20% - akcent 2 2 2 2 2 9" xfId="3236"/>
    <cellStyle name="20% - akcent 2 2 2 2 3" xfId="3237"/>
    <cellStyle name="20% - akcent 2 2 2 2 3 2" xfId="3238"/>
    <cellStyle name="20% - akcent 2 2 2 2 3 2 2" xfId="3239"/>
    <cellStyle name="20% - akcent 2 2 2 2 3 2 2 2" xfId="3240"/>
    <cellStyle name="20% - akcent 2 2 2 2 3 2 2 2 2" xfId="3241"/>
    <cellStyle name="20% - akcent 2 2 2 2 3 2 2 3" xfId="3242"/>
    <cellStyle name="20% - akcent 2 2 2 2 3 2 3" xfId="3243"/>
    <cellStyle name="20% - akcent 2 2 2 2 3 2 3 2" xfId="3244"/>
    <cellStyle name="20% - akcent 2 2 2 2 3 2 3 2 2" xfId="3245"/>
    <cellStyle name="20% - akcent 2 2 2 2 3 2 3 3" xfId="3246"/>
    <cellStyle name="20% - akcent 2 2 2 2 3 2 4" xfId="3247"/>
    <cellStyle name="20% - akcent 2 2 2 2 3 2 4 2" xfId="3248"/>
    <cellStyle name="20% - akcent 2 2 2 2 3 2 4 2 2" xfId="3249"/>
    <cellStyle name="20% - akcent 2 2 2 2 3 2 4 3" xfId="3250"/>
    <cellStyle name="20% - akcent 2 2 2 2 3 2 5" xfId="3251"/>
    <cellStyle name="20% - akcent 2 2 2 2 3 2 5 2" xfId="3252"/>
    <cellStyle name="20% - akcent 2 2 2 2 3 2 6" xfId="3253"/>
    <cellStyle name="20% - akcent 2 2 2 2 3 3" xfId="3254"/>
    <cellStyle name="20% - akcent 2 2 2 2 3 3 2" xfId="3255"/>
    <cellStyle name="20% - akcent 2 2 2 2 3 3 2 2" xfId="3256"/>
    <cellStyle name="20% - akcent 2 2 2 2 3 3 3" xfId="3257"/>
    <cellStyle name="20% - akcent 2 2 2 2 3 4" xfId="3258"/>
    <cellStyle name="20% - akcent 2 2 2 2 3 4 2" xfId="3259"/>
    <cellStyle name="20% - akcent 2 2 2 2 3 4 2 2" xfId="3260"/>
    <cellStyle name="20% - akcent 2 2 2 2 3 4 3" xfId="3261"/>
    <cellStyle name="20% - akcent 2 2 2 2 3 5" xfId="3262"/>
    <cellStyle name="20% - akcent 2 2 2 2 3 5 2" xfId="3263"/>
    <cellStyle name="20% - akcent 2 2 2 2 3 5 2 2" xfId="3264"/>
    <cellStyle name="20% - akcent 2 2 2 2 3 5 3" xfId="3265"/>
    <cellStyle name="20% - akcent 2 2 2 2 3 6" xfId="3266"/>
    <cellStyle name="20% - akcent 2 2 2 2 3 6 2" xfId="3267"/>
    <cellStyle name="20% - akcent 2 2 2 2 3 7" xfId="3268"/>
    <cellStyle name="20% - akcent 2 2 2 2 4" xfId="3269"/>
    <cellStyle name="20% - akcent 2 2 2 2 4 2" xfId="3270"/>
    <cellStyle name="20% - akcent 2 2 2 2 4 2 2" xfId="3271"/>
    <cellStyle name="20% - akcent 2 2 2 2 4 2 2 2" xfId="3272"/>
    <cellStyle name="20% - akcent 2 2 2 2 4 2 3" xfId="3273"/>
    <cellStyle name="20% - akcent 2 2 2 2 4 3" xfId="3274"/>
    <cellStyle name="20% - akcent 2 2 2 2 4 3 2" xfId="3275"/>
    <cellStyle name="20% - akcent 2 2 2 2 4 3 2 2" xfId="3276"/>
    <cellStyle name="20% - akcent 2 2 2 2 4 3 3" xfId="3277"/>
    <cellStyle name="20% - akcent 2 2 2 2 4 4" xfId="3278"/>
    <cellStyle name="20% - akcent 2 2 2 2 4 4 2" xfId="3279"/>
    <cellStyle name="20% - akcent 2 2 2 2 4 4 2 2" xfId="3280"/>
    <cellStyle name="20% - akcent 2 2 2 2 4 4 3" xfId="3281"/>
    <cellStyle name="20% - akcent 2 2 2 2 4 5" xfId="3282"/>
    <cellStyle name="20% - akcent 2 2 2 2 4 5 2" xfId="3283"/>
    <cellStyle name="20% - akcent 2 2 2 2 4 6" xfId="3284"/>
    <cellStyle name="20% - akcent 2 2 2 2 5" xfId="3285"/>
    <cellStyle name="20% - akcent 2 2 2 2 5 2" xfId="3286"/>
    <cellStyle name="20% - akcent 2 2 2 2 5 2 2" xfId="3287"/>
    <cellStyle name="20% - akcent 2 2 2 2 5 2 2 2" xfId="3288"/>
    <cellStyle name="20% - akcent 2 2 2 2 5 2 3" xfId="3289"/>
    <cellStyle name="20% - akcent 2 2 2 2 5 3" xfId="3290"/>
    <cellStyle name="20% - akcent 2 2 2 2 5 3 2" xfId="3291"/>
    <cellStyle name="20% - akcent 2 2 2 2 5 3 2 2" xfId="3292"/>
    <cellStyle name="20% - akcent 2 2 2 2 5 3 3" xfId="3293"/>
    <cellStyle name="20% - akcent 2 2 2 2 5 4" xfId="3294"/>
    <cellStyle name="20% - akcent 2 2 2 2 5 4 2" xfId="3295"/>
    <cellStyle name="20% - akcent 2 2 2 2 5 4 2 2" xfId="3296"/>
    <cellStyle name="20% - akcent 2 2 2 2 5 4 3" xfId="3297"/>
    <cellStyle name="20% - akcent 2 2 2 2 5 5" xfId="3298"/>
    <cellStyle name="20% - akcent 2 2 2 2 5 5 2" xfId="3299"/>
    <cellStyle name="20% - akcent 2 2 2 2 5 6" xfId="3300"/>
    <cellStyle name="20% - akcent 2 2 2 2 6" xfId="3301"/>
    <cellStyle name="20% - akcent 2 2 2 2 6 2" xfId="3302"/>
    <cellStyle name="20% - akcent 2 2 2 2 6 2 2" xfId="3303"/>
    <cellStyle name="20% - akcent 2 2 2 2 6 2 2 2" xfId="3304"/>
    <cellStyle name="20% - akcent 2 2 2 2 6 2 3" xfId="3305"/>
    <cellStyle name="20% - akcent 2 2 2 2 6 3" xfId="3306"/>
    <cellStyle name="20% - akcent 2 2 2 2 6 3 2" xfId="3307"/>
    <cellStyle name="20% - akcent 2 2 2 2 6 3 2 2" xfId="3308"/>
    <cellStyle name="20% - akcent 2 2 2 2 6 3 3" xfId="3309"/>
    <cellStyle name="20% - akcent 2 2 2 2 6 4" xfId="3310"/>
    <cellStyle name="20% - akcent 2 2 2 2 6 4 2" xfId="3311"/>
    <cellStyle name="20% - akcent 2 2 2 2 6 4 2 2" xfId="3312"/>
    <cellStyle name="20% - akcent 2 2 2 2 6 4 3" xfId="3313"/>
    <cellStyle name="20% - akcent 2 2 2 2 6 5" xfId="3314"/>
    <cellStyle name="20% - akcent 2 2 2 2 6 5 2" xfId="3315"/>
    <cellStyle name="20% - akcent 2 2 2 2 6 6" xfId="3316"/>
    <cellStyle name="20% - akcent 2 2 2 3" xfId="3317"/>
    <cellStyle name="20% - akcent 2 2 2 3 2" xfId="3318"/>
    <cellStyle name="20% - akcent 2 2 2 3 2 2" xfId="3319"/>
    <cellStyle name="20% - akcent 2 2 2 3 2 2 2" xfId="3320"/>
    <cellStyle name="20% - akcent 2 2 2 3 2 2 2 2" xfId="3321"/>
    <cellStyle name="20% - akcent 2 2 2 3 2 2 2 2 2" xfId="3322"/>
    <cellStyle name="20% - akcent 2 2 2 3 2 2 2 3" xfId="3323"/>
    <cellStyle name="20% - akcent 2 2 2 3 2 2 3" xfId="3324"/>
    <cellStyle name="20% - akcent 2 2 2 3 2 2 3 2" xfId="3325"/>
    <cellStyle name="20% - akcent 2 2 2 3 2 2 3 2 2" xfId="3326"/>
    <cellStyle name="20% - akcent 2 2 2 3 2 2 3 3" xfId="3327"/>
    <cellStyle name="20% - akcent 2 2 2 3 2 2 4" xfId="3328"/>
    <cellStyle name="20% - akcent 2 2 2 3 2 2 4 2" xfId="3329"/>
    <cellStyle name="20% - akcent 2 2 2 3 2 2 4 2 2" xfId="3330"/>
    <cellStyle name="20% - akcent 2 2 2 3 2 2 4 3" xfId="3331"/>
    <cellStyle name="20% - akcent 2 2 2 3 2 2 5" xfId="3332"/>
    <cellStyle name="20% - akcent 2 2 2 3 2 2 5 2" xfId="3333"/>
    <cellStyle name="20% - akcent 2 2 2 3 2 2 6" xfId="3334"/>
    <cellStyle name="20% - akcent 2 2 2 3 2 3" xfId="3335"/>
    <cellStyle name="20% - akcent 2 2 2 3 2 3 2" xfId="3336"/>
    <cellStyle name="20% - akcent 2 2 2 3 2 3 2 2" xfId="3337"/>
    <cellStyle name="20% - akcent 2 2 2 3 2 3 3" xfId="3338"/>
    <cellStyle name="20% - akcent 2 2 2 3 2 4" xfId="3339"/>
    <cellStyle name="20% - akcent 2 2 2 3 2 4 2" xfId="3340"/>
    <cellStyle name="20% - akcent 2 2 2 3 2 4 2 2" xfId="3341"/>
    <cellStyle name="20% - akcent 2 2 2 3 2 4 3" xfId="3342"/>
    <cellStyle name="20% - akcent 2 2 2 3 2 5" xfId="3343"/>
    <cellStyle name="20% - akcent 2 2 2 3 2 5 2" xfId="3344"/>
    <cellStyle name="20% - akcent 2 2 2 3 2 5 2 2" xfId="3345"/>
    <cellStyle name="20% - akcent 2 2 2 3 2 5 3" xfId="3346"/>
    <cellStyle name="20% - akcent 2 2 2 3 2 6" xfId="3347"/>
    <cellStyle name="20% - akcent 2 2 2 3 2 6 2" xfId="3348"/>
    <cellStyle name="20% - akcent 2 2 2 3 2 7" xfId="3349"/>
    <cellStyle name="20% - akcent 2 2 2 3 3" xfId="3350"/>
    <cellStyle name="20% - akcent 2 2 2 3 3 2" xfId="3351"/>
    <cellStyle name="20% - akcent 2 2 2 3 3 2 2" xfId="3352"/>
    <cellStyle name="20% - akcent 2 2 2 3 3 2 2 2" xfId="3353"/>
    <cellStyle name="20% - akcent 2 2 2 3 3 2 3" xfId="3354"/>
    <cellStyle name="20% - akcent 2 2 2 3 3 3" xfId="3355"/>
    <cellStyle name="20% - akcent 2 2 2 3 3 3 2" xfId="3356"/>
    <cellStyle name="20% - akcent 2 2 2 3 3 3 2 2" xfId="3357"/>
    <cellStyle name="20% - akcent 2 2 2 3 3 3 3" xfId="3358"/>
    <cellStyle name="20% - akcent 2 2 2 3 3 4" xfId="3359"/>
    <cellStyle name="20% - akcent 2 2 2 3 3 4 2" xfId="3360"/>
    <cellStyle name="20% - akcent 2 2 2 3 3 4 2 2" xfId="3361"/>
    <cellStyle name="20% - akcent 2 2 2 3 3 4 3" xfId="3362"/>
    <cellStyle name="20% - akcent 2 2 2 3 3 5" xfId="3363"/>
    <cellStyle name="20% - akcent 2 2 2 3 3 5 2" xfId="3364"/>
    <cellStyle name="20% - akcent 2 2 2 3 3 6" xfId="3365"/>
    <cellStyle name="20% - akcent 2 2 2 3 4" xfId="3366"/>
    <cellStyle name="20% - akcent 2 2 2 3 4 2" xfId="3367"/>
    <cellStyle name="20% - akcent 2 2 2 3 4 2 2" xfId="3368"/>
    <cellStyle name="20% - akcent 2 2 2 3 4 2 2 2" xfId="3369"/>
    <cellStyle name="20% - akcent 2 2 2 3 4 2 3" xfId="3370"/>
    <cellStyle name="20% - akcent 2 2 2 3 4 3" xfId="3371"/>
    <cellStyle name="20% - akcent 2 2 2 3 4 3 2" xfId="3372"/>
    <cellStyle name="20% - akcent 2 2 2 3 4 3 2 2" xfId="3373"/>
    <cellStyle name="20% - akcent 2 2 2 3 4 3 3" xfId="3374"/>
    <cellStyle name="20% - akcent 2 2 2 3 4 4" xfId="3375"/>
    <cellStyle name="20% - akcent 2 2 2 3 4 4 2" xfId="3376"/>
    <cellStyle name="20% - akcent 2 2 2 3 4 4 2 2" xfId="3377"/>
    <cellStyle name="20% - akcent 2 2 2 3 4 4 3" xfId="3378"/>
    <cellStyle name="20% - akcent 2 2 2 3 4 5" xfId="3379"/>
    <cellStyle name="20% - akcent 2 2 2 3 4 5 2" xfId="3380"/>
    <cellStyle name="20% - akcent 2 2 2 3 4 6" xfId="3381"/>
    <cellStyle name="20% - akcent 2 2 2 3 5" xfId="3382"/>
    <cellStyle name="20% - akcent 2 2 2 3 5 2" xfId="3383"/>
    <cellStyle name="20% - akcent 2 2 2 3 5 2 2" xfId="3384"/>
    <cellStyle name="20% - akcent 2 2 2 3 5 2 2 2" xfId="3385"/>
    <cellStyle name="20% - akcent 2 2 2 3 5 2 3" xfId="3386"/>
    <cellStyle name="20% - akcent 2 2 2 3 5 3" xfId="3387"/>
    <cellStyle name="20% - akcent 2 2 2 3 5 3 2" xfId="3388"/>
    <cellStyle name="20% - akcent 2 2 2 3 5 3 2 2" xfId="3389"/>
    <cellStyle name="20% - akcent 2 2 2 3 5 3 3" xfId="3390"/>
    <cellStyle name="20% - akcent 2 2 2 3 5 4" xfId="3391"/>
    <cellStyle name="20% - akcent 2 2 2 3 5 4 2" xfId="3392"/>
    <cellStyle name="20% - akcent 2 2 2 3 5 4 2 2" xfId="3393"/>
    <cellStyle name="20% - akcent 2 2 2 3 5 4 3" xfId="3394"/>
    <cellStyle name="20% - akcent 2 2 2 3 5 5" xfId="3395"/>
    <cellStyle name="20% - akcent 2 2 2 3 5 5 2" xfId="3396"/>
    <cellStyle name="20% - akcent 2 2 2 3 5 6" xfId="3397"/>
    <cellStyle name="20% - akcent 2 2 2 4" xfId="3398"/>
    <cellStyle name="20% - akcent 2 2 2 4 2" xfId="3399"/>
    <cellStyle name="20% - akcent 2 2 2 4 2 2" xfId="3400"/>
    <cellStyle name="20% - akcent 2 2 2 4 2 2 2" xfId="3401"/>
    <cellStyle name="20% - akcent 2 2 2 4 2 2 2 2" xfId="3402"/>
    <cellStyle name="20% - akcent 2 2 2 4 2 2 3" xfId="3403"/>
    <cellStyle name="20% - akcent 2 2 2 4 2 3" xfId="3404"/>
    <cellStyle name="20% - akcent 2 2 2 4 2 3 2" xfId="3405"/>
    <cellStyle name="20% - akcent 2 2 2 4 2 3 2 2" xfId="3406"/>
    <cellStyle name="20% - akcent 2 2 2 4 2 3 3" xfId="3407"/>
    <cellStyle name="20% - akcent 2 2 2 4 2 4" xfId="3408"/>
    <cellStyle name="20% - akcent 2 2 2 4 2 4 2" xfId="3409"/>
    <cellStyle name="20% - akcent 2 2 2 4 2 4 2 2" xfId="3410"/>
    <cellStyle name="20% - akcent 2 2 2 4 2 4 3" xfId="3411"/>
    <cellStyle name="20% - akcent 2 2 2 4 2 5" xfId="3412"/>
    <cellStyle name="20% - akcent 2 2 2 4 2 5 2" xfId="3413"/>
    <cellStyle name="20% - akcent 2 2 2 4 2 6" xfId="3414"/>
    <cellStyle name="20% - akcent 2 2 2 4 3" xfId="3415"/>
    <cellStyle name="20% - akcent 2 2 2 4 3 2" xfId="3416"/>
    <cellStyle name="20% - akcent 2 2 2 4 3 2 2" xfId="3417"/>
    <cellStyle name="20% - akcent 2 2 2 4 3 3" xfId="3418"/>
    <cellStyle name="20% - akcent 2 2 2 4 4" xfId="3419"/>
    <cellStyle name="20% - akcent 2 2 2 4 4 2" xfId="3420"/>
    <cellStyle name="20% - akcent 2 2 2 4 4 2 2" xfId="3421"/>
    <cellStyle name="20% - akcent 2 2 2 4 4 3" xfId="3422"/>
    <cellStyle name="20% - akcent 2 2 2 4 5" xfId="3423"/>
    <cellStyle name="20% - akcent 2 2 2 4 5 2" xfId="3424"/>
    <cellStyle name="20% - akcent 2 2 2 4 5 2 2" xfId="3425"/>
    <cellStyle name="20% - akcent 2 2 2 4 5 3" xfId="3426"/>
    <cellStyle name="20% - akcent 2 2 2 4 6" xfId="3427"/>
    <cellStyle name="20% - akcent 2 2 2 4 6 2" xfId="3428"/>
    <cellStyle name="20% - akcent 2 2 2 4 7" xfId="3429"/>
    <cellStyle name="20% - akcent 2 2 2 5" xfId="3430"/>
    <cellStyle name="20% - akcent 2 2 2 5 2" xfId="3431"/>
    <cellStyle name="20% - akcent 2 2 2 5 2 2" xfId="3432"/>
    <cellStyle name="20% - akcent 2 2 2 5 2 2 2" xfId="3433"/>
    <cellStyle name="20% - akcent 2 2 2 5 2 3" xfId="3434"/>
    <cellStyle name="20% - akcent 2 2 2 5 3" xfId="3435"/>
    <cellStyle name="20% - akcent 2 2 2 5 3 2" xfId="3436"/>
    <cellStyle name="20% - akcent 2 2 2 5 3 2 2" xfId="3437"/>
    <cellStyle name="20% - akcent 2 2 2 5 3 3" xfId="3438"/>
    <cellStyle name="20% - akcent 2 2 2 5 4" xfId="3439"/>
    <cellStyle name="20% - akcent 2 2 2 5 4 2" xfId="3440"/>
    <cellStyle name="20% - akcent 2 2 2 5 4 2 2" xfId="3441"/>
    <cellStyle name="20% - akcent 2 2 2 5 4 3" xfId="3442"/>
    <cellStyle name="20% - akcent 2 2 2 5 5" xfId="3443"/>
    <cellStyle name="20% - akcent 2 2 2 5 5 2" xfId="3444"/>
    <cellStyle name="20% - akcent 2 2 2 5 6" xfId="3445"/>
    <cellStyle name="20% - akcent 2 2 2 6" xfId="3446"/>
    <cellStyle name="20% - akcent 2 2 2 6 2" xfId="3447"/>
    <cellStyle name="20% - akcent 2 2 2 6 2 2" xfId="3448"/>
    <cellStyle name="20% - akcent 2 2 2 6 2 2 2" xfId="3449"/>
    <cellStyle name="20% - akcent 2 2 2 6 2 3" xfId="3450"/>
    <cellStyle name="20% - akcent 2 2 2 6 3" xfId="3451"/>
    <cellStyle name="20% - akcent 2 2 2 6 3 2" xfId="3452"/>
    <cellStyle name="20% - akcent 2 2 2 6 3 2 2" xfId="3453"/>
    <cellStyle name="20% - akcent 2 2 2 6 3 3" xfId="3454"/>
    <cellStyle name="20% - akcent 2 2 2 6 4" xfId="3455"/>
    <cellStyle name="20% - akcent 2 2 2 6 4 2" xfId="3456"/>
    <cellStyle name="20% - akcent 2 2 2 6 4 2 2" xfId="3457"/>
    <cellStyle name="20% - akcent 2 2 2 6 4 3" xfId="3458"/>
    <cellStyle name="20% - akcent 2 2 2 6 5" xfId="3459"/>
    <cellStyle name="20% - akcent 2 2 2 6 5 2" xfId="3460"/>
    <cellStyle name="20% - akcent 2 2 2 6 6" xfId="3461"/>
    <cellStyle name="20% - akcent 2 2 2 7" xfId="3462"/>
    <cellStyle name="20% - akcent 2 2 2 8" xfId="3463"/>
    <cellStyle name="20% - akcent 2 2 2 8 2" xfId="3464"/>
    <cellStyle name="20% - akcent 2 2 2 8 2 2" xfId="3465"/>
    <cellStyle name="20% - akcent 2 2 2 8 2 2 2" xfId="3466"/>
    <cellStyle name="20% - akcent 2 2 2 8 2 3" xfId="3467"/>
    <cellStyle name="20% - akcent 2 2 2 8 3" xfId="3468"/>
    <cellStyle name="20% - akcent 2 2 2 8 3 2" xfId="3469"/>
    <cellStyle name="20% - akcent 2 2 2 8 3 2 2" xfId="3470"/>
    <cellStyle name="20% - akcent 2 2 2 8 3 3" xfId="3471"/>
    <cellStyle name="20% - akcent 2 2 2 8 4" xfId="3472"/>
    <cellStyle name="20% - akcent 2 2 2 8 4 2" xfId="3473"/>
    <cellStyle name="20% - akcent 2 2 2 8 4 2 2" xfId="3474"/>
    <cellStyle name="20% - akcent 2 2 2 8 4 3" xfId="3475"/>
    <cellStyle name="20% - akcent 2 2 2 8 5" xfId="3476"/>
    <cellStyle name="20% - akcent 2 2 2 8 5 2" xfId="3477"/>
    <cellStyle name="20% - akcent 2 2 2 8 6" xfId="3478"/>
    <cellStyle name="20% - akcent 2 2 2_2011'05 Raport PGE_DO-CO2" xfId="3479"/>
    <cellStyle name="20% - akcent 2 2 3" xfId="3480"/>
    <cellStyle name="20% - akcent 2 2 3 2" xfId="3481"/>
    <cellStyle name="20% - akcent 2 2 3 2 2" xfId="3482"/>
    <cellStyle name="20% - akcent 2 2 3 2 2 2" xfId="3483"/>
    <cellStyle name="20% - akcent 2 2 3 2 2 2 2" xfId="3484"/>
    <cellStyle name="20% - akcent 2 2 3 2 2 2 2 2" xfId="3485"/>
    <cellStyle name="20% - akcent 2 2 3 2 2 2 2 2 2" xfId="3486"/>
    <cellStyle name="20% - akcent 2 2 3 2 2 2 2 3" xfId="3487"/>
    <cellStyle name="20% - akcent 2 2 3 2 2 2 3" xfId="3488"/>
    <cellStyle name="20% - akcent 2 2 3 2 2 2 3 2" xfId="3489"/>
    <cellStyle name="20% - akcent 2 2 3 2 2 2 3 2 2" xfId="3490"/>
    <cellStyle name="20% - akcent 2 2 3 2 2 2 3 3" xfId="3491"/>
    <cellStyle name="20% - akcent 2 2 3 2 2 2 4" xfId="3492"/>
    <cellStyle name="20% - akcent 2 2 3 2 2 2 4 2" xfId="3493"/>
    <cellStyle name="20% - akcent 2 2 3 2 2 2 4 2 2" xfId="3494"/>
    <cellStyle name="20% - akcent 2 2 3 2 2 2 4 3" xfId="3495"/>
    <cellStyle name="20% - akcent 2 2 3 2 2 2 5" xfId="3496"/>
    <cellStyle name="20% - akcent 2 2 3 2 2 2 5 2" xfId="3497"/>
    <cellStyle name="20% - akcent 2 2 3 2 2 2 6" xfId="3498"/>
    <cellStyle name="20% - akcent 2 2 3 2 2 3" xfId="3499"/>
    <cellStyle name="20% - akcent 2 2 3 2 2 3 2" xfId="3500"/>
    <cellStyle name="20% - akcent 2 2 3 2 2 3 2 2" xfId="3501"/>
    <cellStyle name="20% - akcent 2 2 3 2 2 3 3" xfId="3502"/>
    <cellStyle name="20% - akcent 2 2 3 2 2 4" xfId="3503"/>
    <cellStyle name="20% - akcent 2 2 3 2 2 4 2" xfId="3504"/>
    <cellStyle name="20% - akcent 2 2 3 2 2 4 2 2" xfId="3505"/>
    <cellStyle name="20% - akcent 2 2 3 2 2 4 3" xfId="3506"/>
    <cellStyle name="20% - akcent 2 2 3 2 2 5" xfId="3507"/>
    <cellStyle name="20% - akcent 2 2 3 2 2 5 2" xfId="3508"/>
    <cellStyle name="20% - akcent 2 2 3 2 2 5 2 2" xfId="3509"/>
    <cellStyle name="20% - akcent 2 2 3 2 2 5 3" xfId="3510"/>
    <cellStyle name="20% - akcent 2 2 3 2 2 6" xfId="3511"/>
    <cellStyle name="20% - akcent 2 2 3 2 2 6 2" xfId="3512"/>
    <cellStyle name="20% - akcent 2 2 3 2 2 7" xfId="3513"/>
    <cellStyle name="20% - akcent 2 2 3 2 3" xfId="3514"/>
    <cellStyle name="20% - akcent 2 2 3 2 3 2" xfId="3515"/>
    <cellStyle name="20% - akcent 2 2 3 2 3 2 2" xfId="3516"/>
    <cellStyle name="20% - akcent 2 2 3 2 3 2 2 2" xfId="3517"/>
    <cellStyle name="20% - akcent 2 2 3 2 3 2 3" xfId="3518"/>
    <cellStyle name="20% - akcent 2 2 3 2 3 3" xfId="3519"/>
    <cellStyle name="20% - akcent 2 2 3 2 3 3 2" xfId="3520"/>
    <cellStyle name="20% - akcent 2 2 3 2 3 3 2 2" xfId="3521"/>
    <cellStyle name="20% - akcent 2 2 3 2 3 3 3" xfId="3522"/>
    <cellStyle name="20% - akcent 2 2 3 2 3 4" xfId="3523"/>
    <cellStyle name="20% - akcent 2 2 3 2 3 4 2" xfId="3524"/>
    <cellStyle name="20% - akcent 2 2 3 2 3 4 2 2" xfId="3525"/>
    <cellStyle name="20% - akcent 2 2 3 2 3 4 3" xfId="3526"/>
    <cellStyle name="20% - akcent 2 2 3 2 3 5" xfId="3527"/>
    <cellStyle name="20% - akcent 2 2 3 2 3 5 2" xfId="3528"/>
    <cellStyle name="20% - akcent 2 2 3 2 3 6" xfId="3529"/>
    <cellStyle name="20% - akcent 2 2 3 2 4" xfId="3530"/>
    <cellStyle name="20% - akcent 2 2 3 2 4 2" xfId="3531"/>
    <cellStyle name="20% - akcent 2 2 3 2 4 2 2" xfId="3532"/>
    <cellStyle name="20% - akcent 2 2 3 2 4 2 2 2" xfId="3533"/>
    <cellStyle name="20% - akcent 2 2 3 2 4 2 3" xfId="3534"/>
    <cellStyle name="20% - akcent 2 2 3 2 4 3" xfId="3535"/>
    <cellStyle name="20% - akcent 2 2 3 2 4 3 2" xfId="3536"/>
    <cellStyle name="20% - akcent 2 2 3 2 4 3 2 2" xfId="3537"/>
    <cellStyle name="20% - akcent 2 2 3 2 4 3 3" xfId="3538"/>
    <cellStyle name="20% - akcent 2 2 3 2 4 4" xfId="3539"/>
    <cellStyle name="20% - akcent 2 2 3 2 4 4 2" xfId="3540"/>
    <cellStyle name="20% - akcent 2 2 3 2 4 4 2 2" xfId="3541"/>
    <cellStyle name="20% - akcent 2 2 3 2 4 4 3" xfId="3542"/>
    <cellStyle name="20% - akcent 2 2 3 2 4 5" xfId="3543"/>
    <cellStyle name="20% - akcent 2 2 3 2 4 5 2" xfId="3544"/>
    <cellStyle name="20% - akcent 2 2 3 2 4 6" xfId="3545"/>
    <cellStyle name="20% - akcent 2 2 3 2 5" xfId="3546"/>
    <cellStyle name="20% - akcent 2 2 3 2 5 2" xfId="3547"/>
    <cellStyle name="20% - akcent 2 2 3 2 5 2 2" xfId="3548"/>
    <cellStyle name="20% - akcent 2 2 3 2 5 2 2 2" xfId="3549"/>
    <cellStyle name="20% - akcent 2 2 3 2 5 2 3" xfId="3550"/>
    <cellStyle name="20% - akcent 2 2 3 2 5 3" xfId="3551"/>
    <cellStyle name="20% - akcent 2 2 3 2 5 3 2" xfId="3552"/>
    <cellStyle name="20% - akcent 2 2 3 2 5 3 2 2" xfId="3553"/>
    <cellStyle name="20% - akcent 2 2 3 2 5 3 3" xfId="3554"/>
    <cellStyle name="20% - akcent 2 2 3 2 5 4" xfId="3555"/>
    <cellStyle name="20% - akcent 2 2 3 2 5 4 2" xfId="3556"/>
    <cellStyle name="20% - akcent 2 2 3 2 5 4 2 2" xfId="3557"/>
    <cellStyle name="20% - akcent 2 2 3 2 5 4 3" xfId="3558"/>
    <cellStyle name="20% - akcent 2 2 3 2 5 5" xfId="3559"/>
    <cellStyle name="20% - akcent 2 2 3 2 5 5 2" xfId="3560"/>
    <cellStyle name="20% - akcent 2 2 3 2 5 6" xfId="3561"/>
    <cellStyle name="20% - akcent 2 2 3 3" xfId="3562"/>
    <cellStyle name="20% - akcent 2 2 3 3 2" xfId="3563"/>
    <cellStyle name="20% - akcent 2 2 3 3 2 2" xfId="3564"/>
    <cellStyle name="20% - akcent 2 2 3 3 2 2 2" xfId="3565"/>
    <cellStyle name="20% - akcent 2 2 3 3 2 2 2 2" xfId="3566"/>
    <cellStyle name="20% - akcent 2 2 3 3 2 2 3" xfId="3567"/>
    <cellStyle name="20% - akcent 2 2 3 3 2 3" xfId="3568"/>
    <cellStyle name="20% - akcent 2 2 3 3 2 3 2" xfId="3569"/>
    <cellStyle name="20% - akcent 2 2 3 3 2 3 2 2" xfId="3570"/>
    <cellStyle name="20% - akcent 2 2 3 3 2 3 3" xfId="3571"/>
    <cellStyle name="20% - akcent 2 2 3 3 2 4" xfId="3572"/>
    <cellStyle name="20% - akcent 2 2 3 3 2 4 2" xfId="3573"/>
    <cellStyle name="20% - akcent 2 2 3 3 2 4 2 2" xfId="3574"/>
    <cellStyle name="20% - akcent 2 2 3 3 2 4 3" xfId="3575"/>
    <cellStyle name="20% - akcent 2 2 3 3 2 5" xfId="3576"/>
    <cellStyle name="20% - akcent 2 2 3 3 2 5 2" xfId="3577"/>
    <cellStyle name="20% - akcent 2 2 3 3 2 6" xfId="3578"/>
    <cellStyle name="20% - akcent 2 2 3 3 3" xfId="3579"/>
    <cellStyle name="20% - akcent 2 2 3 3 3 2" xfId="3580"/>
    <cellStyle name="20% - akcent 2 2 3 3 3 2 2" xfId="3581"/>
    <cellStyle name="20% - akcent 2 2 3 3 3 3" xfId="3582"/>
    <cellStyle name="20% - akcent 2 2 3 3 4" xfId="3583"/>
    <cellStyle name="20% - akcent 2 2 3 3 4 2" xfId="3584"/>
    <cellStyle name="20% - akcent 2 2 3 3 4 2 2" xfId="3585"/>
    <cellStyle name="20% - akcent 2 2 3 3 4 3" xfId="3586"/>
    <cellStyle name="20% - akcent 2 2 3 3 5" xfId="3587"/>
    <cellStyle name="20% - akcent 2 2 3 3 5 2" xfId="3588"/>
    <cellStyle name="20% - akcent 2 2 3 3 5 2 2" xfId="3589"/>
    <cellStyle name="20% - akcent 2 2 3 3 5 3" xfId="3590"/>
    <cellStyle name="20% - akcent 2 2 3 3 6" xfId="3591"/>
    <cellStyle name="20% - akcent 2 2 3 3 6 2" xfId="3592"/>
    <cellStyle name="20% - akcent 2 2 3 3 7" xfId="3593"/>
    <cellStyle name="20% - akcent 2 2 3 4" xfId="3594"/>
    <cellStyle name="20% - akcent 2 2 3 4 2" xfId="3595"/>
    <cellStyle name="20% - akcent 2 2 3 4 2 2" xfId="3596"/>
    <cellStyle name="20% - akcent 2 2 3 4 2 2 2" xfId="3597"/>
    <cellStyle name="20% - akcent 2 2 3 4 2 3" xfId="3598"/>
    <cellStyle name="20% - akcent 2 2 3 4 3" xfId="3599"/>
    <cellStyle name="20% - akcent 2 2 3 4 3 2" xfId="3600"/>
    <cellStyle name="20% - akcent 2 2 3 4 3 2 2" xfId="3601"/>
    <cellStyle name="20% - akcent 2 2 3 4 3 3" xfId="3602"/>
    <cellStyle name="20% - akcent 2 2 3 4 4" xfId="3603"/>
    <cellStyle name="20% - akcent 2 2 3 4 4 2" xfId="3604"/>
    <cellStyle name="20% - akcent 2 2 3 4 4 2 2" xfId="3605"/>
    <cellStyle name="20% - akcent 2 2 3 4 4 3" xfId="3606"/>
    <cellStyle name="20% - akcent 2 2 3 4 5" xfId="3607"/>
    <cellStyle name="20% - akcent 2 2 3 4 5 2" xfId="3608"/>
    <cellStyle name="20% - akcent 2 2 3 4 6" xfId="3609"/>
    <cellStyle name="20% - akcent 2 2 3 5" xfId="3610"/>
    <cellStyle name="20% - akcent 2 2 3 5 2" xfId="3611"/>
    <cellStyle name="20% - akcent 2 2 3 5 2 2" xfId="3612"/>
    <cellStyle name="20% - akcent 2 2 3 5 2 2 2" xfId="3613"/>
    <cellStyle name="20% - akcent 2 2 3 5 2 3" xfId="3614"/>
    <cellStyle name="20% - akcent 2 2 3 5 3" xfId="3615"/>
    <cellStyle name="20% - akcent 2 2 3 5 3 2" xfId="3616"/>
    <cellStyle name="20% - akcent 2 2 3 5 3 2 2" xfId="3617"/>
    <cellStyle name="20% - akcent 2 2 3 5 3 3" xfId="3618"/>
    <cellStyle name="20% - akcent 2 2 3 5 4" xfId="3619"/>
    <cellStyle name="20% - akcent 2 2 3 5 4 2" xfId="3620"/>
    <cellStyle name="20% - akcent 2 2 3 5 4 2 2" xfId="3621"/>
    <cellStyle name="20% - akcent 2 2 3 5 4 3" xfId="3622"/>
    <cellStyle name="20% - akcent 2 2 3 5 5" xfId="3623"/>
    <cellStyle name="20% - akcent 2 2 3 5 5 2" xfId="3624"/>
    <cellStyle name="20% - akcent 2 2 3 5 6" xfId="3625"/>
    <cellStyle name="20% - akcent 2 2 3 6" xfId="3626"/>
    <cellStyle name="20% - akcent 2 2 3 6 2" xfId="3627"/>
    <cellStyle name="20% - akcent 2 2 3 6 2 2" xfId="3628"/>
    <cellStyle name="20% - akcent 2 2 3 6 2 2 2" xfId="3629"/>
    <cellStyle name="20% - akcent 2 2 3 6 2 3" xfId="3630"/>
    <cellStyle name="20% - akcent 2 2 3 6 3" xfId="3631"/>
    <cellStyle name="20% - akcent 2 2 3 6 3 2" xfId="3632"/>
    <cellStyle name="20% - akcent 2 2 3 6 3 2 2" xfId="3633"/>
    <cellStyle name="20% - akcent 2 2 3 6 3 3" xfId="3634"/>
    <cellStyle name="20% - akcent 2 2 3 6 4" xfId="3635"/>
    <cellStyle name="20% - akcent 2 2 3 6 4 2" xfId="3636"/>
    <cellStyle name="20% - akcent 2 2 3 6 4 2 2" xfId="3637"/>
    <cellStyle name="20% - akcent 2 2 3 6 4 3" xfId="3638"/>
    <cellStyle name="20% - akcent 2 2 3 6 5" xfId="3639"/>
    <cellStyle name="20% - akcent 2 2 3 6 5 2" xfId="3640"/>
    <cellStyle name="20% - akcent 2 2 3 6 6" xfId="3641"/>
    <cellStyle name="20% - akcent 2 2 3_2011'05 Raport PGE_DO-CO2" xfId="3642"/>
    <cellStyle name="20% - akcent 2 2 4" xfId="3643"/>
    <cellStyle name="20% - akcent 2 2 4 2" xfId="3644"/>
    <cellStyle name="20% - akcent 2 2 4 2 2" xfId="3645"/>
    <cellStyle name="20% - akcent 2 2 4 2 2 2" xfId="3646"/>
    <cellStyle name="20% - akcent 2 2 4 2 2 2 2" xfId="3647"/>
    <cellStyle name="20% - akcent 2 2 4 2 2 2 2 2" xfId="3648"/>
    <cellStyle name="20% - akcent 2 2 4 2 2 2 2 2 2" xfId="3649"/>
    <cellStyle name="20% - akcent 2 2 4 2 2 2 2 3" xfId="3650"/>
    <cellStyle name="20% - akcent 2 2 4 2 2 2 3" xfId="3651"/>
    <cellStyle name="20% - akcent 2 2 4 2 2 2 3 2" xfId="3652"/>
    <cellStyle name="20% - akcent 2 2 4 2 2 2 3 2 2" xfId="3653"/>
    <cellStyle name="20% - akcent 2 2 4 2 2 2 3 3" xfId="3654"/>
    <cellStyle name="20% - akcent 2 2 4 2 2 2 4" xfId="3655"/>
    <cellStyle name="20% - akcent 2 2 4 2 2 2 4 2" xfId="3656"/>
    <cellStyle name="20% - akcent 2 2 4 2 2 2 4 2 2" xfId="3657"/>
    <cellStyle name="20% - akcent 2 2 4 2 2 2 4 3" xfId="3658"/>
    <cellStyle name="20% - akcent 2 2 4 2 2 2 5" xfId="3659"/>
    <cellStyle name="20% - akcent 2 2 4 2 2 2 5 2" xfId="3660"/>
    <cellStyle name="20% - akcent 2 2 4 2 2 2 6" xfId="3661"/>
    <cellStyle name="20% - akcent 2 2 4 2 2 3" xfId="3662"/>
    <cellStyle name="20% - akcent 2 2 4 2 2 3 2" xfId="3663"/>
    <cellStyle name="20% - akcent 2 2 4 2 2 3 2 2" xfId="3664"/>
    <cellStyle name="20% - akcent 2 2 4 2 2 3 3" xfId="3665"/>
    <cellStyle name="20% - akcent 2 2 4 2 2 4" xfId="3666"/>
    <cellStyle name="20% - akcent 2 2 4 2 2 4 2" xfId="3667"/>
    <cellStyle name="20% - akcent 2 2 4 2 2 4 2 2" xfId="3668"/>
    <cellStyle name="20% - akcent 2 2 4 2 2 4 3" xfId="3669"/>
    <cellStyle name="20% - akcent 2 2 4 2 2 5" xfId="3670"/>
    <cellStyle name="20% - akcent 2 2 4 2 2 5 2" xfId="3671"/>
    <cellStyle name="20% - akcent 2 2 4 2 2 5 2 2" xfId="3672"/>
    <cellStyle name="20% - akcent 2 2 4 2 2 5 3" xfId="3673"/>
    <cellStyle name="20% - akcent 2 2 4 2 2 6" xfId="3674"/>
    <cellStyle name="20% - akcent 2 2 4 2 2 6 2" xfId="3675"/>
    <cellStyle name="20% - akcent 2 2 4 2 2 7" xfId="3676"/>
    <cellStyle name="20% - akcent 2 2 4 2 3" xfId="3677"/>
    <cellStyle name="20% - akcent 2 2 4 2 3 2" xfId="3678"/>
    <cellStyle name="20% - akcent 2 2 4 2 3 2 2" xfId="3679"/>
    <cellStyle name="20% - akcent 2 2 4 2 3 2 2 2" xfId="3680"/>
    <cellStyle name="20% - akcent 2 2 4 2 3 2 3" xfId="3681"/>
    <cellStyle name="20% - akcent 2 2 4 2 3 3" xfId="3682"/>
    <cellStyle name="20% - akcent 2 2 4 2 3 3 2" xfId="3683"/>
    <cellStyle name="20% - akcent 2 2 4 2 3 3 2 2" xfId="3684"/>
    <cellStyle name="20% - akcent 2 2 4 2 3 3 3" xfId="3685"/>
    <cellStyle name="20% - akcent 2 2 4 2 3 4" xfId="3686"/>
    <cellStyle name="20% - akcent 2 2 4 2 3 4 2" xfId="3687"/>
    <cellStyle name="20% - akcent 2 2 4 2 3 4 2 2" xfId="3688"/>
    <cellStyle name="20% - akcent 2 2 4 2 3 4 3" xfId="3689"/>
    <cellStyle name="20% - akcent 2 2 4 2 3 5" xfId="3690"/>
    <cellStyle name="20% - akcent 2 2 4 2 3 5 2" xfId="3691"/>
    <cellStyle name="20% - akcent 2 2 4 2 3 6" xfId="3692"/>
    <cellStyle name="20% - akcent 2 2 4 2 4" xfId="3693"/>
    <cellStyle name="20% - akcent 2 2 4 2 4 2" xfId="3694"/>
    <cellStyle name="20% - akcent 2 2 4 2 4 2 2" xfId="3695"/>
    <cellStyle name="20% - akcent 2 2 4 2 4 2 2 2" xfId="3696"/>
    <cellStyle name="20% - akcent 2 2 4 2 4 2 3" xfId="3697"/>
    <cellStyle name="20% - akcent 2 2 4 2 4 3" xfId="3698"/>
    <cellStyle name="20% - akcent 2 2 4 2 4 3 2" xfId="3699"/>
    <cellStyle name="20% - akcent 2 2 4 2 4 3 2 2" xfId="3700"/>
    <cellStyle name="20% - akcent 2 2 4 2 4 3 3" xfId="3701"/>
    <cellStyle name="20% - akcent 2 2 4 2 4 4" xfId="3702"/>
    <cellStyle name="20% - akcent 2 2 4 2 4 4 2" xfId="3703"/>
    <cellStyle name="20% - akcent 2 2 4 2 4 4 2 2" xfId="3704"/>
    <cellStyle name="20% - akcent 2 2 4 2 4 4 3" xfId="3705"/>
    <cellStyle name="20% - akcent 2 2 4 2 4 5" xfId="3706"/>
    <cellStyle name="20% - akcent 2 2 4 2 4 5 2" xfId="3707"/>
    <cellStyle name="20% - akcent 2 2 4 2 4 6" xfId="3708"/>
    <cellStyle name="20% - akcent 2 2 4 2 5" xfId="3709"/>
    <cellStyle name="20% - akcent 2 2 4 2 5 2" xfId="3710"/>
    <cellStyle name="20% - akcent 2 2 4 2 5 2 2" xfId="3711"/>
    <cellStyle name="20% - akcent 2 2 4 2 5 3" xfId="3712"/>
    <cellStyle name="20% - akcent 2 2 4 2 6" xfId="3713"/>
    <cellStyle name="20% - akcent 2 2 4 2 6 2" xfId="3714"/>
    <cellStyle name="20% - akcent 2 2 4 2 6 2 2" xfId="3715"/>
    <cellStyle name="20% - akcent 2 2 4 2 6 3" xfId="3716"/>
    <cellStyle name="20% - akcent 2 2 4 2 7" xfId="3717"/>
    <cellStyle name="20% - akcent 2 2 4 2 7 2" xfId="3718"/>
    <cellStyle name="20% - akcent 2 2 4 2 7 2 2" xfId="3719"/>
    <cellStyle name="20% - akcent 2 2 4 2 7 3" xfId="3720"/>
    <cellStyle name="20% - akcent 2 2 4 2 8" xfId="3721"/>
    <cellStyle name="20% - akcent 2 2 4 2 8 2" xfId="3722"/>
    <cellStyle name="20% - akcent 2 2 4 2 9" xfId="3723"/>
    <cellStyle name="20% - akcent 2 2 4 3" xfId="3724"/>
    <cellStyle name="20% - akcent 2 2 4 3 2" xfId="3725"/>
    <cellStyle name="20% - akcent 2 2 4 3 2 2" xfId="3726"/>
    <cellStyle name="20% - akcent 2 2 4 3 2 2 2" xfId="3727"/>
    <cellStyle name="20% - akcent 2 2 4 3 2 2 2 2" xfId="3728"/>
    <cellStyle name="20% - akcent 2 2 4 3 2 2 3" xfId="3729"/>
    <cellStyle name="20% - akcent 2 2 4 3 2 3" xfId="3730"/>
    <cellStyle name="20% - akcent 2 2 4 3 2 3 2" xfId="3731"/>
    <cellStyle name="20% - akcent 2 2 4 3 2 3 2 2" xfId="3732"/>
    <cellStyle name="20% - akcent 2 2 4 3 2 3 3" xfId="3733"/>
    <cellStyle name="20% - akcent 2 2 4 3 2 4" xfId="3734"/>
    <cellStyle name="20% - akcent 2 2 4 3 2 4 2" xfId="3735"/>
    <cellStyle name="20% - akcent 2 2 4 3 2 4 2 2" xfId="3736"/>
    <cellStyle name="20% - akcent 2 2 4 3 2 4 3" xfId="3737"/>
    <cellStyle name="20% - akcent 2 2 4 3 2 5" xfId="3738"/>
    <cellStyle name="20% - akcent 2 2 4 3 2 5 2" xfId="3739"/>
    <cellStyle name="20% - akcent 2 2 4 3 2 6" xfId="3740"/>
    <cellStyle name="20% - akcent 2 2 4 3 3" xfId="3741"/>
    <cellStyle name="20% - akcent 2 2 4 3 3 2" xfId="3742"/>
    <cellStyle name="20% - akcent 2 2 4 3 3 2 2" xfId="3743"/>
    <cellStyle name="20% - akcent 2 2 4 3 3 3" xfId="3744"/>
    <cellStyle name="20% - akcent 2 2 4 3 4" xfId="3745"/>
    <cellStyle name="20% - akcent 2 2 4 3 4 2" xfId="3746"/>
    <cellStyle name="20% - akcent 2 2 4 3 4 2 2" xfId="3747"/>
    <cellStyle name="20% - akcent 2 2 4 3 4 3" xfId="3748"/>
    <cellStyle name="20% - akcent 2 2 4 3 5" xfId="3749"/>
    <cellStyle name="20% - akcent 2 2 4 3 5 2" xfId="3750"/>
    <cellStyle name="20% - akcent 2 2 4 3 5 2 2" xfId="3751"/>
    <cellStyle name="20% - akcent 2 2 4 3 5 3" xfId="3752"/>
    <cellStyle name="20% - akcent 2 2 4 3 6" xfId="3753"/>
    <cellStyle name="20% - akcent 2 2 4 3 6 2" xfId="3754"/>
    <cellStyle name="20% - akcent 2 2 4 3 7" xfId="3755"/>
    <cellStyle name="20% - akcent 2 2 4 4" xfId="3756"/>
    <cellStyle name="20% - akcent 2 2 4 4 2" xfId="3757"/>
    <cellStyle name="20% - akcent 2 2 4 4 2 2" xfId="3758"/>
    <cellStyle name="20% - akcent 2 2 4 4 2 2 2" xfId="3759"/>
    <cellStyle name="20% - akcent 2 2 4 4 2 3" xfId="3760"/>
    <cellStyle name="20% - akcent 2 2 4 4 3" xfId="3761"/>
    <cellStyle name="20% - akcent 2 2 4 4 3 2" xfId="3762"/>
    <cellStyle name="20% - akcent 2 2 4 4 3 2 2" xfId="3763"/>
    <cellStyle name="20% - akcent 2 2 4 4 3 3" xfId="3764"/>
    <cellStyle name="20% - akcent 2 2 4 4 4" xfId="3765"/>
    <cellStyle name="20% - akcent 2 2 4 4 4 2" xfId="3766"/>
    <cellStyle name="20% - akcent 2 2 4 4 4 2 2" xfId="3767"/>
    <cellStyle name="20% - akcent 2 2 4 4 4 3" xfId="3768"/>
    <cellStyle name="20% - akcent 2 2 4 4 5" xfId="3769"/>
    <cellStyle name="20% - akcent 2 2 4 4 5 2" xfId="3770"/>
    <cellStyle name="20% - akcent 2 2 4 4 6" xfId="3771"/>
    <cellStyle name="20% - akcent 2 2 4 5" xfId="3772"/>
    <cellStyle name="20% - akcent 2 2 4 5 2" xfId="3773"/>
    <cellStyle name="20% - akcent 2 2 4 5 2 2" xfId="3774"/>
    <cellStyle name="20% - akcent 2 2 4 5 2 2 2" xfId="3775"/>
    <cellStyle name="20% - akcent 2 2 4 5 2 3" xfId="3776"/>
    <cellStyle name="20% - akcent 2 2 4 5 3" xfId="3777"/>
    <cellStyle name="20% - akcent 2 2 4 5 3 2" xfId="3778"/>
    <cellStyle name="20% - akcent 2 2 4 5 3 2 2" xfId="3779"/>
    <cellStyle name="20% - akcent 2 2 4 5 3 3" xfId="3780"/>
    <cellStyle name="20% - akcent 2 2 4 5 4" xfId="3781"/>
    <cellStyle name="20% - akcent 2 2 4 5 4 2" xfId="3782"/>
    <cellStyle name="20% - akcent 2 2 4 5 4 2 2" xfId="3783"/>
    <cellStyle name="20% - akcent 2 2 4 5 4 3" xfId="3784"/>
    <cellStyle name="20% - akcent 2 2 4 5 5" xfId="3785"/>
    <cellStyle name="20% - akcent 2 2 4 5 5 2" xfId="3786"/>
    <cellStyle name="20% - akcent 2 2 4 5 6" xfId="3787"/>
    <cellStyle name="20% - akcent 2 2 4 6" xfId="3788"/>
    <cellStyle name="20% - akcent 2 2 4 6 2" xfId="3789"/>
    <cellStyle name="20% - akcent 2 2 4 6 2 2" xfId="3790"/>
    <cellStyle name="20% - akcent 2 2 4 6 2 2 2" xfId="3791"/>
    <cellStyle name="20% - akcent 2 2 4 6 2 3" xfId="3792"/>
    <cellStyle name="20% - akcent 2 2 4 6 3" xfId="3793"/>
    <cellStyle name="20% - akcent 2 2 4 6 3 2" xfId="3794"/>
    <cellStyle name="20% - akcent 2 2 4 6 3 2 2" xfId="3795"/>
    <cellStyle name="20% - akcent 2 2 4 6 3 3" xfId="3796"/>
    <cellStyle name="20% - akcent 2 2 4 6 4" xfId="3797"/>
    <cellStyle name="20% - akcent 2 2 4 6 4 2" xfId="3798"/>
    <cellStyle name="20% - akcent 2 2 4 6 4 2 2" xfId="3799"/>
    <cellStyle name="20% - akcent 2 2 4 6 4 3" xfId="3800"/>
    <cellStyle name="20% - akcent 2 2 4 6 5" xfId="3801"/>
    <cellStyle name="20% - akcent 2 2 4 6 5 2" xfId="3802"/>
    <cellStyle name="20% - akcent 2 2 4 6 6" xfId="3803"/>
    <cellStyle name="20% - akcent 2 2 5" xfId="3804"/>
    <cellStyle name="20% - akcent 2 2 5 2" xfId="3805"/>
    <cellStyle name="20% - akcent 2 2 6" xfId="3806"/>
    <cellStyle name="20% - akcent 2 2 7" xfId="3807"/>
    <cellStyle name="20% - akcent 2 2 8" xfId="3808"/>
    <cellStyle name="20% - akcent 2 2 9" xfId="3809"/>
    <cellStyle name="20% - akcent 2 2_2011'05 Raport PGE_DO-CO2" xfId="3810"/>
    <cellStyle name="20% - akcent 2 3" xfId="3811"/>
    <cellStyle name="20% - akcent 2 3 10" xfId="3812"/>
    <cellStyle name="20% - akcent 2 3 10 2" xfId="3813"/>
    <cellStyle name="20% - akcent 2 3 10 2 2" xfId="3814"/>
    <cellStyle name="20% - akcent 2 3 10 2 2 2" xfId="3815"/>
    <cellStyle name="20% - akcent 2 3 10 2 3" xfId="3816"/>
    <cellStyle name="20% - akcent 2 3 10 3" xfId="3817"/>
    <cellStyle name="20% - akcent 2 3 10 3 2" xfId="3818"/>
    <cellStyle name="20% - akcent 2 3 10 3 2 2" xfId="3819"/>
    <cellStyle name="20% - akcent 2 3 10 3 3" xfId="3820"/>
    <cellStyle name="20% - akcent 2 3 10 4" xfId="3821"/>
    <cellStyle name="20% - akcent 2 3 10 4 2" xfId="3822"/>
    <cellStyle name="20% - akcent 2 3 10 4 2 2" xfId="3823"/>
    <cellStyle name="20% - akcent 2 3 10 4 3" xfId="3824"/>
    <cellStyle name="20% - akcent 2 3 10 5" xfId="3825"/>
    <cellStyle name="20% - akcent 2 3 10 5 2" xfId="3826"/>
    <cellStyle name="20% - akcent 2 3 10 6" xfId="3827"/>
    <cellStyle name="20% - akcent 2 3 2" xfId="3828"/>
    <cellStyle name="20% - akcent 2 3 2 2" xfId="3829"/>
    <cellStyle name="20% - akcent 2 3 2 2 10" xfId="3830"/>
    <cellStyle name="20% - akcent 2 3 2 2 2" xfId="3831"/>
    <cellStyle name="20% - akcent 2 3 2 2 2 2" xfId="3832"/>
    <cellStyle name="20% - akcent 2 3 2 2 2 2 2" xfId="3833"/>
    <cellStyle name="20% - akcent 2 3 2 2 2 2 2 2" xfId="3834"/>
    <cellStyle name="20% - akcent 2 3 2 2 2 2 2 2 2" xfId="3835"/>
    <cellStyle name="20% - akcent 2 3 2 2 2 2 2 2 2 2" xfId="3836"/>
    <cellStyle name="20% - akcent 2 3 2 2 2 2 2 2 3" xfId="3837"/>
    <cellStyle name="20% - akcent 2 3 2 2 2 2 2 3" xfId="3838"/>
    <cellStyle name="20% - akcent 2 3 2 2 2 2 2 3 2" xfId="3839"/>
    <cellStyle name="20% - akcent 2 3 2 2 2 2 2 3 2 2" xfId="3840"/>
    <cellStyle name="20% - akcent 2 3 2 2 2 2 2 3 3" xfId="3841"/>
    <cellStyle name="20% - akcent 2 3 2 2 2 2 2 4" xfId="3842"/>
    <cellStyle name="20% - akcent 2 3 2 2 2 2 2 4 2" xfId="3843"/>
    <cellStyle name="20% - akcent 2 3 2 2 2 2 2 4 2 2" xfId="3844"/>
    <cellStyle name="20% - akcent 2 3 2 2 2 2 2 4 3" xfId="3845"/>
    <cellStyle name="20% - akcent 2 3 2 2 2 2 2 5" xfId="3846"/>
    <cellStyle name="20% - akcent 2 3 2 2 2 2 2 5 2" xfId="3847"/>
    <cellStyle name="20% - akcent 2 3 2 2 2 2 2 6" xfId="3848"/>
    <cellStyle name="20% - akcent 2 3 2 2 2 2 3" xfId="3849"/>
    <cellStyle name="20% - akcent 2 3 2 2 2 2 3 2" xfId="3850"/>
    <cellStyle name="20% - akcent 2 3 2 2 2 2 3 2 2" xfId="3851"/>
    <cellStyle name="20% - akcent 2 3 2 2 2 2 3 3" xfId="3852"/>
    <cellStyle name="20% - akcent 2 3 2 2 2 2 4" xfId="3853"/>
    <cellStyle name="20% - akcent 2 3 2 2 2 2 4 2" xfId="3854"/>
    <cellStyle name="20% - akcent 2 3 2 2 2 2 4 2 2" xfId="3855"/>
    <cellStyle name="20% - akcent 2 3 2 2 2 2 4 3" xfId="3856"/>
    <cellStyle name="20% - akcent 2 3 2 2 2 2 5" xfId="3857"/>
    <cellStyle name="20% - akcent 2 3 2 2 2 2 5 2" xfId="3858"/>
    <cellStyle name="20% - akcent 2 3 2 2 2 2 5 2 2" xfId="3859"/>
    <cellStyle name="20% - akcent 2 3 2 2 2 2 5 3" xfId="3860"/>
    <cellStyle name="20% - akcent 2 3 2 2 2 2 6" xfId="3861"/>
    <cellStyle name="20% - akcent 2 3 2 2 2 2 6 2" xfId="3862"/>
    <cellStyle name="20% - akcent 2 3 2 2 2 2 7" xfId="3863"/>
    <cellStyle name="20% - akcent 2 3 2 2 2 3" xfId="3864"/>
    <cellStyle name="20% - akcent 2 3 2 2 2 3 2" xfId="3865"/>
    <cellStyle name="20% - akcent 2 3 2 2 2 3 2 2" xfId="3866"/>
    <cellStyle name="20% - akcent 2 3 2 2 2 3 2 2 2" xfId="3867"/>
    <cellStyle name="20% - akcent 2 3 2 2 2 3 2 3" xfId="3868"/>
    <cellStyle name="20% - akcent 2 3 2 2 2 3 3" xfId="3869"/>
    <cellStyle name="20% - akcent 2 3 2 2 2 3 3 2" xfId="3870"/>
    <cellStyle name="20% - akcent 2 3 2 2 2 3 3 2 2" xfId="3871"/>
    <cellStyle name="20% - akcent 2 3 2 2 2 3 3 3" xfId="3872"/>
    <cellStyle name="20% - akcent 2 3 2 2 2 3 4" xfId="3873"/>
    <cellStyle name="20% - akcent 2 3 2 2 2 3 4 2" xfId="3874"/>
    <cellStyle name="20% - akcent 2 3 2 2 2 3 4 2 2" xfId="3875"/>
    <cellStyle name="20% - akcent 2 3 2 2 2 3 4 3" xfId="3876"/>
    <cellStyle name="20% - akcent 2 3 2 2 2 3 5" xfId="3877"/>
    <cellStyle name="20% - akcent 2 3 2 2 2 3 5 2" xfId="3878"/>
    <cellStyle name="20% - akcent 2 3 2 2 2 3 6" xfId="3879"/>
    <cellStyle name="20% - akcent 2 3 2 2 2 4" xfId="3880"/>
    <cellStyle name="20% - akcent 2 3 2 2 2 4 2" xfId="3881"/>
    <cellStyle name="20% - akcent 2 3 2 2 2 4 2 2" xfId="3882"/>
    <cellStyle name="20% - akcent 2 3 2 2 2 4 2 2 2" xfId="3883"/>
    <cellStyle name="20% - akcent 2 3 2 2 2 4 2 3" xfId="3884"/>
    <cellStyle name="20% - akcent 2 3 2 2 2 4 3" xfId="3885"/>
    <cellStyle name="20% - akcent 2 3 2 2 2 4 3 2" xfId="3886"/>
    <cellStyle name="20% - akcent 2 3 2 2 2 4 3 2 2" xfId="3887"/>
    <cellStyle name="20% - akcent 2 3 2 2 2 4 3 3" xfId="3888"/>
    <cellStyle name="20% - akcent 2 3 2 2 2 4 4" xfId="3889"/>
    <cellStyle name="20% - akcent 2 3 2 2 2 4 4 2" xfId="3890"/>
    <cellStyle name="20% - akcent 2 3 2 2 2 4 4 2 2" xfId="3891"/>
    <cellStyle name="20% - akcent 2 3 2 2 2 4 4 3" xfId="3892"/>
    <cellStyle name="20% - akcent 2 3 2 2 2 4 5" xfId="3893"/>
    <cellStyle name="20% - akcent 2 3 2 2 2 4 5 2" xfId="3894"/>
    <cellStyle name="20% - akcent 2 3 2 2 2 4 6" xfId="3895"/>
    <cellStyle name="20% - akcent 2 3 2 2 2 5" xfId="3896"/>
    <cellStyle name="20% - akcent 2 3 2 2 2 5 2" xfId="3897"/>
    <cellStyle name="20% - akcent 2 3 2 2 2 5 2 2" xfId="3898"/>
    <cellStyle name="20% - akcent 2 3 2 2 2 5 3" xfId="3899"/>
    <cellStyle name="20% - akcent 2 3 2 2 2 6" xfId="3900"/>
    <cellStyle name="20% - akcent 2 3 2 2 2 6 2" xfId="3901"/>
    <cellStyle name="20% - akcent 2 3 2 2 2 6 2 2" xfId="3902"/>
    <cellStyle name="20% - akcent 2 3 2 2 2 6 3" xfId="3903"/>
    <cellStyle name="20% - akcent 2 3 2 2 2 7" xfId="3904"/>
    <cellStyle name="20% - akcent 2 3 2 2 2 7 2" xfId="3905"/>
    <cellStyle name="20% - akcent 2 3 2 2 2 7 2 2" xfId="3906"/>
    <cellStyle name="20% - akcent 2 3 2 2 2 7 3" xfId="3907"/>
    <cellStyle name="20% - akcent 2 3 2 2 2 8" xfId="3908"/>
    <cellStyle name="20% - akcent 2 3 2 2 2 8 2" xfId="3909"/>
    <cellStyle name="20% - akcent 2 3 2 2 2 9" xfId="3910"/>
    <cellStyle name="20% - akcent 2 3 2 2 3" xfId="3911"/>
    <cellStyle name="20% - akcent 2 3 2 2 3 2" xfId="3912"/>
    <cellStyle name="20% - akcent 2 3 2 2 3 2 2" xfId="3913"/>
    <cellStyle name="20% - akcent 2 3 2 2 3 2 2 2" xfId="3914"/>
    <cellStyle name="20% - akcent 2 3 2 2 3 2 2 2 2" xfId="3915"/>
    <cellStyle name="20% - akcent 2 3 2 2 3 2 2 3" xfId="3916"/>
    <cellStyle name="20% - akcent 2 3 2 2 3 2 3" xfId="3917"/>
    <cellStyle name="20% - akcent 2 3 2 2 3 2 3 2" xfId="3918"/>
    <cellStyle name="20% - akcent 2 3 2 2 3 2 3 2 2" xfId="3919"/>
    <cellStyle name="20% - akcent 2 3 2 2 3 2 3 3" xfId="3920"/>
    <cellStyle name="20% - akcent 2 3 2 2 3 2 4" xfId="3921"/>
    <cellStyle name="20% - akcent 2 3 2 2 3 2 4 2" xfId="3922"/>
    <cellStyle name="20% - akcent 2 3 2 2 3 2 4 2 2" xfId="3923"/>
    <cellStyle name="20% - akcent 2 3 2 2 3 2 4 3" xfId="3924"/>
    <cellStyle name="20% - akcent 2 3 2 2 3 2 5" xfId="3925"/>
    <cellStyle name="20% - akcent 2 3 2 2 3 2 5 2" xfId="3926"/>
    <cellStyle name="20% - akcent 2 3 2 2 3 2 6" xfId="3927"/>
    <cellStyle name="20% - akcent 2 3 2 2 3 3" xfId="3928"/>
    <cellStyle name="20% - akcent 2 3 2 2 3 3 2" xfId="3929"/>
    <cellStyle name="20% - akcent 2 3 2 2 3 3 2 2" xfId="3930"/>
    <cellStyle name="20% - akcent 2 3 2 2 3 3 3" xfId="3931"/>
    <cellStyle name="20% - akcent 2 3 2 2 3 4" xfId="3932"/>
    <cellStyle name="20% - akcent 2 3 2 2 3 4 2" xfId="3933"/>
    <cellStyle name="20% - akcent 2 3 2 2 3 4 2 2" xfId="3934"/>
    <cellStyle name="20% - akcent 2 3 2 2 3 4 3" xfId="3935"/>
    <cellStyle name="20% - akcent 2 3 2 2 3 5" xfId="3936"/>
    <cellStyle name="20% - akcent 2 3 2 2 3 5 2" xfId="3937"/>
    <cellStyle name="20% - akcent 2 3 2 2 3 5 2 2" xfId="3938"/>
    <cellStyle name="20% - akcent 2 3 2 2 3 5 3" xfId="3939"/>
    <cellStyle name="20% - akcent 2 3 2 2 3 6" xfId="3940"/>
    <cellStyle name="20% - akcent 2 3 2 2 3 6 2" xfId="3941"/>
    <cellStyle name="20% - akcent 2 3 2 2 3 7" xfId="3942"/>
    <cellStyle name="20% - akcent 2 3 2 2 4" xfId="3943"/>
    <cellStyle name="20% - akcent 2 3 2 2 4 2" xfId="3944"/>
    <cellStyle name="20% - akcent 2 3 2 2 4 2 2" xfId="3945"/>
    <cellStyle name="20% - akcent 2 3 2 2 4 2 2 2" xfId="3946"/>
    <cellStyle name="20% - akcent 2 3 2 2 4 2 3" xfId="3947"/>
    <cellStyle name="20% - akcent 2 3 2 2 4 3" xfId="3948"/>
    <cellStyle name="20% - akcent 2 3 2 2 4 3 2" xfId="3949"/>
    <cellStyle name="20% - akcent 2 3 2 2 4 3 2 2" xfId="3950"/>
    <cellStyle name="20% - akcent 2 3 2 2 4 3 3" xfId="3951"/>
    <cellStyle name="20% - akcent 2 3 2 2 4 4" xfId="3952"/>
    <cellStyle name="20% - akcent 2 3 2 2 4 4 2" xfId="3953"/>
    <cellStyle name="20% - akcent 2 3 2 2 4 4 2 2" xfId="3954"/>
    <cellStyle name="20% - akcent 2 3 2 2 4 4 3" xfId="3955"/>
    <cellStyle name="20% - akcent 2 3 2 2 4 5" xfId="3956"/>
    <cellStyle name="20% - akcent 2 3 2 2 4 5 2" xfId="3957"/>
    <cellStyle name="20% - akcent 2 3 2 2 4 6" xfId="3958"/>
    <cellStyle name="20% - akcent 2 3 2 2 5" xfId="3959"/>
    <cellStyle name="20% - akcent 2 3 2 2 5 2" xfId="3960"/>
    <cellStyle name="20% - akcent 2 3 2 2 5 2 2" xfId="3961"/>
    <cellStyle name="20% - akcent 2 3 2 2 5 2 2 2" xfId="3962"/>
    <cellStyle name="20% - akcent 2 3 2 2 5 2 3" xfId="3963"/>
    <cellStyle name="20% - akcent 2 3 2 2 5 3" xfId="3964"/>
    <cellStyle name="20% - akcent 2 3 2 2 5 3 2" xfId="3965"/>
    <cellStyle name="20% - akcent 2 3 2 2 5 3 2 2" xfId="3966"/>
    <cellStyle name="20% - akcent 2 3 2 2 5 3 3" xfId="3967"/>
    <cellStyle name="20% - akcent 2 3 2 2 5 4" xfId="3968"/>
    <cellStyle name="20% - akcent 2 3 2 2 5 4 2" xfId="3969"/>
    <cellStyle name="20% - akcent 2 3 2 2 5 4 2 2" xfId="3970"/>
    <cellStyle name="20% - akcent 2 3 2 2 5 4 3" xfId="3971"/>
    <cellStyle name="20% - akcent 2 3 2 2 5 5" xfId="3972"/>
    <cellStyle name="20% - akcent 2 3 2 2 5 5 2" xfId="3973"/>
    <cellStyle name="20% - akcent 2 3 2 2 5 6" xfId="3974"/>
    <cellStyle name="20% - akcent 2 3 2 2 6" xfId="3975"/>
    <cellStyle name="20% - akcent 2 3 2 2 6 2" xfId="3976"/>
    <cellStyle name="20% - akcent 2 3 2 2 6 2 2" xfId="3977"/>
    <cellStyle name="20% - akcent 2 3 2 2 6 3" xfId="3978"/>
    <cellStyle name="20% - akcent 2 3 2 2 7" xfId="3979"/>
    <cellStyle name="20% - akcent 2 3 2 2 7 2" xfId="3980"/>
    <cellStyle name="20% - akcent 2 3 2 2 7 2 2" xfId="3981"/>
    <cellStyle name="20% - akcent 2 3 2 2 7 3" xfId="3982"/>
    <cellStyle name="20% - akcent 2 3 2 2 8" xfId="3983"/>
    <cellStyle name="20% - akcent 2 3 2 2 8 2" xfId="3984"/>
    <cellStyle name="20% - akcent 2 3 2 2 8 2 2" xfId="3985"/>
    <cellStyle name="20% - akcent 2 3 2 2 8 3" xfId="3986"/>
    <cellStyle name="20% - akcent 2 3 2 2 9" xfId="3987"/>
    <cellStyle name="20% - akcent 2 3 2 2 9 2" xfId="3988"/>
    <cellStyle name="20% - akcent 2 3 2 3" xfId="3989"/>
    <cellStyle name="20% - akcent 2 3 2 3 2" xfId="3990"/>
    <cellStyle name="20% - akcent 2 3 2 3 2 2" xfId="3991"/>
    <cellStyle name="20% - akcent 2 3 2 3 2 2 2" xfId="3992"/>
    <cellStyle name="20% - akcent 2 3 2 3 2 2 2 2" xfId="3993"/>
    <cellStyle name="20% - akcent 2 3 2 3 2 2 2 2 2" xfId="3994"/>
    <cellStyle name="20% - akcent 2 3 2 3 2 2 2 3" xfId="3995"/>
    <cellStyle name="20% - akcent 2 3 2 3 2 2 3" xfId="3996"/>
    <cellStyle name="20% - akcent 2 3 2 3 2 2 3 2" xfId="3997"/>
    <cellStyle name="20% - akcent 2 3 2 3 2 2 3 2 2" xfId="3998"/>
    <cellStyle name="20% - akcent 2 3 2 3 2 2 3 3" xfId="3999"/>
    <cellStyle name="20% - akcent 2 3 2 3 2 2 4" xfId="4000"/>
    <cellStyle name="20% - akcent 2 3 2 3 2 2 4 2" xfId="4001"/>
    <cellStyle name="20% - akcent 2 3 2 3 2 2 4 2 2" xfId="4002"/>
    <cellStyle name="20% - akcent 2 3 2 3 2 2 4 3" xfId="4003"/>
    <cellStyle name="20% - akcent 2 3 2 3 2 2 5" xfId="4004"/>
    <cellStyle name="20% - akcent 2 3 2 3 2 2 5 2" xfId="4005"/>
    <cellStyle name="20% - akcent 2 3 2 3 2 2 6" xfId="4006"/>
    <cellStyle name="20% - akcent 2 3 2 3 2 3" xfId="4007"/>
    <cellStyle name="20% - akcent 2 3 2 3 2 3 2" xfId="4008"/>
    <cellStyle name="20% - akcent 2 3 2 3 2 3 2 2" xfId="4009"/>
    <cellStyle name="20% - akcent 2 3 2 3 2 3 3" xfId="4010"/>
    <cellStyle name="20% - akcent 2 3 2 3 2 4" xfId="4011"/>
    <cellStyle name="20% - akcent 2 3 2 3 2 4 2" xfId="4012"/>
    <cellStyle name="20% - akcent 2 3 2 3 2 4 2 2" xfId="4013"/>
    <cellStyle name="20% - akcent 2 3 2 3 2 4 3" xfId="4014"/>
    <cellStyle name="20% - akcent 2 3 2 3 2 5" xfId="4015"/>
    <cellStyle name="20% - akcent 2 3 2 3 2 5 2" xfId="4016"/>
    <cellStyle name="20% - akcent 2 3 2 3 2 5 2 2" xfId="4017"/>
    <cellStyle name="20% - akcent 2 3 2 3 2 5 3" xfId="4018"/>
    <cellStyle name="20% - akcent 2 3 2 3 2 6" xfId="4019"/>
    <cellStyle name="20% - akcent 2 3 2 3 2 6 2" xfId="4020"/>
    <cellStyle name="20% - akcent 2 3 2 3 2 7" xfId="4021"/>
    <cellStyle name="20% - akcent 2 3 2 3 3" xfId="4022"/>
    <cellStyle name="20% - akcent 2 3 2 3 3 2" xfId="4023"/>
    <cellStyle name="20% - akcent 2 3 2 3 3 2 2" xfId="4024"/>
    <cellStyle name="20% - akcent 2 3 2 3 3 2 2 2" xfId="4025"/>
    <cellStyle name="20% - akcent 2 3 2 3 3 2 3" xfId="4026"/>
    <cellStyle name="20% - akcent 2 3 2 3 3 3" xfId="4027"/>
    <cellStyle name="20% - akcent 2 3 2 3 3 3 2" xfId="4028"/>
    <cellStyle name="20% - akcent 2 3 2 3 3 3 2 2" xfId="4029"/>
    <cellStyle name="20% - akcent 2 3 2 3 3 3 3" xfId="4030"/>
    <cellStyle name="20% - akcent 2 3 2 3 3 4" xfId="4031"/>
    <cellStyle name="20% - akcent 2 3 2 3 3 4 2" xfId="4032"/>
    <cellStyle name="20% - akcent 2 3 2 3 3 4 2 2" xfId="4033"/>
    <cellStyle name="20% - akcent 2 3 2 3 3 4 3" xfId="4034"/>
    <cellStyle name="20% - akcent 2 3 2 3 3 5" xfId="4035"/>
    <cellStyle name="20% - akcent 2 3 2 3 3 5 2" xfId="4036"/>
    <cellStyle name="20% - akcent 2 3 2 3 3 6" xfId="4037"/>
    <cellStyle name="20% - akcent 2 3 2 3 4" xfId="4038"/>
    <cellStyle name="20% - akcent 2 3 2 3 4 2" xfId="4039"/>
    <cellStyle name="20% - akcent 2 3 2 3 4 2 2" xfId="4040"/>
    <cellStyle name="20% - akcent 2 3 2 3 4 2 2 2" xfId="4041"/>
    <cellStyle name="20% - akcent 2 3 2 3 4 2 3" xfId="4042"/>
    <cellStyle name="20% - akcent 2 3 2 3 4 3" xfId="4043"/>
    <cellStyle name="20% - akcent 2 3 2 3 4 3 2" xfId="4044"/>
    <cellStyle name="20% - akcent 2 3 2 3 4 3 2 2" xfId="4045"/>
    <cellStyle name="20% - akcent 2 3 2 3 4 3 3" xfId="4046"/>
    <cellStyle name="20% - akcent 2 3 2 3 4 4" xfId="4047"/>
    <cellStyle name="20% - akcent 2 3 2 3 4 4 2" xfId="4048"/>
    <cellStyle name="20% - akcent 2 3 2 3 4 4 2 2" xfId="4049"/>
    <cellStyle name="20% - akcent 2 3 2 3 4 4 3" xfId="4050"/>
    <cellStyle name="20% - akcent 2 3 2 3 4 5" xfId="4051"/>
    <cellStyle name="20% - akcent 2 3 2 3 4 5 2" xfId="4052"/>
    <cellStyle name="20% - akcent 2 3 2 3 4 6" xfId="4053"/>
    <cellStyle name="20% - akcent 2 3 2 3 5" xfId="4054"/>
    <cellStyle name="20% - akcent 2 3 2 3 5 2" xfId="4055"/>
    <cellStyle name="20% - akcent 2 3 2 3 5 2 2" xfId="4056"/>
    <cellStyle name="20% - akcent 2 3 2 3 5 3" xfId="4057"/>
    <cellStyle name="20% - akcent 2 3 2 3 6" xfId="4058"/>
    <cellStyle name="20% - akcent 2 3 2 3 6 2" xfId="4059"/>
    <cellStyle name="20% - akcent 2 3 2 3 6 2 2" xfId="4060"/>
    <cellStyle name="20% - akcent 2 3 2 3 6 3" xfId="4061"/>
    <cellStyle name="20% - akcent 2 3 2 3 7" xfId="4062"/>
    <cellStyle name="20% - akcent 2 3 2 3 7 2" xfId="4063"/>
    <cellStyle name="20% - akcent 2 3 2 3 7 2 2" xfId="4064"/>
    <cellStyle name="20% - akcent 2 3 2 3 7 3" xfId="4065"/>
    <cellStyle name="20% - akcent 2 3 2 3 8" xfId="4066"/>
    <cellStyle name="20% - akcent 2 3 2 3 8 2" xfId="4067"/>
    <cellStyle name="20% - akcent 2 3 2 3 9" xfId="4068"/>
    <cellStyle name="20% - akcent 2 3 2 4" xfId="4069"/>
    <cellStyle name="20% - akcent 2 3 2 4 2" xfId="4070"/>
    <cellStyle name="20% - akcent 2 3 2 4 2 2" xfId="4071"/>
    <cellStyle name="20% - akcent 2 3 2 4 2 2 2" xfId="4072"/>
    <cellStyle name="20% - akcent 2 3 2 4 2 2 2 2" xfId="4073"/>
    <cellStyle name="20% - akcent 2 3 2 4 2 2 3" xfId="4074"/>
    <cellStyle name="20% - akcent 2 3 2 4 2 3" xfId="4075"/>
    <cellStyle name="20% - akcent 2 3 2 4 2 3 2" xfId="4076"/>
    <cellStyle name="20% - akcent 2 3 2 4 2 3 2 2" xfId="4077"/>
    <cellStyle name="20% - akcent 2 3 2 4 2 3 3" xfId="4078"/>
    <cellStyle name="20% - akcent 2 3 2 4 2 4" xfId="4079"/>
    <cellStyle name="20% - akcent 2 3 2 4 2 4 2" xfId="4080"/>
    <cellStyle name="20% - akcent 2 3 2 4 2 4 2 2" xfId="4081"/>
    <cellStyle name="20% - akcent 2 3 2 4 2 4 3" xfId="4082"/>
    <cellStyle name="20% - akcent 2 3 2 4 2 5" xfId="4083"/>
    <cellStyle name="20% - akcent 2 3 2 4 2 5 2" xfId="4084"/>
    <cellStyle name="20% - akcent 2 3 2 4 2 6" xfId="4085"/>
    <cellStyle name="20% - akcent 2 3 2 4 3" xfId="4086"/>
    <cellStyle name="20% - akcent 2 3 2 4 3 2" xfId="4087"/>
    <cellStyle name="20% - akcent 2 3 2 4 3 2 2" xfId="4088"/>
    <cellStyle name="20% - akcent 2 3 2 4 3 3" xfId="4089"/>
    <cellStyle name="20% - akcent 2 3 2 4 4" xfId="4090"/>
    <cellStyle name="20% - akcent 2 3 2 4 4 2" xfId="4091"/>
    <cellStyle name="20% - akcent 2 3 2 4 4 2 2" xfId="4092"/>
    <cellStyle name="20% - akcent 2 3 2 4 4 3" xfId="4093"/>
    <cellStyle name="20% - akcent 2 3 2 4 5" xfId="4094"/>
    <cellStyle name="20% - akcent 2 3 2 4 5 2" xfId="4095"/>
    <cellStyle name="20% - akcent 2 3 2 4 5 2 2" xfId="4096"/>
    <cellStyle name="20% - akcent 2 3 2 4 5 3" xfId="4097"/>
    <cellStyle name="20% - akcent 2 3 2 4 6" xfId="4098"/>
    <cellStyle name="20% - akcent 2 3 2 4 6 2" xfId="4099"/>
    <cellStyle name="20% - akcent 2 3 2 4 7" xfId="4100"/>
    <cellStyle name="20% - akcent 2 3 2 5" xfId="4101"/>
    <cellStyle name="20% - akcent 2 3 2 5 2" xfId="4102"/>
    <cellStyle name="20% - akcent 2 3 2 5 2 2" xfId="4103"/>
    <cellStyle name="20% - akcent 2 3 2 5 2 2 2" xfId="4104"/>
    <cellStyle name="20% - akcent 2 3 2 5 2 3" xfId="4105"/>
    <cellStyle name="20% - akcent 2 3 2 5 3" xfId="4106"/>
    <cellStyle name="20% - akcent 2 3 2 5 3 2" xfId="4107"/>
    <cellStyle name="20% - akcent 2 3 2 5 3 2 2" xfId="4108"/>
    <cellStyle name="20% - akcent 2 3 2 5 3 3" xfId="4109"/>
    <cellStyle name="20% - akcent 2 3 2 5 4" xfId="4110"/>
    <cellStyle name="20% - akcent 2 3 2 5 4 2" xfId="4111"/>
    <cellStyle name="20% - akcent 2 3 2 5 4 2 2" xfId="4112"/>
    <cellStyle name="20% - akcent 2 3 2 5 4 3" xfId="4113"/>
    <cellStyle name="20% - akcent 2 3 2 5 5" xfId="4114"/>
    <cellStyle name="20% - akcent 2 3 2 5 5 2" xfId="4115"/>
    <cellStyle name="20% - akcent 2 3 2 5 6" xfId="4116"/>
    <cellStyle name="20% - akcent 2 3 2 6" xfId="4117"/>
    <cellStyle name="20% - akcent 2 3 2 6 2" xfId="4118"/>
    <cellStyle name="20% - akcent 2 3 2 6 2 2" xfId="4119"/>
    <cellStyle name="20% - akcent 2 3 2 6 2 2 2" xfId="4120"/>
    <cellStyle name="20% - akcent 2 3 2 6 2 3" xfId="4121"/>
    <cellStyle name="20% - akcent 2 3 2 6 3" xfId="4122"/>
    <cellStyle name="20% - akcent 2 3 2 6 3 2" xfId="4123"/>
    <cellStyle name="20% - akcent 2 3 2 6 3 2 2" xfId="4124"/>
    <cellStyle name="20% - akcent 2 3 2 6 3 3" xfId="4125"/>
    <cellStyle name="20% - akcent 2 3 2 6 4" xfId="4126"/>
    <cellStyle name="20% - akcent 2 3 2 6 4 2" xfId="4127"/>
    <cellStyle name="20% - akcent 2 3 2 6 4 2 2" xfId="4128"/>
    <cellStyle name="20% - akcent 2 3 2 6 4 3" xfId="4129"/>
    <cellStyle name="20% - akcent 2 3 2 6 5" xfId="4130"/>
    <cellStyle name="20% - akcent 2 3 2 6 5 2" xfId="4131"/>
    <cellStyle name="20% - akcent 2 3 2 6 6" xfId="4132"/>
    <cellStyle name="20% - akcent 2 3 2 7" xfId="4133"/>
    <cellStyle name="20% - akcent 2 3 2 8" xfId="4134"/>
    <cellStyle name="20% - akcent 2 3 2 8 2" xfId="4135"/>
    <cellStyle name="20% - akcent 2 3 2 8 2 2" xfId="4136"/>
    <cellStyle name="20% - akcent 2 3 2 8 2 2 2" xfId="4137"/>
    <cellStyle name="20% - akcent 2 3 2 8 2 3" xfId="4138"/>
    <cellStyle name="20% - akcent 2 3 2 8 3" xfId="4139"/>
    <cellStyle name="20% - akcent 2 3 2 8 3 2" xfId="4140"/>
    <cellStyle name="20% - akcent 2 3 2 8 3 2 2" xfId="4141"/>
    <cellStyle name="20% - akcent 2 3 2 8 3 3" xfId="4142"/>
    <cellStyle name="20% - akcent 2 3 2 8 4" xfId="4143"/>
    <cellStyle name="20% - akcent 2 3 2 8 4 2" xfId="4144"/>
    <cellStyle name="20% - akcent 2 3 2 8 4 2 2" xfId="4145"/>
    <cellStyle name="20% - akcent 2 3 2 8 4 3" xfId="4146"/>
    <cellStyle name="20% - akcent 2 3 2 8 5" xfId="4147"/>
    <cellStyle name="20% - akcent 2 3 2 8 5 2" xfId="4148"/>
    <cellStyle name="20% - akcent 2 3 2 8 6" xfId="4149"/>
    <cellStyle name="20% - akcent 2 3 3" xfId="4150"/>
    <cellStyle name="20% - akcent 2 3 3 2" xfId="4151"/>
    <cellStyle name="20% - akcent 2 3 3 2 2" xfId="4152"/>
    <cellStyle name="20% - akcent 2 3 3 2 2 2" xfId="4153"/>
    <cellStyle name="20% - akcent 2 3 3 2 2 2 2" xfId="4154"/>
    <cellStyle name="20% - akcent 2 3 3 2 2 2 2 2" xfId="4155"/>
    <cellStyle name="20% - akcent 2 3 3 2 2 2 2 2 2" xfId="4156"/>
    <cellStyle name="20% - akcent 2 3 3 2 2 2 2 3" xfId="4157"/>
    <cellStyle name="20% - akcent 2 3 3 2 2 2 3" xfId="4158"/>
    <cellStyle name="20% - akcent 2 3 3 2 2 2 3 2" xfId="4159"/>
    <cellStyle name="20% - akcent 2 3 3 2 2 2 3 2 2" xfId="4160"/>
    <cellStyle name="20% - akcent 2 3 3 2 2 2 3 3" xfId="4161"/>
    <cellStyle name="20% - akcent 2 3 3 2 2 2 4" xfId="4162"/>
    <cellStyle name="20% - akcent 2 3 3 2 2 2 4 2" xfId="4163"/>
    <cellStyle name="20% - akcent 2 3 3 2 2 2 4 2 2" xfId="4164"/>
    <cellStyle name="20% - akcent 2 3 3 2 2 2 4 3" xfId="4165"/>
    <cellStyle name="20% - akcent 2 3 3 2 2 2 5" xfId="4166"/>
    <cellStyle name="20% - akcent 2 3 3 2 2 2 5 2" xfId="4167"/>
    <cellStyle name="20% - akcent 2 3 3 2 2 2 6" xfId="4168"/>
    <cellStyle name="20% - akcent 2 3 3 2 2 3" xfId="4169"/>
    <cellStyle name="20% - akcent 2 3 3 2 2 3 2" xfId="4170"/>
    <cellStyle name="20% - akcent 2 3 3 2 2 3 2 2" xfId="4171"/>
    <cellStyle name="20% - akcent 2 3 3 2 2 3 3" xfId="4172"/>
    <cellStyle name="20% - akcent 2 3 3 2 2 4" xfId="4173"/>
    <cellStyle name="20% - akcent 2 3 3 2 2 4 2" xfId="4174"/>
    <cellStyle name="20% - akcent 2 3 3 2 2 4 2 2" xfId="4175"/>
    <cellStyle name="20% - akcent 2 3 3 2 2 4 3" xfId="4176"/>
    <cellStyle name="20% - akcent 2 3 3 2 2 5" xfId="4177"/>
    <cellStyle name="20% - akcent 2 3 3 2 2 5 2" xfId="4178"/>
    <cellStyle name="20% - akcent 2 3 3 2 2 5 2 2" xfId="4179"/>
    <cellStyle name="20% - akcent 2 3 3 2 2 5 3" xfId="4180"/>
    <cellStyle name="20% - akcent 2 3 3 2 2 6" xfId="4181"/>
    <cellStyle name="20% - akcent 2 3 3 2 2 6 2" xfId="4182"/>
    <cellStyle name="20% - akcent 2 3 3 2 2 7" xfId="4183"/>
    <cellStyle name="20% - akcent 2 3 3 2 3" xfId="4184"/>
    <cellStyle name="20% - akcent 2 3 3 2 3 2" xfId="4185"/>
    <cellStyle name="20% - akcent 2 3 3 2 3 2 2" xfId="4186"/>
    <cellStyle name="20% - akcent 2 3 3 2 3 2 2 2" xfId="4187"/>
    <cellStyle name="20% - akcent 2 3 3 2 3 2 3" xfId="4188"/>
    <cellStyle name="20% - akcent 2 3 3 2 3 3" xfId="4189"/>
    <cellStyle name="20% - akcent 2 3 3 2 3 3 2" xfId="4190"/>
    <cellStyle name="20% - akcent 2 3 3 2 3 3 2 2" xfId="4191"/>
    <cellStyle name="20% - akcent 2 3 3 2 3 3 3" xfId="4192"/>
    <cellStyle name="20% - akcent 2 3 3 2 3 4" xfId="4193"/>
    <cellStyle name="20% - akcent 2 3 3 2 3 4 2" xfId="4194"/>
    <cellStyle name="20% - akcent 2 3 3 2 3 4 2 2" xfId="4195"/>
    <cellStyle name="20% - akcent 2 3 3 2 3 4 3" xfId="4196"/>
    <cellStyle name="20% - akcent 2 3 3 2 3 5" xfId="4197"/>
    <cellStyle name="20% - akcent 2 3 3 2 3 5 2" xfId="4198"/>
    <cellStyle name="20% - akcent 2 3 3 2 3 6" xfId="4199"/>
    <cellStyle name="20% - akcent 2 3 3 2 4" xfId="4200"/>
    <cellStyle name="20% - akcent 2 3 3 2 4 2" xfId="4201"/>
    <cellStyle name="20% - akcent 2 3 3 2 4 2 2" xfId="4202"/>
    <cellStyle name="20% - akcent 2 3 3 2 4 2 2 2" xfId="4203"/>
    <cellStyle name="20% - akcent 2 3 3 2 4 2 3" xfId="4204"/>
    <cellStyle name="20% - akcent 2 3 3 2 4 3" xfId="4205"/>
    <cellStyle name="20% - akcent 2 3 3 2 4 3 2" xfId="4206"/>
    <cellStyle name="20% - akcent 2 3 3 2 4 3 2 2" xfId="4207"/>
    <cellStyle name="20% - akcent 2 3 3 2 4 3 3" xfId="4208"/>
    <cellStyle name="20% - akcent 2 3 3 2 4 4" xfId="4209"/>
    <cellStyle name="20% - akcent 2 3 3 2 4 4 2" xfId="4210"/>
    <cellStyle name="20% - akcent 2 3 3 2 4 4 2 2" xfId="4211"/>
    <cellStyle name="20% - akcent 2 3 3 2 4 4 3" xfId="4212"/>
    <cellStyle name="20% - akcent 2 3 3 2 4 5" xfId="4213"/>
    <cellStyle name="20% - akcent 2 3 3 2 4 5 2" xfId="4214"/>
    <cellStyle name="20% - akcent 2 3 3 2 4 6" xfId="4215"/>
    <cellStyle name="20% - akcent 2 3 3 2 5" xfId="4216"/>
    <cellStyle name="20% - akcent 2 3 3 2 5 2" xfId="4217"/>
    <cellStyle name="20% - akcent 2 3 3 2 5 2 2" xfId="4218"/>
    <cellStyle name="20% - akcent 2 3 3 2 5 3" xfId="4219"/>
    <cellStyle name="20% - akcent 2 3 3 2 6" xfId="4220"/>
    <cellStyle name="20% - akcent 2 3 3 2 6 2" xfId="4221"/>
    <cellStyle name="20% - akcent 2 3 3 2 6 2 2" xfId="4222"/>
    <cellStyle name="20% - akcent 2 3 3 2 6 3" xfId="4223"/>
    <cellStyle name="20% - akcent 2 3 3 2 7" xfId="4224"/>
    <cellStyle name="20% - akcent 2 3 3 2 7 2" xfId="4225"/>
    <cellStyle name="20% - akcent 2 3 3 2 7 2 2" xfId="4226"/>
    <cellStyle name="20% - akcent 2 3 3 2 7 3" xfId="4227"/>
    <cellStyle name="20% - akcent 2 3 3 2 8" xfId="4228"/>
    <cellStyle name="20% - akcent 2 3 3 2 8 2" xfId="4229"/>
    <cellStyle name="20% - akcent 2 3 3 2 9" xfId="4230"/>
    <cellStyle name="20% - akcent 2 3 3 3" xfId="4231"/>
    <cellStyle name="20% - akcent 2 3 3 3 2" xfId="4232"/>
    <cellStyle name="20% - akcent 2 3 3 3 2 2" xfId="4233"/>
    <cellStyle name="20% - akcent 2 3 3 3 2 2 2" xfId="4234"/>
    <cellStyle name="20% - akcent 2 3 3 3 2 2 2 2" xfId="4235"/>
    <cellStyle name="20% - akcent 2 3 3 3 2 2 3" xfId="4236"/>
    <cellStyle name="20% - akcent 2 3 3 3 2 3" xfId="4237"/>
    <cellStyle name="20% - akcent 2 3 3 3 2 3 2" xfId="4238"/>
    <cellStyle name="20% - akcent 2 3 3 3 2 3 2 2" xfId="4239"/>
    <cellStyle name="20% - akcent 2 3 3 3 2 3 3" xfId="4240"/>
    <cellStyle name="20% - akcent 2 3 3 3 2 4" xfId="4241"/>
    <cellStyle name="20% - akcent 2 3 3 3 2 4 2" xfId="4242"/>
    <cellStyle name="20% - akcent 2 3 3 3 2 4 2 2" xfId="4243"/>
    <cellStyle name="20% - akcent 2 3 3 3 2 4 3" xfId="4244"/>
    <cellStyle name="20% - akcent 2 3 3 3 2 5" xfId="4245"/>
    <cellStyle name="20% - akcent 2 3 3 3 2 5 2" xfId="4246"/>
    <cellStyle name="20% - akcent 2 3 3 3 2 6" xfId="4247"/>
    <cellStyle name="20% - akcent 2 3 3 3 3" xfId="4248"/>
    <cellStyle name="20% - akcent 2 3 3 3 3 2" xfId="4249"/>
    <cellStyle name="20% - akcent 2 3 3 3 3 2 2" xfId="4250"/>
    <cellStyle name="20% - akcent 2 3 3 3 3 3" xfId="4251"/>
    <cellStyle name="20% - akcent 2 3 3 3 4" xfId="4252"/>
    <cellStyle name="20% - akcent 2 3 3 3 4 2" xfId="4253"/>
    <cellStyle name="20% - akcent 2 3 3 3 4 2 2" xfId="4254"/>
    <cellStyle name="20% - akcent 2 3 3 3 4 3" xfId="4255"/>
    <cellStyle name="20% - akcent 2 3 3 3 5" xfId="4256"/>
    <cellStyle name="20% - akcent 2 3 3 3 5 2" xfId="4257"/>
    <cellStyle name="20% - akcent 2 3 3 3 5 2 2" xfId="4258"/>
    <cellStyle name="20% - akcent 2 3 3 3 5 3" xfId="4259"/>
    <cellStyle name="20% - akcent 2 3 3 3 6" xfId="4260"/>
    <cellStyle name="20% - akcent 2 3 3 3 6 2" xfId="4261"/>
    <cellStyle name="20% - akcent 2 3 3 3 7" xfId="4262"/>
    <cellStyle name="20% - akcent 2 3 3 4" xfId="4263"/>
    <cellStyle name="20% - akcent 2 3 3 4 2" xfId="4264"/>
    <cellStyle name="20% - akcent 2 3 3 4 2 2" xfId="4265"/>
    <cellStyle name="20% - akcent 2 3 3 4 2 2 2" xfId="4266"/>
    <cellStyle name="20% - akcent 2 3 3 4 2 3" xfId="4267"/>
    <cellStyle name="20% - akcent 2 3 3 4 3" xfId="4268"/>
    <cellStyle name="20% - akcent 2 3 3 4 3 2" xfId="4269"/>
    <cellStyle name="20% - akcent 2 3 3 4 3 2 2" xfId="4270"/>
    <cellStyle name="20% - akcent 2 3 3 4 3 3" xfId="4271"/>
    <cellStyle name="20% - akcent 2 3 3 4 4" xfId="4272"/>
    <cellStyle name="20% - akcent 2 3 3 4 4 2" xfId="4273"/>
    <cellStyle name="20% - akcent 2 3 3 4 4 2 2" xfId="4274"/>
    <cellStyle name="20% - akcent 2 3 3 4 4 3" xfId="4275"/>
    <cellStyle name="20% - akcent 2 3 3 4 5" xfId="4276"/>
    <cellStyle name="20% - akcent 2 3 3 4 5 2" xfId="4277"/>
    <cellStyle name="20% - akcent 2 3 3 4 6" xfId="4278"/>
    <cellStyle name="20% - akcent 2 3 3 5" xfId="4279"/>
    <cellStyle name="20% - akcent 2 3 3 5 2" xfId="4280"/>
    <cellStyle name="20% - akcent 2 3 3 5 2 2" xfId="4281"/>
    <cellStyle name="20% - akcent 2 3 3 5 2 2 2" xfId="4282"/>
    <cellStyle name="20% - akcent 2 3 3 5 2 3" xfId="4283"/>
    <cellStyle name="20% - akcent 2 3 3 5 3" xfId="4284"/>
    <cellStyle name="20% - akcent 2 3 3 5 3 2" xfId="4285"/>
    <cellStyle name="20% - akcent 2 3 3 5 3 2 2" xfId="4286"/>
    <cellStyle name="20% - akcent 2 3 3 5 3 3" xfId="4287"/>
    <cellStyle name="20% - akcent 2 3 3 5 4" xfId="4288"/>
    <cellStyle name="20% - akcent 2 3 3 5 4 2" xfId="4289"/>
    <cellStyle name="20% - akcent 2 3 3 5 4 2 2" xfId="4290"/>
    <cellStyle name="20% - akcent 2 3 3 5 4 3" xfId="4291"/>
    <cellStyle name="20% - akcent 2 3 3 5 5" xfId="4292"/>
    <cellStyle name="20% - akcent 2 3 3 5 5 2" xfId="4293"/>
    <cellStyle name="20% - akcent 2 3 3 5 6" xfId="4294"/>
    <cellStyle name="20% - akcent 2 3 3 6" xfId="4295"/>
    <cellStyle name="20% - akcent 2 3 3 6 2" xfId="4296"/>
    <cellStyle name="20% - akcent 2 3 3 6 2 2" xfId="4297"/>
    <cellStyle name="20% - akcent 2 3 3 6 2 2 2" xfId="4298"/>
    <cellStyle name="20% - akcent 2 3 3 6 2 3" xfId="4299"/>
    <cellStyle name="20% - akcent 2 3 3 6 3" xfId="4300"/>
    <cellStyle name="20% - akcent 2 3 3 6 3 2" xfId="4301"/>
    <cellStyle name="20% - akcent 2 3 3 6 3 2 2" xfId="4302"/>
    <cellStyle name="20% - akcent 2 3 3 6 3 3" xfId="4303"/>
    <cellStyle name="20% - akcent 2 3 3 6 4" xfId="4304"/>
    <cellStyle name="20% - akcent 2 3 3 6 4 2" xfId="4305"/>
    <cellStyle name="20% - akcent 2 3 3 6 4 2 2" xfId="4306"/>
    <cellStyle name="20% - akcent 2 3 3 6 4 3" xfId="4307"/>
    <cellStyle name="20% - akcent 2 3 3 6 5" xfId="4308"/>
    <cellStyle name="20% - akcent 2 3 3 6 5 2" xfId="4309"/>
    <cellStyle name="20% - akcent 2 3 3 6 6" xfId="4310"/>
    <cellStyle name="20% - akcent 2 3 4" xfId="4311"/>
    <cellStyle name="20% - akcent 2 3 4 10" xfId="4312"/>
    <cellStyle name="20% - akcent 2 3 4 2" xfId="4313"/>
    <cellStyle name="20% - akcent 2 3 4 2 2" xfId="4314"/>
    <cellStyle name="20% - akcent 2 3 4 2 2 2" xfId="4315"/>
    <cellStyle name="20% - akcent 2 3 4 2 2 2 2" xfId="4316"/>
    <cellStyle name="20% - akcent 2 3 4 2 2 2 2 2" xfId="4317"/>
    <cellStyle name="20% - akcent 2 3 4 2 2 2 2 2 2" xfId="4318"/>
    <cellStyle name="20% - akcent 2 3 4 2 2 2 2 3" xfId="4319"/>
    <cellStyle name="20% - akcent 2 3 4 2 2 2 3" xfId="4320"/>
    <cellStyle name="20% - akcent 2 3 4 2 2 2 3 2" xfId="4321"/>
    <cellStyle name="20% - akcent 2 3 4 2 2 2 3 2 2" xfId="4322"/>
    <cellStyle name="20% - akcent 2 3 4 2 2 2 3 3" xfId="4323"/>
    <cellStyle name="20% - akcent 2 3 4 2 2 2 4" xfId="4324"/>
    <cellStyle name="20% - akcent 2 3 4 2 2 2 4 2" xfId="4325"/>
    <cellStyle name="20% - akcent 2 3 4 2 2 2 4 2 2" xfId="4326"/>
    <cellStyle name="20% - akcent 2 3 4 2 2 2 4 3" xfId="4327"/>
    <cellStyle name="20% - akcent 2 3 4 2 2 2 5" xfId="4328"/>
    <cellStyle name="20% - akcent 2 3 4 2 2 2 5 2" xfId="4329"/>
    <cellStyle name="20% - akcent 2 3 4 2 2 2 6" xfId="4330"/>
    <cellStyle name="20% - akcent 2 3 4 2 2 3" xfId="4331"/>
    <cellStyle name="20% - akcent 2 3 4 2 2 3 2" xfId="4332"/>
    <cellStyle name="20% - akcent 2 3 4 2 2 3 2 2" xfId="4333"/>
    <cellStyle name="20% - akcent 2 3 4 2 2 3 3" xfId="4334"/>
    <cellStyle name="20% - akcent 2 3 4 2 2 4" xfId="4335"/>
    <cellStyle name="20% - akcent 2 3 4 2 2 4 2" xfId="4336"/>
    <cellStyle name="20% - akcent 2 3 4 2 2 4 2 2" xfId="4337"/>
    <cellStyle name="20% - akcent 2 3 4 2 2 4 3" xfId="4338"/>
    <cellStyle name="20% - akcent 2 3 4 2 2 5" xfId="4339"/>
    <cellStyle name="20% - akcent 2 3 4 2 2 5 2" xfId="4340"/>
    <cellStyle name="20% - akcent 2 3 4 2 2 5 2 2" xfId="4341"/>
    <cellStyle name="20% - akcent 2 3 4 2 2 5 3" xfId="4342"/>
    <cellStyle name="20% - akcent 2 3 4 2 2 6" xfId="4343"/>
    <cellStyle name="20% - akcent 2 3 4 2 2 6 2" xfId="4344"/>
    <cellStyle name="20% - akcent 2 3 4 2 2 7" xfId="4345"/>
    <cellStyle name="20% - akcent 2 3 4 2 3" xfId="4346"/>
    <cellStyle name="20% - akcent 2 3 4 2 3 2" xfId="4347"/>
    <cellStyle name="20% - akcent 2 3 4 2 3 2 2" xfId="4348"/>
    <cellStyle name="20% - akcent 2 3 4 2 3 2 2 2" xfId="4349"/>
    <cellStyle name="20% - akcent 2 3 4 2 3 2 3" xfId="4350"/>
    <cellStyle name="20% - akcent 2 3 4 2 3 3" xfId="4351"/>
    <cellStyle name="20% - akcent 2 3 4 2 3 3 2" xfId="4352"/>
    <cellStyle name="20% - akcent 2 3 4 2 3 3 2 2" xfId="4353"/>
    <cellStyle name="20% - akcent 2 3 4 2 3 3 3" xfId="4354"/>
    <cellStyle name="20% - akcent 2 3 4 2 3 4" xfId="4355"/>
    <cellStyle name="20% - akcent 2 3 4 2 3 4 2" xfId="4356"/>
    <cellStyle name="20% - akcent 2 3 4 2 3 4 2 2" xfId="4357"/>
    <cellStyle name="20% - akcent 2 3 4 2 3 4 3" xfId="4358"/>
    <cellStyle name="20% - akcent 2 3 4 2 3 5" xfId="4359"/>
    <cellStyle name="20% - akcent 2 3 4 2 3 5 2" xfId="4360"/>
    <cellStyle name="20% - akcent 2 3 4 2 3 6" xfId="4361"/>
    <cellStyle name="20% - akcent 2 3 4 2 4" xfId="4362"/>
    <cellStyle name="20% - akcent 2 3 4 2 4 2" xfId="4363"/>
    <cellStyle name="20% - akcent 2 3 4 2 4 2 2" xfId="4364"/>
    <cellStyle name="20% - akcent 2 3 4 2 4 2 2 2" xfId="4365"/>
    <cellStyle name="20% - akcent 2 3 4 2 4 2 3" xfId="4366"/>
    <cellStyle name="20% - akcent 2 3 4 2 4 3" xfId="4367"/>
    <cellStyle name="20% - akcent 2 3 4 2 4 3 2" xfId="4368"/>
    <cellStyle name="20% - akcent 2 3 4 2 4 3 2 2" xfId="4369"/>
    <cellStyle name="20% - akcent 2 3 4 2 4 3 3" xfId="4370"/>
    <cellStyle name="20% - akcent 2 3 4 2 4 4" xfId="4371"/>
    <cellStyle name="20% - akcent 2 3 4 2 4 4 2" xfId="4372"/>
    <cellStyle name="20% - akcent 2 3 4 2 4 4 2 2" xfId="4373"/>
    <cellStyle name="20% - akcent 2 3 4 2 4 4 3" xfId="4374"/>
    <cellStyle name="20% - akcent 2 3 4 2 4 5" xfId="4375"/>
    <cellStyle name="20% - akcent 2 3 4 2 4 5 2" xfId="4376"/>
    <cellStyle name="20% - akcent 2 3 4 2 4 6" xfId="4377"/>
    <cellStyle name="20% - akcent 2 3 4 2 5" xfId="4378"/>
    <cellStyle name="20% - akcent 2 3 4 2 5 2" xfId="4379"/>
    <cellStyle name="20% - akcent 2 3 4 2 5 2 2" xfId="4380"/>
    <cellStyle name="20% - akcent 2 3 4 2 5 3" xfId="4381"/>
    <cellStyle name="20% - akcent 2 3 4 2 6" xfId="4382"/>
    <cellStyle name="20% - akcent 2 3 4 2 6 2" xfId="4383"/>
    <cellStyle name="20% - akcent 2 3 4 2 6 2 2" xfId="4384"/>
    <cellStyle name="20% - akcent 2 3 4 2 6 3" xfId="4385"/>
    <cellStyle name="20% - akcent 2 3 4 2 7" xfId="4386"/>
    <cellStyle name="20% - akcent 2 3 4 2 7 2" xfId="4387"/>
    <cellStyle name="20% - akcent 2 3 4 2 7 2 2" xfId="4388"/>
    <cellStyle name="20% - akcent 2 3 4 2 7 3" xfId="4389"/>
    <cellStyle name="20% - akcent 2 3 4 2 8" xfId="4390"/>
    <cellStyle name="20% - akcent 2 3 4 2 8 2" xfId="4391"/>
    <cellStyle name="20% - akcent 2 3 4 2 9" xfId="4392"/>
    <cellStyle name="20% - akcent 2 3 4 3" xfId="4393"/>
    <cellStyle name="20% - akcent 2 3 4 3 2" xfId="4394"/>
    <cellStyle name="20% - akcent 2 3 4 3 2 2" xfId="4395"/>
    <cellStyle name="20% - akcent 2 3 4 3 2 2 2" xfId="4396"/>
    <cellStyle name="20% - akcent 2 3 4 3 2 2 2 2" xfId="4397"/>
    <cellStyle name="20% - akcent 2 3 4 3 2 2 3" xfId="4398"/>
    <cellStyle name="20% - akcent 2 3 4 3 2 3" xfId="4399"/>
    <cellStyle name="20% - akcent 2 3 4 3 2 3 2" xfId="4400"/>
    <cellStyle name="20% - akcent 2 3 4 3 2 3 2 2" xfId="4401"/>
    <cellStyle name="20% - akcent 2 3 4 3 2 3 3" xfId="4402"/>
    <cellStyle name="20% - akcent 2 3 4 3 2 4" xfId="4403"/>
    <cellStyle name="20% - akcent 2 3 4 3 2 4 2" xfId="4404"/>
    <cellStyle name="20% - akcent 2 3 4 3 2 4 2 2" xfId="4405"/>
    <cellStyle name="20% - akcent 2 3 4 3 2 4 3" xfId="4406"/>
    <cellStyle name="20% - akcent 2 3 4 3 2 5" xfId="4407"/>
    <cellStyle name="20% - akcent 2 3 4 3 2 5 2" xfId="4408"/>
    <cellStyle name="20% - akcent 2 3 4 3 2 6" xfId="4409"/>
    <cellStyle name="20% - akcent 2 3 4 3 3" xfId="4410"/>
    <cellStyle name="20% - akcent 2 3 4 3 3 2" xfId="4411"/>
    <cellStyle name="20% - akcent 2 3 4 3 3 2 2" xfId="4412"/>
    <cellStyle name="20% - akcent 2 3 4 3 3 3" xfId="4413"/>
    <cellStyle name="20% - akcent 2 3 4 3 4" xfId="4414"/>
    <cellStyle name="20% - akcent 2 3 4 3 4 2" xfId="4415"/>
    <cellStyle name="20% - akcent 2 3 4 3 4 2 2" xfId="4416"/>
    <cellStyle name="20% - akcent 2 3 4 3 4 3" xfId="4417"/>
    <cellStyle name="20% - akcent 2 3 4 3 5" xfId="4418"/>
    <cellStyle name="20% - akcent 2 3 4 3 5 2" xfId="4419"/>
    <cellStyle name="20% - akcent 2 3 4 3 5 2 2" xfId="4420"/>
    <cellStyle name="20% - akcent 2 3 4 3 5 3" xfId="4421"/>
    <cellStyle name="20% - akcent 2 3 4 3 6" xfId="4422"/>
    <cellStyle name="20% - akcent 2 3 4 3 6 2" xfId="4423"/>
    <cellStyle name="20% - akcent 2 3 4 3 7" xfId="4424"/>
    <cellStyle name="20% - akcent 2 3 4 4" xfId="4425"/>
    <cellStyle name="20% - akcent 2 3 4 4 2" xfId="4426"/>
    <cellStyle name="20% - akcent 2 3 4 4 2 2" xfId="4427"/>
    <cellStyle name="20% - akcent 2 3 4 4 2 2 2" xfId="4428"/>
    <cellStyle name="20% - akcent 2 3 4 4 2 3" xfId="4429"/>
    <cellStyle name="20% - akcent 2 3 4 4 3" xfId="4430"/>
    <cellStyle name="20% - akcent 2 3 4 4 3 2" xfId="4431"/>
    <cellStyle name="20% - akcent 2 3 4 4 3 2 2" xfId="4432"/>
    <cellStyle name="20% - akcent 2 3 4 4 3 3" xfId="4433"/>
    <cellStyle name="20% - akcent 2 3 4 4 4" xfId="4434"/>
    <cellStyle name="20% - akcent 2 3 4 4 4 2" xfId="4435"/>
    <cellStyle name="20% - akcent 2 3 4 4 4 2 2" xfId="4436"/>
    <cellStyle name="20% - akcent 2 3 4 4 4 3" xfId="4437"/>
    <cellStyle name="20% - akcent 2 3 4 4 5" xfId="4438"/>
    <cellStyle name="20% - akcent 2 3 4 4 5 2" xfId="4439"/>
    <cellStyle name="20% - akcent 2 3 4 4 6" xfId="4440"/>
    <cellStyle name="20% - akcent 2 3 4 5" xfId="4441"/>
    <cellStyle name="20% - akcent 2 3 4 5 2" xfId="4442"/>
    <cellStyle name="20% - akcent 2 3 4 5 2 2" xfId="4443"/>
    <cellStyle name="20% - akcent 2 3 4 5 2 2 2" xfId="4444"/>
    <cellStyle name="20% - akcent 2 3 4 5 2 3" xfId="4445"/>
    <cellStyle name="20% - akcent 2 3 4 5 3" xfId="4446"/>
    <cellStyle name="20% - akcent 2 3 4 5 3 2" xfId="4447"/>
    <cellStyle name="20% - akcent 2 3 4 5 3 2 2" xfId="4448"/>
    <cellStyle name="20% - akcent 2 3 4 5 3 3" xfId="4449"/>
    <cellStyle name="20% - akcent 2 3 4 5 4" xfId="4450"/>
    <cellStyle name="20% - akcent 2 3 4 5 4 2" xfId="4451"/>
    <cellStyle name="20% - akcent 2 3 4 5 4 2 2" xfId="4452"/>
    <cellStyle name="20% - akcent 2 3 4 5 4 3" xfId="4453"/>
    <cellStyle name="20% - akcent 2 3 4 5 5" xfId="4454"/>
    <cellStyle name="20% - akcent 2 3 4 5 5 2" xfId="4455"/>
    <cellStyle name="20% - akcent 2 3 4 5 6" xfId="4456"/>
    <cellStyle name="20% - akcent 2 3 4 6" xfId="4457"/>
    <cellStyle name="20% - akcent 2 3 4 6 2" xfId="4458"/>
    <cellStyle name="20% - akcent 2 3 4 6 2 2" xfId="4459"/>
    <cellStyle name="20% - akcent 2 3 4 6 3" xfId="4460"/>
    <cellStyle name="20% - akcent 2 3 4 7" xfId="4461"/>
    <cellStyle name="20% - akcent 2 3 4 7 2" xfId="4462"/>
    <cellStyle name="20% - akcent 2 3 4 7 2 2" xfId="4463"/>
    <cellStyle name="20% - akcent 2 3 4 7 3" xfId="4464"/>
    <cellStyle name="20% - akcent 2 3 4 8" xfId="4465"/>
    <cellStyle name="20% - akcent 2 3 4 8 2" xfId="4466"/>
    <cellStyle name="20% - akcent 2 3 4 8 2 2" xfId="4467"/>
    <cellStyle name="20% - akcent 2 3 4 8 3" xfId="4468"/>
    <cellStyle name="20% - akcent 2 3 4 9" xfId="4469"/>
    <cellStyle name="20% - akcent 2 3 4 9 2" xfId="4470"/>
    <cellStyle name="20% - akcent 2 3 5" xfId="4471"/>
    <cellStyle name="20% - akcent 2 3 5 2" xfId="4472"/>
    <cellStyle name="20% - akcent 2 3 5 2 2" xfId="4473"/>
    <cellStyle name="20% - akcent 2 3 5 2 2 2" xfId="4474"/>
    <cellStyle name="20% - akcent 2 3 5 2 2 2 2" xfId="4475"/>
    <cellStyle name="20% - akcent 2 3 5 2 2 2 2 2" xfId="4476"/>
    <cellStyle name="20% - akcent 2 3 5 2 2 2 3" xfId="4477"/>
    <cellStyle name="20% - akcent 2 3 5 2 2 3" xfId="4478"/>
    <cellStyle name="20% - akcent 2 3 5 2 2 3 2" xfId="4479"/>
    <cellStyle name="20% - akcent 2 3 5 2 2 3 2 2" xfId="4480"/>
    <cellStyle name="20% - akcent 2 3 5 2 2 3 3" xfId="4481"/>
    <cellStyle name="20% - akcent 2 3 5 2 2 4" xfId="4482"/>
    <cellStyle name="20% - akcent 2 3 5 2 2 4 2" xfId="4483"/>
    <cellStyle name="20% - akcent 2 3 5 2 2 4 2 2" xfId="4484"/>
    <cellStyle name="20% - akcent 2 3 5 2 2 4 3" xfId="4485"/>
    <cellStyle name="20% - akcent 2 3 5 2 2 5" xfId="4486"/>
    <cellStyle name="20% - akcent 2 3 5 2 2 5 2" xfId="4487"/>
    <cellStyle name="20% - akcent 2 3 5 2 2 6" xfId="4488"/>
    <cellStyle name="20% - akcent 2 3 5 2 3" xfId="4489"/>
    <cellStyle name="20% - akcent 2 3 5 2 3 2" xfId="4490"/>
    <cellStyle name="20% - akcent 2 3 5 2 3 2 2" xfId="4491"/>
    <cellStyle name="20% - akcent 2 3 5 2 3 3" xfId="4492"/>
    <cellStyle name="20% - akcent 2 3 5 2 4" xfId="4493"/>
    <cellStyle name="20% - akcent 2 3 5 2 4 2" xfId="4494"/>
    <cellStyle name="20% - akcent 2 3 5 2 4 2 2" xfId="4495"/>
    <cellStyle name="20% - akcent 2 3 5 2 4 3" xfId="4496"/>
    <cellStyle name="20% - akcent 2 3 5 2 5" xfId="4497"/>
    <cellStyle name="20% - akcent 2 3 5 2 5 2" xfId="4498"/>
    <cellStyle name="20% - akcent 2 3 5 2 5 2 2" xfId="4499"/>
    <cellStyle name="20% - akcent 2 3 5 2 5 3" xfId="4500"/>
    <cellStyle name="20% - akcent 2 3 5 2 6" xfId="4501"/>
    <cellStyle name="20% - akcent 2 3 5 2 6 2" xfId="4502"/>
    <cellStyle name="20% - akcent 2 3 5 2 7" xfId="4503"/>
    <cellStyle name="20% - akcent 2 3 5 3" xfId="4504"/>
    <cellStyle name="20% - akcent 2 3 5 3 2" xfId="4505"/>
    <cellStyle name="20% - akcent 2 3 5 3 2 2" xfId="4506"/>
    <cellStyle name="20% - akcent 2 3 5 3 2 2 2" xfId="4507"/>
    <cellStyle name="20% - akcent 2 3 5 3 2 3" xfId="4508"/>
    <cellStyle name="20% - akcent 2 3 5 3 3" xfId="4509"/>
    <cellStyle name="20% - akcent 2 3 5 3 3 2" xfId="4510"/>
    <cellStyle name="20% - akcent 2 3 5 3 3 2 2" xfId="4511"/>
    <cellStyle name="20% - akcent 2 3 5 3 3 3" xfId="4512"/>
    <cellStyle name="20% - akcent 2 3 5 3 4" xfId="4513"/>
    <cellStyle name="20% - akcent 2 3 5 3 4 2" xfId="4514"/>
    <cellStyle name="20% - akcent 2 3 5 3 4 2 2" xfId="4515"/>
    <cellStyle name="20% - akcent 2 3 5 3 4 3" xfId="4516"/>
    <cellStyle name="20% - akcent 2 3 5 3 5" xfId="4517"/>
    <cellStyle name="20% - akcent 2 3 5 3 5 2" xfId="4518"/>
    <cellStyle name="20% - akcent 2 3 5 3 6" xfId="4519"/>
    <cellStyle name="20% - akcent 2 3 5 4" xfId="4520"/>
    <cellStyle name="20% - akcent 2 3 5 4 2" xfId="4521"/>
    <cellStyle name="20% - akcent 2 3 5 4 2 2" xfId="4522"/>
    <cellStyle name="20% - akcent 2 3 5 4 2 2 2" xfId="4523"/>
    <cellStyle name="20% - akcent 2 3 5 4 2 3" xfId="4524"/>
    <cellStyle name="20% - akcent 2 3 5 4 3" xfId="4525"/>
    <cellStyle name="20% - akcent 2 3 5 4 3 2" xfId="4526"/>
    <cellStyle name="20% - akcent 2 3 5 4 3 2 2" xfId="4527"/>
    <cellStyle name="20% - akcent 2 3 5 4 3 3" xfId="4528"/>
    <cellStyle name="20% - akcent 2 3 5 4 4" xfId="4529"/>
    <cellStyle name="20% - akcent 2 3 5 4 4 2" xfId="4530"/>
    <cellStyle name="20% - akcent 2 3 5 4 4 2 2" xfId="4531"/>
    <cellStyle name="20% - akcent 2 3 5 4 4 3" xfId="4532"/>
    <cellStyle name="20% - akcent 2 3 5 4 5" xfId="4533"/>
    <cellStyle name="20% - akcent 2 3 5 4 5 2" xfId="4534"/>
    <cellStyle name="20% - akcent 2 3 5 4 6" xfId="4535"/>
    <cellStyle name="20% - akcent 2 3 5 5" xfId="4536"/>
    <cellStyle name="20% - akcent 2 3 5 5 2" xfId="4537"/>
    <cellStyle name="20% - akcent 2 3 5 5 2 2" xfId="4538"/>
    <cellStyle name="20% - akcent 2 3 5 5 3" xfId="4539"/>
    <cellStyle name="20% - akcent 2 3 5 6" xfId="4540"/>
    <cellStyle name="20% - akcent 2 3 5 6 2" xfId="4541"/>
    <cellStyle name="20% - akcent 2 3 5 6 2 2" xfId="4542"/>
    <cellStyle name="20% - akcent 2 3 5 6 3" xfId="4543"/>
    <cellStyle name="20% - akcent 2 3 5 7" xfId="4544"/>
    <cellStyle name="20% - akcent 2 3 5 7 2" xfId="4545"/>
    <cellStyle name="20% - akcent 2 3 5 7 2 2" xfId="4546"/>
    <cellStyle name="20% - akcent 2 3 5 7 3" xfId="4547"/>
    <cellStyle name="20% - akcent 2 3 5 8" xfId="4548"/>
    <cellStyle name="20% - akcent 2 3 5 8 2" xfId="4549"/>
    <cellStyle name="20% - akcent 2 3 5 9" xfId="4550"/>
    <cellStyle name="20% - akcent 2 3 6" xfId="4551"/>
    <cellStyle name="20% - akcent 2 3 6 2" xfId="4552"/>
    <cellStyle name="20% - akcent 2 3 6 2 2" xfId="4553"/>
    <cellStyle name="20% - akcent 2 3 6 2 2 2" xfId="4554"/>
    <cellStyle name="20% - akcent 2 3 6 2 2 2 2" xfId="4555"/>
    <cellStyle name="20% - akcent 2 3 6 2 2 2 2 2" xfId="4556"/>
    <cellStyle name="20% - akcent 2 3 6 2 2 2 3" xfId="4557"/>
    <cellStyle name="20% - akcent 2 3 6 2 2 3" xfId="4558"/>
    <cellStyle name="20% - akcent 2 3 6 2 2 3 2" xfId="4559"/>
    <cellStyle name="20% - akcent 2 3 6 2 2 3 2 2" xfId="4560"/>
    <cellStyle name="20% - akcent 2 3 6 2 2 3 3" xfId="4561"/>
    <cellStyle name="20% - akcent 2 3 6 2 2 4" xfId="4562"/>
    <cellStyle name="20% - akcent 2 3 6 2 2 4 2" xfId="4563"/>
    <cellStyle name="20% - akcent 2 3 6 2 2 4 2 2" xfId="4564"/>
    <cellStyle name="20% - akcent 2 3 6 2 2 4 3" xfId="4565"/>
    <cellStyle name="20% - akcent 2 3 6 2 2 5" xfId="4566"/>
    <cellStyle name="20% - akcent 2 3 6 2 2 5 2" xfId="4567"/>
    <cellStyle name="20% - akcent 2 3 6 2 2 6" xfId="4568"/>
    <cellStyle name="20% - akcent 2 3 6 2 3" xfId="4569"/>
    <cellStyle name="20% - akcent 2 3 6 2 3 2" xfId="4570"/>
    <cellStyle name="20% - akcent 2 3 6 2 3 2 2" xfId="4571"/>
    <cellStyle name="20% - akcent 2 3 6 2 3 3" xfId="4572"/>
    <cellStyle name="20% - akcent 2 3 6 2 4" xfId="4573"/>
    <cellStyle name="20% - akcent 2 3 6 2 4 2" xfId="4574"/>
    <cellStyle name="20% - akcent 2 3 6 2 4 2 2" xfId="4575"/>
    <cellStyle name="20% - akcent 2 3 6 2 4 3" xfId="4576"/>
    <cellStyle name="20% - akcent 2 3 6 2 5" xfId="4577"/>
    <cellStyle name="20% - akcent 2 3 6 2 5 2" xfId="4578"/>
    <cellStyle name="20% - akcent 2 3 6 2 5 2 2" xfId="4579"/>
    <cellStyle name="20% - akcent 2 3 6 2 5 3" xfId="4580"/>
    <cellStyle name="20% - akcent 2 3 6 2 6" xfId="4581"/>
    <cellStyle name="20% - akcent 2 3 6 2 6 2" xfId="4582"/>
    <cellStyle name="20% - akcent 2 3 6 2 7" xfId="4583"/>
    <cellStyle name="20% - akcent 2 3 6 3" xfId="4584"/>
    <cellStyle name="20% - akcent 2 3 6 3 2" xfId="4585"/>
    <cellStyle name="20% - akcent 2 3 6 3 2 2" xfId="4586"/>
    <cellStyle name="20% - akcent 2 3 6 3 2 2 2" xfId="4587"/>
    <cellStyle name="20% - akcent 2 3 6 3 2 3" xfId="4588"/>
    <cellStyle name="20% - akcent 2 3 6 3 3" xfId="4589"/>
    <cellStyle name="20% - akcent 2 3 6 3 3 2" xfId="4590"/>
    <cellStyle name="20% - akcent 2 3 6 3 3 2 2" xfId="4591"/>
    <cellStyle name="20% - akcent 2 3 6 3 3 3" xfId="4592"/>
    <cellStyle name="20% - akcent 2 3 6 3 4" xfId="4593"/>
    <cellStyle name="20% - akcent 2 3 6 3 4 2" xfId="4594"/>
    <cellStyle name="20% - akcent 2 3 6 3 4 2 2" xfId="4595"/>
    <cellStyle name="20% - akcent 2 3 6 3 4 3" xfId="4596"/>
    <cellStyle name="20% - akcent 2 3 6 3 5" xfId="4597"/>
    <cellStyle name="20% - akcent 2 3 6 3 5 2" xfId="4598"/>
    <cellStyle name="20% - akcent 2 3 6 3 6" xfId="4599"/>
    <cellStyle name="20% - akcent 2 3 6 4" xfId="4600"/>
    <cellStyle name="20% - akcent 2 3 6 4 2" xfId="4601"/>
    <cellStyle name="20% - akcent 2 3 6 4 2 2" xfId="4602"/>
    <cellStyle name="20% - akcent 2 3 6 4 2 2 2" xfId="4603"/>
    <cellStyle name="20% - akcent 2 3 6 4 2 3" xfId="4604"/>
    <cellStyle name="20% - akcent 2 3 6 4 3" xfId="4605"/>
    <cellStyle name="20% - akcent 2 3 6 4 3 2" xfId="4606"/>
    <cellStyle name="20% - akcent 2 3 6 4 3 2 2" xfId="4607"/>
    <cellStyle name="20% - akcent 2 3 6 4 3 3" xfId="4608"/>
    <cellStyle name="20% - akcent 2 3 6 4 4" xfId="4609"/>
    <cellStyle name="20% - akcent 2 3 6 4 4 2" xfId="4610"/>
    <cellStyle name="20% - akcent 2 3 6 4 4 2 2" xfId="4611"/>
    <cellStyle name="20% - akcent 2 3 6 4 4 3" xfId="4612"/>
    <cellStyle name="20% - akcent 2 3 6 4 5" xfId="4613"/>
    <cellStyle name="20% - akcent 2 3 6 4 5 2" xfId="4614"/>
    <cellStyle name="20% - akcent 2 3 6 4 6" xfId="4615"/>
    <cellStyle name="20% - akcent 2 3 6 5" xfId="4616"/>
    <cellStyle name="20% - akcent 2 3 6 5 2" xfId="4617"/>
    <cellStyle name="20% - akcent 2 3 6 5 2 2" xfId="4618"/>
    <cellStyle name="20% - akcent 2 3 6 5 3" xfId="4619"/>
    <cellStyle name="20% - akcent 2 3 6 6" xfId="4620"/>
    <cellStyle name="20% - akcent 2 3 6 6 2" xfId="4621"/>
    <cellStyle name="20% - akcent 2 3 6 6 2 2" xfId="4622"/>
    <cellStyle name="20% - akcent 2 3 6 6 3" xfId="4623"/>
    <cellStyle name="20% - akcent 2 3 6 7" xfId="4624"/>
    <cellStyle name="20% - akcent 2 3 6 7 2" xfId="4625"/>
    <cellStyle name="20% - akcent 2 3 6 7 2 2" xfId="4626"/>
    <cellStyle name="20% - akcent 2 3 6 7 3" xfId="4627"/>
    <cellStyle name="20% - akcent 2 3 6 8" xfId="4628"/>
    <cellStyle name="20% - akcent 2 3 6 8 2" xfId="4629"/>
    <cellStyle name="20% - akcent 2 3 6 9" xfId="4630"/>
    <cellStyle name="20% - akcent 2 3 7" xfId="4631"/>
    <cellStyle name="20% - akcent 2 3 7 2" xfId="4632"/>
    <cellStyle name="20% - akcent 2 3 7 2 2" xfId="4633"/>
    <cellStyle name="20% - akcent 2 3 7 2 2 2" xfId="4634"/>
    <cellStyle name="20% - akcent 2 3 7 2 2 2 2" xfId="4635"/>
    <cellStyle name="20% - akcent 2 3 7 2 2 3" xfId="4636"/>
    <cellStyle name="20% - akcent 2 3 7 2 3" xfId="4637"/>
    <cellStyle name="20% - akcent 2 3 7 2 3 2" xfId="4638"/>
    <cellStyle name="20% - akcent 2 3 7 2 3 2 2" xfId="4639"/>
    <cellStyle name="20% - akcent 2 3 7 2 3 3" xfId="4640"/>
    <cellStyle name="20% - akcent 2 3 7 2 4" xfId="4641"/>
    <cellStyle name="20% - akcent 2 3 7 2 4 2" xfId="4642"/>
    <cellStyle name="20% - akcent 2 3 7 2 4 2 2" xfId="4643"/>
    <cellStyle name="20% - akcent 2 3 7 2 4 3" xfId="4644"/>
    <cellStyle name="20% - akcent 2 3 7 2 5" xfId="4645"/>
    <cellStyle name="20% - akcent 2 3 7 2 5 2" xfId="4646"/>
    <cellStyle name="20% - akcent 2 3 7 2 6" xfId="4647"/>
    <cellStyle name="20% - akcent 2 3 7 3" xfId="4648"/>
    <cellStyle name="20% - akcent 2 3 7 3 2" xfId="4649"/>
    <cellStyle name="20% - akcent 2 3 7 3 2 2" xfId="4650"/>
    <cellStyle name="20% - akcent 2 3 7 3 3" xfId="4651"/>
    <cellStyle name="20% - akcent 2 3 7 4" xfId="4652"/>
    <cellStyle name="20% - akcent 2 3 7 4 2" xfId="4653"/>
    <cellStyle name="20% - akcent 2 3 7 4 2 2" xfId="4654"/>
    <cellStyle name="20% - akcent 2 3 7 4 3" xfId="4655"/>
    <cellStyle name="20% - akcent 2 3 7 5" xfId="4656"/>
    <cellStyle name="20% - akcent 2 3 7 5 2" xfId="4657"/>
    <cellStyle name="20% - akcent 2 3 7 5 2 2" xfId="4658"/>
    <cellStyle name="20% - akcent 2 3 7 5 3" xfId="4659"/>
    <cellStyle name="20% - akcent 2 3 7 6" xfId="4660"/>
    <cellStyle name="20% - akcent 2 3 7 6 2" xfId="4661"/>
    <cellStyle name="20% - akcent 2 3 7 7" xfId="4662"/>
    <cellStyle name="20% - akcent 2 3 8" xfId="4663"/>
    <cellStyle name="20% - akcent 2 3 8 2" xfId="4664"/>
    <cellStyle name="20% - akcent 2 3 8 2 2" xfId="4665"/>
    <cellStyle name="20% - akcent 2 3 8 2 2 2" xfId="4666"/>
    <cellStyle name="20% - akcent 2 3 8 2 3" xfId="4667"/>
    <cellStyle name="20% - akcent 2 3 8 3" xfId="4668"/>
    <cellStyle name="20% - akcent 2 3 8 3 2" xfId="4669"/>
    <cellStyle name="20% - akcent 2 3 8 3 2 2" xfId="4670"/>
    <cellStyle name="20% - akcent 2 3 8 3 3" xfId="4671"/>
    <cellStyle name="20% - akcent 2 3 8 4" xfId="4672"/>
    <cellStyle name="20% - akcent 2 3 8 4 2" xfId="4673"/>
    <cellStyle name="20% - akcent 2 3 8 4 2 2" xfId="4674"/>
    <cellStyle name="20% - akcent 2 3 8 4 3" xfId="4675"/>
    <cellStyle name="20% - akcent 2 3 8 5" xfId="4676"/>
    <cellStyle name="20% - akcent 2 3 8 5 2" xfId="4677"/>
    <cellStyle name="20% - akcent 2 3 8 6" xfId="4678"/>
    <cellStyle name="20% - akcent 2 3 9" xfId="4679"/>
    <cellStyle name="20% - akcent 2 3 9 2" xfId="4680"/>
    <cellStyle name="20% - akcent 2 3 9 2 2" xfId="4681"/>
    <cellStyle name="20% - akcent 2 3 9 2 2 2" xfId="4682"/>
    <cellStyle name="20% - akcent 2 3 9 2 3" xfId="4683"/>
    <cellStyle name="20% - akcent 2 3 9 3" xfId="4684"/>
    <cellStyle name="20% - akcent 2 3 9 3 2" xfId="4685"/>
    <cellStyle name="20% - akcent 2 3 9 3 2 2" xfId="4686"/>
    <cellStyle name="20% - akcent 2 3 9 3 3" xfId="4687"/>
    <cellStyle name="20% - akcent 2 3 9 4" xfId="4688"/>
    <cellStyle name="20% - akcent 2 3 9 4 2" xfId="4689"/>
    <cellStyle name="20% - akcent 2 3 9 4 2 2" xfId="4690"/>
    <cellStyle name="20% - akcent 2 3 9 4 3" xfId="4691"/>
    <cellStyle name="20% - akcent 2 3 9 5" xfId="4692"/>
    <cellStyle name="20% - akcent 2 3 9 5 2" xfId="4693"/>
    <cellStyle name="20% - akcent 2 3 9 6" xfId="4694"/>
    <cellStyle name="20% - akcent 2 3_2011'05 Raport PGE_DO-CO2" xfId="4695"/>
    <cellStyle name="20% - akcent 2 4" xfId="4696"/>
    <cellStyle name="20% - akcent 2 4 2" xfId="4697"/>
    <cellStyle name="20% - akcent 2 4 2 2" xfId="4698"/>
    <cellStyle name="20% - akcent 2 4 2 2 2" xfId="4699"/>
    <cellStyle name="20% - akcent 2 4 2 2 2 2" xfId="4700"/>
    <cellStyle name="20% - akcent 2 4 2 2 2 2 2" xfId="4701"/>
    <cellStyle name="20% - akcent 2 4 2 2 2 2 2 2" xfId="4702"/>
    <cellStyle name="20% - akcent 2 4 2 2 2 2 2 2 2" xfId="4703"/>
    <cellStyle name="20% - akcent 2 4 2 2 2 2 2 3" xfId="4704"/>
    <cellStyle name="20% - akcent 2 4 2 2 2 2 3" xfId="4705"/>
    <cellStyle name="20% - akcent 2 4 2 2 2 2 3 2" xfId="4706"/>
    <cellStyle name="20% - akcent 2 4 2 2 2 2 3 2 2" xfId="4707"/>
    <cellStyle name="20% - akcent 2 4 2 2 2 2 3 3" xfId="4708"/>
    <cellStyle name="20% - akcent 2 4 2 2 2 2 4" xfId="4709"/>
    <cellStyle name="20% - akcent 2 4 2 2 2 2 4 2" xfId="4710"/>
    <cellStyle name="20% - akcent 2 4 2 2 2 2 4 2 2" xfId="4711"/>
    <cellStyle name="20% - akcent 2 4 2 2 2 2 4 3" xfId="4712"/>
    <cellStyle name="20% - akcent 2 4 2 2 2 2 5" xfId="4713"/>
    <cellStyle name="20% - akcent 2 4 2 2 2 2 5 2" xfId="4714"/>
    <cellStyle name="20% - akcent 2 4 2 2 2 2 6" xfId="4715"/>
    <cellStyle name="20% - akcent 2 4 2 2 2 3" xfId="4716"/>
    <cellStyle name="20% - akcent 2 4 2 2 2 3 2" xfId="4717"/>
    <cellStyle name="20% - akcent 2 4 2 2 2 3 2 2" xfId="4718"/>
    <cellStyle name="20% - akcent 2 4 2 2 2 3 3" xfId="4719"/>
    <cellStyle name="20% - akcent 2 4 2 2 2 4" xfId="4720"/>
    <cellStyle name="20% - akcent 2 4 2 2 2 4 2" xfId="4721"/>
    <cellStyle name="20% - akcent 2 4 2 2 2 4 2 2" xfId="4722"/>
    <cellStyle name="20% - akcent 2 4 2 2 2 4 3" xfId="4723"/>
    <cellStyle name="20% - akcent 2 4 2 2 2 5" xfId="4724"/>
    <cellStyle name="20% - akcent 2 4 2 2 2 5 2" xfId="4725"/>
    <cellStyle name="20% - akcent 2 4 2 2 2 5 2 2" xfId="4726"/>
    <cellStyle name="20% - akcent 2 4 2 2 2 5 3" xfId="4727"/>
    <cellStyle name="20% - akcent 2 4 2 2 2 6" xfId="4728"/>
    <cellStyle name="20% - akcent 2 4 2 2 2 6 2" xfId="4729"/>
    <cellStyle name="20% - akcent 2 4 2 2 2 7" xfId="4730"/>
    <cellStyle name="20% - akcent 2 4 2 2 3" xfId="4731"/>
    <cellStyle name="20% - akcent 2 4 2 2 3 2" xfId="4732"/>
    <cellStyle name="20% - akcent 2 4 2 2 3 2 2" xfId="4733"/>
    <cellStyle name="20% - akcent 2 4 2 2 3 2 2 2" xfId="4734"/>
    <cellStyle name="20% - akcent 2 4 2 2 3 2 3" xfId="4735"/>
    <cellStyle name="20% - akcent 2 4 2 2 3 3" xfId="4736"/>
    <cellStyle name="20% - akcent 2 4 2 2 3 3 2" xfId="4737"/>
    <cellStyle name="20% - akcent 2 4 2 2 3 3 2 2" xfId="4738"/>
    <cellStyle name="20% - akcent 2 4 2 2 3 3 3" xfId="4739"/>
    <cellStyle name="20% - akcent 2 4 2 2 3 4" xfId="4740"/>
    <cellStyle name="20% - akcent 2 4 2 2 3 4 2" xfId="4741"/>
    <cellStyle name="20% - akcent 2 4 2 2 3 4 2 2" xfId="4742"/>
    <cellStyle name="20% - akcent 2 4 2 2 3 4 3" xfId="4743"/>
    <cellStyle name="20% - akcent 2 4 2 2 3 5" xfId="4744"/>
    <cellStyle name="20% - akcent 2 4 2 2 3 5 2" xfId="4745"/>
    <cellStyle name="20% - akcent 2 4 2 2 3 6" xfId="4746"/>
    <cellStyle name="20% - akcent 2 4 2 2 4" xfId="4747"/>
    <cellStyle name="20% - akcent 2 4 2 2 4 2" xfId="4748"/>
    <cellStyle name="20% - akcent 2 4 2 2 4 2 2" xfId="4749"/>
    <cellStyle name="20% - akcent 2 4 2 2 4 2 2 2" xfId="4750"/>
    <cellStyle name="20% - akcent 2 4 2 2 4 2 3" xfId="4751"/>
    <cellStyle name="20% - akcent 2 4 2 2 4 3" xfId="4752"/>
    <cellStyle name="20% - akcent 2 4 2 2 4 3 2" xfId="4753"/>
    <cellStyle name="20% - akcent 2 4 2 2 4 3 2 2" xfId="4754"/>
    <cellStyle name="20% - akcent 2 4 2 2 4 3 3" xfId="4755"/>
    <cellStyle name="20% - akcent 2 4 2 2 4 4" xfId="4756"/>
    <cellStyle name="20% - akcent 2 4 2 2 4 4 2" xfId="4757"/>
    <cellStyle name="20% - akcent 2 4 2 2 4 4 2 2" xfId="4758"/>
    <cellStyle name="20% - akcent 2 4 2 2 4 4 3" xfId="4759"/>
    <cellStyle name="20% - akcent 2 4 2 2 4 5" xfId="4760"/>
    <cellStyle name="20% - akcent 2 4 2 2 4 5 2" xfId="4761"/>
    <cellStyle name="20% - akcent 2 4 2 2 4 6" xfId="4762"/>
    <cellStyle name="20% - akcent 2 4 2 2 5" xfId="4763"/>
    <cellStyle name="20% - akcent 2 4 2 2 5 2" xfId="4764"/>
    <cellStyle name="20% - akcent 2 4 2 2 5 2 2" xfId="4765"/>
    <cellStyle name="20% - akcent 2 4 2 2 5 3" xfId="4766"/>
    <cellStyle name="20% - akcent 2 4 2 2 6" xfId="4767"/>
    <cellStyle name="20% - akcent 2 4 2 2 6 2" xfId="4768"/>
    <cellStyle name="20% - akcent 2 4 2 2 6 2 2" xfId="4769"/>
    <cellStyle name="20% - akcent 2 4 2 2 6 3" xfId="4770"/>
    <cellStyle name="20% - akcent 2 4 2 2 7" xfId="4771"/>
    <cellStyle name="20% - akcent 2 4 2 2 7 2" xfId="4772"/>
    <cellStyle name="20% - akcent 2 4 2 2 7 2 2" xfId="4773"/>
    <cellStyle name="20% - akcent 2 4 2 2 7 3" xfId="4774"/>
    <cellStyle name="20% - akcent 2 4 2 2 8" xfId="4775"/>
    <cellStyle name="20% - akcent 2 4 2 2 8 2" xfId="4776"/>
    <cellStyle name="20% - akcent 2 4 2 2 9" xfId="4777"/>
    <cellStyle name="20% - akcent 2 4 2 3" xfId="4778"/>
    <cellStyle name="20% - akcent 2 4 2 3 2" xfId="4779"/>
    <cellStyle name="20% - akcent 2 4 2 3 2 2" xfId="4780"/>
    <cellStyle name="20% - akcent 2 4 2 3 2 2 2" xfId="4781"/>
    <cellStyle name="20% - akcent 2 4 2 3 2 2 2 2" xfId="4782"/>
    <cellStyle name="20% - akcent 2 4 2 3 2 2 3" xfId="4783"/>
    <cellStyle name="20% - akcent 2 4 2 3 2 3" xfId="4784"/>
    <cellStyle name="20% - akcent 2 4 2 3 2 3 2" xfId="4785"/>
    <cellStyle name="20% - akcent 2 4 2 3 2 3 2 2" xfId="4786"/>
    <cellStyle name="20% - akcent 2 4 2 3 2 3 3" xfId="4787"/>
    <cellStyle name="20% - akcent 2 4 2 3 2 4" xfId="4788"/>
    <cellStyle name="20% - akcent 2 4 2 3 2 4 2" xfId="4789"/>
    <cellStyle name="20% - akcent 2 4 2 3 2 4 2 2" xfId="4790"/>
    <cellStyle name="20% - akcent 2 4 2 3 2 4 3" xfId="4791"/>
    <cellStyle name="20% - akcent 2 4 2 3 2 5" xfId="4792"/>
    <cellStyle name="20% - akcent 2 4 2 3 2 5 2" xfId="4793"/>
    <cellStyle name="20% - akcent 2 4 2 3 2 6" xfId="4794"/>
    <cellStyle name="20% - akcent 2 4 2 3 3" xfId="4795"/>
    <cellStyle name="20% - akcent 2 4 2 3 3 2" xfId="4796"/>
    <cellStyle name="20% - akcent 2 4 2 3 3 2 2" xfId="4797"/>
    <cellStyle name="20% - akcent 2 4 2 3 3 3" xfId="4798"/>
    <cellStyle name="20% - akcent 2 4 2 3 4" xfId="4799"/>
    <cellStyle name="20% - akcent 2 4 2 3 4 2" xfId="4800"/>
    <cellStyle name="20% - akcent 2 4 2 3 4 2 2" xfId="4801"/>
    <cellStyle name="20% - akcent 2 4 2 3 4 3" xfId="4802"/>
    <cellStyle name="20% - akcent 2 4 2 3 5" xfId="4803"/>
    <cellStyle name="20% - akcent 2 4 2 3 5 2" xfId="4804"/>
    <cellStyle name="20% - akcent 2 4 2 3 5 2 2" xfId="4805"/>
    <cellStyle name="20% - akcent 2 4 2 3 5 3" xfId="4806"/>
    <cellStyle name="20% - akcent 2 4 2 3 6" xfId="4807"/>
    <cellStyle name="20% - akcent 2 4 2 3 6 2" xfId="4808"/>
    <cellStyle name="20% - akcent 2 4 2 3 7" xfId="4809"/>
    <cellStyle name="20% - akcent 2 4 2 4" xfId="4810"/>
    <cellStyle name="20% - akcent 2 4 2 4 2" xfId="4811"/>
    <cellStyle name="20% - akcent 2 4 2 4 2 2" xfId="4812"/>
    <cellStyle name="20% - akcent 2 4 2 4 2 2 2" xfId="4813"/>
    <cellStyle name="20% - akcent 2 4 2 4 2 3" xfId="4814"/>
    <cellStyle name="20% - akcent 2 4 2 4 3" xfId="4815"/>
    <cellStyle name="20% - akcent 2 4 2 4 3 2" xfId="4816"/>
    <cellStyle name="20% - akcent 2 4 2 4 3 2 2" xfId="4817"/>
    <cellStyle name="20% - akcent 2 4 2 4 3 3" xfId="4818"/>
    <cellStyle name="20% - akcent 2 4 2 4 4" xfId="4819"/>
    <cellStyle name="20% - akcent 2 4 2 4 4 2" xfId="4820"/>
    <cellStyle name="20% - akcent 2 4 2 4 4 2 2" xfId="4821"/>
    <cellStyle name="20% - akcent 2 4 2 4 4 3" xfId="4822"/>
    <cellStyle name="20% - akcent 2 4 2 4 5" xfId="4823"/>
    <cellStyle name="20% - akcent 2 4 2 4 5 2" xfId="4824"/>
    <cellStyle name="20% - akcent 2 4 2 4 6" xfId="4825"/>
    <cellStyle name="20% - akcent 2 4 2 5" xfId="4826"/>
    <cellStyle name="20% - akcent 2 4 2 5 2" xfId="4827"/>
    <cellStyle name="20% - akcent 2 4 2 5 2 2" xfId="4828"/>
    <cellStyle name="20% - akcent 2 4 2 5 2 2 2" xfId="4829"/>
    <cellStyle name="20% - akcent 2 4 2 5 2 3" xfId="4830"/>
    <cellStyle name="20% - akcent 2 4 2 5 3" xfId="4831"/>
    <cellStyle name="20% - akcent 2 4 2 5 3 2" xfId="4832"/>
    <cellStyle name="20% - akcent 2 4 2 5 3 2 2" xfId="4833"/>
    <cellStyle name="20% - akcent 2 4 2 5 3 3" xfId="4834"/>
    <cellStyle name="20% - akcent 2 4 2 5 4" xfId="4835"/>
    <cellStyle name="20% - akcent 2 4 2 5 4 2" xfId="4836"/>
    <cellStyle name="20% - akcent 2 4 2 5 4 2 2" xfId="4837"/>
    <cellStyle name="20% - akcent 2 4 2 5 4 3" xfId="4838"/>
    <cellStyle name="20% - akcent 2 4 2 5 5" xfId="4839"/>
    <cellStyle name="20% - akcent 2 4 2 5 5 2" xfId="4840"/>
    <cellStyle name="20% - akcent 2 4 2 5 6" xfId="4841"/>
    <cellStyle name="20% - akcent 2 4 2 6" xfId="4842"/>
    <cellStyle name="20% - akcent 2 4 2 7" xfId="4843"/>
    <cellStyle name="20% - akcent 2 4 2 7 2" xfId="4844"/>
    <cellStyle name="20% - akcent 2 4 2 7 2 2" xfId="4845"/>
    <cellStyle name="20% - akcent 2 4 2 7 2 2 2" xfId="4846"/>
    <cellStyle name="20% - akcent 2 4 2 7 2 3" xfId="4847"/>
    <cellStyle name="20% - akcent 2 4 2 7 3" xfId="4848"/>
    <cellStyle name="20% - akcent 2 4 2 7 3 2" xfId="4849"/>
    <cellStyle name="20% - akcent 2 4 2 7 3 2 2" xfId="4850"/>
    <cellStyle name="20% - akcent 2 4 2 7 3 3" xfId="4851"/>
    <cellStyle name="20% - akcent 2 4 2 7 4" xfId="4852"/>
    <cellStyle name="20% - akcent 2 4 2 7 4 2" xfId="4853"/>
    <cellStyle name="20% - akcent 2 4 2 7 4 2 2" xfId="4854"/>
    <cellStyle name="20% - akcent 2 4 2 7 4 3" xfId="4855"/>
    <cellStyle name="20% - akcent 2 4 2 7 5" xfId="4856"/>
    <cellStyle name="20% - akcent 2 4 2 7 5 2" xfId="4857"/>
    <cellStyle name="20% - akcent 2 4 2 7 6" xfId="4858"/>
    <cellStyle name="20% - akcent 2 4 3" xfId="4859"/>
    <cellStyle name="20% - akcent 2 4 3 2" xfId="4860"/>
    <cellStyle name="20% - akcent 2 4 3 2 2" xfId="4861"/>
    <cellStyle name="20% - akcent 2 4 3 2 2 2" xfId="4862"/>
    <cellStyle name="20% - akcent 2 4 3 2 2 2 2" xfId="4863"/>
    <cellStyle name="20% - akcent 2 4 3 2 2 2 2 2" xfId="4864"/>
    <cellStyle name="20% - akcent 2 4 3 2 2 2 3" xfId="4865"/>
    <cellStyle name="20% - akcent 2 4 3 2 2 3" xfId="4866"/>
    <cellStyle name="20% - akcent 2 4 3 2 2 3 2" xfId="4867"/>
    <cellStyle name="20% - akcent 2 4 3 2 2 3 2 2" xfId="4868"/>
    <cellStyle name="20% - akcent 2 4 3 2 2 3 3" xfId="4869"/>
    <cellStyle name="20% - akcent 2 4 3 2 2 4" xfId="4870"/>
    <cellStyle name="20% - akcent 2 4 3 2 2 4 2" xfId="4871"/>
    <cellStyle name="20% - akcent 2 4 3 2 2 4 2 2" xfId="4872"/>
    <cellStyle name="20% - akcent 2 4 3 2 2 4 3" xfId="4873"/>
    <cellStyle name="20% - akcent 2 4 3 2 2 5" xfId="4874"/>
    <cellStyle name="20% - akcent 2 4 3 2 2 5 2" xfId="4875"/>
    <cellStyle name="20% - akcent 2 4 3 2 2 6" xfId="4876"/>
    <cellStyle name="20% - akcent 2 4 3 2 3" xfId="4877"/>
    <cellStyle name="20% - akcent 2 4 3 2 3 2" xfId="4878"/>
    <cellStyle name="20% - akcent 2 4 3 2 3 2 2" xfId="4879"/>
    <cellStyle name="20% - akcent 2 4 3 2 3 3" xfId="4880"/>
    <cellStyle name="20% - akcent 2 4 3 2 4" xfId="4881"/>
    <cellStyle name="20% - akcent 2 4 3 2 4 2" xfId="4882"/>
    <cellStyle name="20% - akcent 2 4 3 2 4 2 2" xfId="4883"/>
    <cellStyle name="20% - akcent 2 4 3 2 4 3" xfId="4884"/>
    <cellStyle name="20% - akcent 2 4 3 2 5" xfId="4885"/>
    <cellStyle name="20% - akcent 2 4 3 2 5 2" xfId="4886"/>
    <cellStyle name="20% - akcent 2 4 3 2 5 2 2" xfId="4887"/>
    <cellStyle name="20% - akcent 2 4 3 2 5 3" xfId="4888"/>
    <cellStyle name="20% - akcent 2 4 3 2 6" xfId="4889"/>
    <cellStyle name="20% - akcent 2 4 3 2 6 2" xfId="4890"/>
    <cellStyle name="20% - akcent 2 4 3 2 7" xfId="4891"/>
    <cellStyle name="20% - akcent 2 4 3 3" xfId="4892"/>
    <cellStyle name="20% - akcent 2 4 3 3 2" xfId="4893"/>
    <cellStyle name="20% - akcent 2 4 3 3 2 2" xfId="4894"/>
    <cellStyle name="20% - akcent 2 4 3 3 2 2 2" xfId="4895"/>
    <cellStyle name="20% - akcent 2 4 3 3 2 3" xfId="4896"/>
    <cellStyle name="20% - akcent 2 4 3 3 3" xfId="4897"/>
    <cellStyle name="20% - akcent 2 4 3 3 3 2" xfId="4898"/>
    <cellStyle name="20% - akcent 2 4 3 3 3 2 2" xfId="4899"/>
    <cellStyle name="20% - akcent 2 4 3 3 3 3" xfId="4900"/>
    <cellStyle name="20% - akcent 2 4 3 3 4" xfId="4901"/>
    <cellStyle name="20% - akcent 2 4 3 3 4 2" xfId="4902"/>
    <cellStyle name="20% - akcent 2 4 3 3 4 2 2" xfId="4903"/>
    <cellStyle name="20% - akcent 2 4 3 3 4 3" xfId="4904"/>
    <cellStyle name="20% - akcent 2 4 3 3 5" xfId="4905"/>
    <cellStyle name="20% - akcent 2 4 3 3 5 2" xfId="4906"/>
    <cellStyle name="20% - akcent 2 4 3 3 6" xfId="4907"/>
    <cellStyle name="20% - akcent 2 4 3 4" xfId="4908"/>
    <cellStyle name="20% - akcent 2 4 3 4 2" xfId="4909"/>
    <cellStyle name="20% - akcent 2 4 3 4 2 2" xfId="4910"/>
    <cellStyle name="20% - akcent 2 4 3 4 2 2 2" xfId="4911"/>
    <cellStyle name="20% - akcent 2 4 3 4 2 3" xfId="4912"/>
    <cellStyle name="20% - akcent 2 4 3 4 3" xfId="4913"/>
    <cellStyle name="20% - akcent 2 4 3 4 3 2" xfId="4914"/>
    <cellStyle name="20% - akcent 2 4 3 4 3 2 2" xfId="4915"/>
    <cellStyle name="20% - akcent 2 4 3 4 3 3" xfId="4916"/>
    <cellStyle name="20% - akcent 2 4 3 4 4" xfId="4917"/>
    <cellStyle name="20% - akcent 2 4 3 4 4 2" xfId="4918"/>
    <cellStyle name="20% - akcent 2 4 3 4 4 2 2" xfId="4919"/>
    <cellStyle name="20% - akcent 2 4 3 4 4 3" xfId="4920"/>
    <cellStyle name="20% - akcent 2 4 3 4 5" xfId="4921"/>
    <cellStyle name="20% - akcent 2 4 3 4 5 2" xfId="4922"/>
    <cellStyle name="20% - akcent 2 4 3 4 6" xfId="4923"/>
    <cellStyle name="20% - akcent 2 4 3 5" xfId="4924"/>
    <cellStyle name="20% - akcent 2 4 3 5 2" xfId="4925"/>
    <cellStyle name="20% - akcent 2 4 3 5 2 2" xfId="4926"/>
    <cellStyle name="20% - akcent 2 4 3 5 2 2 2" xfId="4927"/>
    <cellStyle name="20% - akcent 2 4 3 5 2 3" xfId="4928"/>
    <cellStyle name="20% - akcent 2 4 3 5 3" xfId="4929"/>
    <cellStyle name="20% - akcent 2 4 3 5 3 2" xfId="4930"/>
    <cellStyle name="20% - akcent 2 4 3 5 3 2 2" xfId="4931"/>
    <cellStyle name="20% - akcent 2 4 3 5 3 3" xfId="4932"/>
    <cellStyle name="20% - akcent 2 4 3 5 4" xfId="4933"/>
    <cellStyle name="20% - akcent 2 4 3 5 4 2" xfId="4934"/>
    <cellStyle name="20% - akcent 2 4 3 5 4 2 2" xfId="4935"/>
    <cellStyle name="20% - akcent 2 4 3 5 4 3" xfId="4936"/>
    <cellStyle name="20% - akcent 2 4 3 5 5" xfId="4937"/>
    <cellStyle name="20% - akcent 2 4 3 5 5 2" xfId="4938"/>
    <cellStyle name="20% - akcent 2 4 3 5 6" xfId="4939"/>
    <cellStyle name="20% - akcent 2 4 4" xfId="4940"/>
    <cellStyle name="20% - akcent 2 4 4 2" xfId="4941"/>
    <cellStyle name="20% - akcent 2 4 4 2 2" xfId="4942"/>
    <cellStyle name="20% - akcent 2 4 4 2 2 2" xfId="4943"/>
    <cellStyle name="20% - akcent 2 4 4 2 2 2 2" xfId="4944"/>
    <cellStyle name="20% - akcent 2 4 4 2 2 3" xfId="4945"/>
    <cellStyle name="20% - akcent 2 4 4 2 3" xfId="4946"/>
    <cellStyle name="20% - akcent 2 4 4 2 3 2" xfId="4947"/>
    <cellStyle name="20% - akcent 2 4 4 2 3 2 2" xfId="4948"/>
    <cellStyle name="20% - akcent 2 4 4 2 3 3" xfId="4949"/>
    <cellStyle name="20% - akcent 2 4 4 2 4" xfId="4950"/>
    <cellStyle name="20% - akcent 2 4 4 2 4 2" xfId="4951"/>
    <cellStyle name="20% - akcent 2 4 4 2 4 2 2" xfId="4952"/>
    <cellStyle name="20% - akcent 2 4 4 2 4 3" xfId="4953"/>
    <cellStyle name="20% - akcent 2 4 4 2 5" xfId="4954"/>
    <cellStyle name="20% - akcent 2 4 4 2 5 2" xfId="4955"/>
    <cellStyle name="20% - akcent 2 4 4 2 6" xfId="4956"/>
    <cellStyle name="20% - akcent 2 4 4 3" xfId="4957"/>
    <cellStyle name="20% - akcent 2 4 4 3 2" xfId="4958"/>
    <cellStyle name="20% - akcent 2 4 4 3 2 2" xfId="4959"/>
    <cellStyle name="20% - akcent 2 4 4 3 2 2 2" xfId="4960"/>
    <cellStyle name="20% - akcent 2 4 4 3 2 3" xfId="4961"/>
    <cellStyle name="20% - akcent 2 4 4 3 3" xfId="4962"/>
    <cellStyle name="20% - akcent 2 4 4 3 3 2" xfId="4963"/>
    <cellStyle name="20% - akcent 2 4 4 3 3 2 2" xfId="4964"/>
    <cellStyle name="20% - akcent 2 4 4 3 3 3" xfId="4965"/>
    <cellStyle name="20% - akcent 2 4 4 3 4" xfId="4966"/>
    <cellStyle name="20% - akcent 2 4 4 3 4 2" xfId="4967"/>
    <cellStyle name="20% - akcent 2 4 4 3 4 2 2" xfId="4968"/>
    <cellStyle name="20% - akcent 2 4 4 3 4 3" xfId="4969"/>
    <cellStyle name="20% - akcent 2 4 4 3 5" xfId="4970"/>
    <cellStyle name="20% - akcent 2 4 4 3 5 2" xfId="4971"/>
    <cellStyle name="20% - akcent 2 4 4 3 6" xfId="4972"/>
    <cellStyle name="20% - akcent 2 4 5" xfId="4973"/>
    <cellStyle name="20% - akcent 2 4 5 2" xfId="4974"/>
    <cellStyle name="20% - akcent 2 4 5 2 2" xfId="4975"/>
    <cellStyle name="20% - akcent 2 4 5 2 2 2" xfId="4976"/>
    <cellStyle name="20% - akcent 2 4 5 2 3" xfId="4977"/>
    <cellStyle name="20% - akcent 2 4 5 3" xfId="4978"/>
    <cellStyle name="20% - akcent 2 4 5 3 2" xfId="4979"/>
    <cellStyle name="20% - akcent 2 4 5 3 2 2" xfId="4980"/>
    <cellStyle name="20% - akcent 2 4 5 3 3" xfId="4981"/>
    <cellStyle name="20% - akcent 2 4 5 4" xfId="4982"/>
    <cellStyle name="20% - akcent 2 4 5 4 2" xfId="4983"/>
    <cellStyle name="20% - akcent 2 4 5 4 2 2" xfId="4984"/>
    <cellStyle name="20% - akcent 2 4 5 4 3" xfId="4985"/>
    <cellStyle name="20% - akcent 2 4 5 5" xfId="4986"/>
    <cellStyle name="20% - akcent 2 4 5 5 2" xfId="4987"/>
    <cellStyle name="20% - akcent 2 4 5 6" xfId="4988"/>
    <cellStyle name="20% - akcent 2 4 6" xfId="4989"/>
    <cellStyle name="20% - akcent 2 4 6 2" xfId="4990"/>
    <cellStyle name="20% - akcent 2 4 6 2 2" xfId="4991"/>
    <cellStyle name="20% - akcent 2 4 6 2 2 2" xfId="4992"/>
    <cellStyle name="20% - akcent 2 4 6 2 3" xfId="4993"/>
    <cellStyle name="20% - akcent 2 4 6 3" xfId="4994"/>
    <cellStyle name="20% - akcent 2 4 6 3 2" xfId="4995"/>
    <cellStyle name="20% - akcent 2 4 6 3 2 2" xfId="4996"/>
    <cellStyle name="20% - akcent 2 4 6 3 3" xfId="4997"/>
    <cellStyle name="20% - akcent 2 4 6 4" xfId="4998"/>
    <cellStyle name="20% - akcent 2 4 6 4 2" xfId="4999"/>
    <cellStyle name="20% - akcent 2 4 6 4 2 2" xfId="5000"/>
    <cellStyle name="20% - akcent 2 4 6 4 3" xfId="5001"/>
    <cellStyle name="20% - akcent 2 4 6 5" xfId="5002"/>
    <cellStyle name="20% - akcent 2 4 6 5 2" xfId="5003"/>
    <cellStyle name="20% - akcent 2 4 6 6" xfId="5004"/>
    <cellStyle name="20% - akcent 2 4 7" xfId="5005"/>
    <cellStyle name="20% - akcent 2 4 7 2" xfId="5006"/>
    <cellStyle name="20% - akcent 2 4 7 2 2" xfId="5007"/>
    <cellStyle name="20% - akcent 2 4 7 2 2 2" xfId="5008"/>
    <cellStyle name="20% - akcent 2 4 7 2 3" xfId="5009"/>
    <cellStyle name="20% - akcent 2 4 7 3" xfId="5010"/>
    <cellStyle name="20% - akcent 2 4 7 3 2" xfId="5011"/>
    <cellStyle name="20% - akcent 2 4 7 3 2 2" xfId="5012"/>
    <cellStyle name="20% - akcent 2 4 7 3 3" xfId="5013"/>
    <cellStyle name="20% - akcent 2 4 7 4" xfId="5014"/>
    <cellStyle name="20% - akcent 2 4 7 4 2" xfId="5015"/>
    <cellStyle name="20% - akcent 2 4 7 4 2 2" xfId="5016"/>
    <cellStyle name="20% - akcent 2 4 7 4 3" xfId="5017"/>
    <cellStyle name="20% - akcent 2 4 7 5" xfId="5018"/>
    <cellStyle name="20% - akcent 2 4 7 5 2" xfId="5019"/>
    <cellStyle name="20% - akcent 2 4 7 6" xfId="5020"/>
    <cellStyle name="20% - akcent 2 4_2011'05 Raport PGE_DO-CO2" xfId="5021"/>
    <cellStyle name="20% - akcent 2 5" xfId="5022"/>
    <cellStyle name="20% - akcent 2 5 2" xfId="5023"/>
    <cellStyle name="20% - akcent 2 5 2 2" xfId="5024"/>
    <cellStyle name="20% - akcent 2 5 2 2 2" xfId="5025"/>
    <cellStyle name="20% - akcent 2 5 2 2 2 2" xfId="5026"/>
    <cellStyle name="20% - akcent 2 5 2 2 2 2 2" xfId="5027"/>
    <cellStyle name="20% - akcent 2 5 2 2 2 2 2 2" xfId="5028"/>
    <cellStyle name="20% - akcent 2 5 2 2 2 2 3" xfId="5029"/>
    <cellStyle name="20% - akcent 2 5 2 2 2 3" xfId="5030"/>
    <cellStyle name="20% - akcent 2 5 2 2 2 3 2" xfId="5031"/>
    <cellStyle name="20% - akcent 2 5 2 2 2 3 2 2" xfId="5032"/>
    <cellStyle name="20% - akcent 2 5 2 2 2 3 3" xfId="5033"/>
    <cellStyle name="20% - akcent 2 5 2 2 2 4" xfId="5034"/>
    <cellStyle name="20% - akcent 2 5 2 2 2 4 2" xfId="5035"/>
    <cellStyle name="20% - akcent 2 5 2 2 2 4 2 2" xfId="5036"/>
    <cellStyle name="20% - akcent 2 5 2 2 2 4 3" xfId="5037"/>
    <cellStyle name="20% - akcent 2 5 2 2 2 5" xfId="5038"/>
    <cellStyle name="20% - akcent 2 5 2 2 2 5 2" xfId="5039"/>
    <cellStyle name="20% - akcent 2 5 2 2 2 6" xfId="5040"/>
    <cellStyle name="20% - akcent 2 5 2 2 3" xfId="5041"/>
    <cellStyle name="20% - akcent 2 5 2 2 3 2" xfId="5042"/>
    <cellStyle name="20% - akcent 2 5 2 2 3 2 2" xfId="5043"/>
    <cellStyle name="20% - akcent 2 5 2 2 3 3" xfId="5044"/>
    <cellStyle name="20% - akcent 2 5 2 2 4" xfId="5045"/>
    <cellStyle name="20% - akcent 2 5 2 2 4 2" xfId="5046"/>
    <cellStyle name="20% - akcent 2 5 2 2 4 2 2" xfId="5047"/>
    <cellStyle name="20% - akcent 2 5 2 2 4 3" xfId="5048"/>
    <cellStyle name="20% - akcent 2 5 2 2 5" xfId="5049"/>
    <cellStyle name="20% - akcent 2 5 2 2 5 2" xfId="5050"/>
    <cellStyle name="20% - akcent 2 5 2 2 5 2 2" xfId="5051"/>
    <cellStyle name="20% - akcent 2 5 2 2 5 3" xfId="5052"/>
    <cellStyle name="20% - akcent 2 5 2 2 6" xfId="5053"/>
    <cellStyle name="20% - akcent 2 5 2 2 6 2" xfId="5054"/>
    <cellStyle name="20% - akcent 2 5 2 2 7" xfId="5055"/>
    <cellStyle name="20% - akcent 2 5 2 3" xfId="5056"/>
    <cellStyle name="20% - akcent 2 5 2 3 2" xfId="5057"/>
    <cellStyle name="20% - akcent 2 5 2 3 2 2" xfId="5058"/>
    <cellStyle name="20% - akcent 2 5 2 3 2 2 2" xfId="5059"/>
    <cellStyle name="20% - akcent 2 5 2 3 2 3" xfId="5060"/>
    <cellStyle name="20% - akcent 2 5 2 3 3" xfId="5061"/>
    <cellStyle name="20% - akcent 2 5 2 3 3 2" xfId="5062"/>
    <cellStyle name="20% - akcent 2 5 2 3 3 2 2" xfId="5063"/>
    <cellStyle name="20% - akcent 2 5 2 3 3 3" xfId="5064"/>
    <cellStyle name="20% - akcent 2 5 2 3 4" xfId="5065"/>
    <cellStyle name="20% - akcent 2 5 2 3 4 2" xfId="5066"/>
    <cellStyle name="20% - akcent 2 5 2 3 4 2 2" xfId="5067"/>
    <cellStyle name="20% - akcent 2 5 2 3 4 3" xfId="5068"/>
    <cellStyle name="20% - akcent 2 5 2 3 5" xfId="5069"/>
    <cellStyle name="20% - akcent 2 5 2 3 5 2" xfId="5070"/>
    <cellStyle name="20% - akcent 2 5 2 3 6" xfId="5071"/>
    <cellStyle name="20% - akcent 2 5 2 4" xfId="5072"/>
    <cellStyle name="20% - akcent 2 5 2 4 2" xfId="5073"/>
    <cellStyle name="20% - akcent 2 5 2 4 2 2" xfId="5074"/>
    <cellStyle name="20% - akcent 2 5 2 4 2 2 2" xfId="5075"/>
    <cellStyle name="20% - akcent 2 5 2 4 2 3" xfId="5076"/>
    <cellStyle name="20% - akcent 2 5 2 4 3" xfId="5077"/>
    <cellStyle name="20% - akcent 2 5 2 4 3 2" xfId="5078"/>
    <cellStyle name="20% - akcent 2 5 2 4 3 2 2" xfId="5079"/>
    <cellStyle name="20% - akcent 2 5 2 4 3 3" xfId="5080"/>
    <cellStyle name="20% - akcent 2 5 2 4 4" xfId="5081"/>
    <cellStyle name="20% - akcent 2 5 2 4 4 2" xfId="5082"/>
    <cellStyle name="20% - akcent 2 5 2 4 4 2 2" xfId="5083"/>
    <cellStyle name="20% - akcent 2 5 2 4 4 3" xfId="5084"/>
    <cellStyle name="20% - akcent 2 5 2 4 5" xfId="5085"/>
    <cellStyle name="20% - akcent 2 5 2 4 5 2" xfId="5086"/>
    <cellStyle name="20% - akcent 2 5 2 4 6" xfId="5087"/>
    <cellStyle name="20% - akcent 2 5 2 5" xfId="5088"/>
    <cellStyle name="20% - akcent 2 5 2 6" xfId="5089"/>
    <cellStyle name="20% - akcent 2 5 2 6 2" xfId="5090"/>
    <cellStyle name="20% - akcent 2 5 2 6 2 2" xfId="5091"/>
    <cellStyle name="20% - akcent 2 5 2 6 2 2 2" xfId="5092"/>
    <cellStyle name="20% - akcent 2 5 2 6 2 3" xfId="5093"/>
    <cellStyle name="20% - akcent 2 5 2 6 3" xfId="5094"/>
    <cellStyle name="20% - akcent 2 5 2 6 3 2" xfId="5095"/>
    <cellStyle name="20% - akcent 2 5 2 6 3 2 2" xfId="5096"/>
    <cellStyle name="20% - akcent 2 5 2 6 3 3" xfId="5097"/>
    <cellStyle name="20% - akcent 2 5 2 6 4" xfId="5098"/>
    <cellStyle name="20% - akcent 2 5 2 6 4 2" xfId="5099"/>
    <cellStyle name="20% - akcent 2 5 2 6 4 2 2" xfId="5100"/>
    <cellStyle name="20% - akcent 2 5 2 6 4 3" xfId="5101"/>
    <cellStyle name="20% - akcent 2 5 2 6 5" xfId="5102"/>
    <cellStyle name="20% - akcent 2 5 2 6 5 2" xfId="5103"/>
    <cellStyle name="20% - akcent 2 5 2 6 6" xfId="5104"/>
    <cellStyle name="20% - akcent 2 5 3" xfId="5105"/>
    <cellStyle name="20% - akcent 2 5 3 2" xfId="5106"/>
    <cellStyle name="20% - akcent 2 5 3 2 2" xfId="5107"/>
    <cellStyle name="20% - akcent 2 5 3 2 2 2" xfId="5108"/>
    <cellStyle name="20% - akcent 2 5 3 2 2 2 2" xfId="5109"/>
    <cellStyle name="20% - akcent 2 5 3 2 2 3" xfId="5110"/>
    <cellStyle name="20% - akcent 2 5 3 2 3" xfId="5111"/>
    <cellStyle name="20% - akcent 2 5 3 2 3 2" xfId="5112"/>
    <cellStyle name="20% - akcent 2 5 3 2 3 2 2" xfId="5113"/>
    <cellStyle name="20% - akcent 2 5 3 2 3 3" xfId="5114"/>
    <cellStyle name="20% - akcent 2 5 3 2 4" xfId="5115"/>
    <cellStyle name="20% - akcent 2 5 3 2 4 2" xfId="5116"/>
    <cellStyle name="20% - akcent 2 5 3 2 4 2 2" xfId="5117"/>
    <cellStyle name="20% - akcent 2 5 3 2 4 3" xfId="5118"/>
    <cellStyle name="20% - akcent 2 5 3 2 5" xfId="5119"/>
    <cellStyle name="20% - akcent 2 5 3 2 5 2" xfId="5120"/>
    <cellStyle name="20% - akcent 2 5 3 2 6" xfId="5121"/>
    <cellStyle name="20% - akcent 2 5 3 3" xfId="5122"/>
    <cellStyle name="20% - akcent 2 5 3 3 2" xfId="5123"/>
    <cellStyle name="20% - akcent 2 5 3 3 2 2" xfId="5124"/>
    <cellStyle name="20% - akcent 2 5 3 3 3" xfId="5125"/>
    <cellStyle name="20% - akcent 2 5 3 4" xfId="5126"/>
    <cellStyle name="20% - akcent 2 5 3 4 2" xfId="5127"/>
    <cellStyle name="20% - akcent 2 5 3 4 2 2" xfId="5128"/>
    <cellStyle name="20% - akcent 2 5 3 4 3" xfId="5129"/>
    <cellStyle name="20% - akcent 2 5 3 5" xfId="5130"/>
    <cellStyle name="20% - akcent 2 5 3 5 2" xfId="5131"/>
    <cellStyle name="20% - akcent 2 5 3 5 2 2" xfId="5132"/>
    <cellStyle name="20% - akcent 2 5 3 5 3" xfId="5133"/>
    <cellStyle name="20% - akcent 2 5 3 6" xfId="5134"/>
    <cellStyle name="20% - akcent 2 5 3 6 2" xfId="5135"/>
    <cellStyle name="20% - akcent 2 5 3 7" xfId="5136"/>
    <cellStyle name="20% - akcent 2 5 4" xfId="5137"/>
    <cellStyle name="20% - akcent 2 5 4 2" xfId="5138"/>
    <cellStyle name="20% - akcent 2 5 4 2 2" xfId="5139"/>
    <cellStyle name="20% - akcent 2 5 4 2 2 2" xfId="5140"/>
    <cellStyle name="20% - akcent 2 5 4 2 3" xfId="5141"/>
    <cellStyle name="20% - akcent 2 5 4 3" xfId="5142"/>
    <cellStyle name="20% - akcent 2 5 4 3 2" xfId="5143"/>
    <cellStyle name="20% - akcent 2 5 4 3 2 2" xfId="5144"/>
    <cellStyle name="20% - akcent 2 5 4 3 3" xfId="5145"/>
    <cellStyle name="20% - akcent 2 5 4 4" xfId="5146"/>
    <cellStyle name="20% - akcent 2 5 4 4 2" xfId="5147"/>
    <cellStyle name="20% - akcent 2 5 4 4 2 2" xfId="5148"/>
    <cellStyle name="20% - akcent 2 5 4 4 3" xfId="5149"/>
    <cellStyle name="20% - akcent 2 5 4 5" xfId="5150"/>
    <cellStyle name="20% - akcent 2 5 4 5 2" xfId="5151"/>
    <cellStyle name="20% - akcent 2 5 4 6" xfId="5152"/>
    <cellStyle name="20% - akcent 2 5 5" xfId="5153"/>
    <cellStyle name="20% - akcent 2 5 5 2" xfId="5154"/>
    <cellStyle name="20% - akcent 2 5 5 2 2" xfId="5155"/>
    <cellStyle name="20% - akcent 2 5 5 2 2 2" xfId="5156"/>
    <cellStyle name="20% - akcent 2 5 5 2 3" xfId="5157"/>
    <cellStyle name="20% - akcent 2 5 5 3" xfId="5158"/>
    <cellStyle name="20% - akcent 2 5 5 3 2" xfId="5159"/>
    <cellStyle name="20% - akcent 2 5 5 3 2 2" xfId="5160"/>
    <cellStyle name="20% - akcent 2 5 5 3 3" xfId="5161"/>
    <cellStyle name="20% - akcent 2 5 5 4" xfId="5162"/>
    <cellStyle name="20% - akcent 2 5 5 4 2" xfId="5163"/>
    <cellStyle name="20% - akcent 2 5 5 4 2 2" xfId="5164"/>
    <cellStyle name="20% - akcent 2 5 5 4 3" xfId="5165"/>
    <cellStyle name="20% - akcent 2 5 5 5" xfId="5166"/>
    <cellStyle name="20% - akcent 2 5 5 5 2" xfId="5167"/>
    <cellStyle name="20% - akcent 2 5 5 6" xfId="5168"/>
    <cellStyle name="20% - akcent 2 5 6" xfId="5169"/>
    <cellStyle name="20% - akcent 2 5 6 2" xfId="5170"/>
    <cellStyle name="20% - akcent 2 5 6 2 2" xfId="5171"/>
    <cellStyle name="20% - akcent 2 5 6 2 2 2" xfId="5172"/>
    <cellStyle name="20% - akcent 2 5 6 2 3" xfId="5173"/>
    <cellStyle name="20% - akcent 2 5 6 3" xfId="5174"/>
    <cellStyle name="20% - akcent 2 5 6 3 2" xfId="5175"/>
    <cellStyle name="20% - akcent 2 5 6 3 2 2" xfId="5176"/>
    <cellStyle name="20% - akcent 2 5 6 3 3" xfId="5177"/>
    <cellStyle name="20% - akcent 2 5 6 4" xfId="5178"/>
    <cellStyle name="20% - akcent 2 5 6 4 2" xfId="5179"/>
    <cellStyle name="20% - akcent 2 5 6 4 2 2" xfId="5180"/>
    <cellStyle name="20% - akcent 2 5 6 4 3" xfId="5181"/>
    <cellStyle name="20% - akcent 2 5 6 5" xfId="5182"/>
    <cellStyle name="20% - akcent 2 5 6 5 2" xfId="5183"/>
    <cellStyle name="20% - akcent 2 5 6 6" xfId="5184"/>
    <cellStyle name="20% - akcent 2 5 7" xfId="5185"/>
    <cellStyle name="20% - akcent 2 5 8" xfId="5186"/>
    <cellStyle name="20% - akcent 2 5_2011'05 Raport PGE_DO-CO2" xfId="5187"/>
    <cellStyle name="20% - akcent 2 6" xfId="5188"/>
    <cellStyle name="20% - akcent 2 6 2" xfId="5189"/>
    <cellStyle name="20% - akcent 2 6 2 10" xfId="5190"/>
    <cellStyle name="20% - akcent 2 6 2 2" xfId="5191"/>
    <cellStyle name="20% - akcent 2 6 2 2 2" xfId="5192"/>
    <cellStyle name="20% - akcent 2 6 2 2 2 2" xfId="5193"/>
    <cellStyle name="20% - akcent 2 6 2 2 2 2 2" xfId="5194"/>
    <cellStyle name="20% - akcent 2 6 2 2 2 2 2 2" xfId="5195"/>
    <cellStyle name="20% - akcent 2 6 2 2 2 2 3" xfId="5196"/>
    <cellStyle name="20% - akcent 2 6 2 2 2 3" xfId="5197"/>
    <cellStyle name="20% - akcent 2 6 2 2 2 3 2" xfId="5198"/>
    <cellStyle name="20% - akcent 2 6 2 2 2 3 2 2" xfId="5199"/>
    <cellStyle name="20% - akcent 2 6 2 2 2 3 3" xfId="5200"/>
    <cellStyle name="20% - akcent 2 6 2 2 2 4" xfId="5201"/>
    <cellStyle name="20% - akcent 2 6 2 2 2 4 2" xfId="5202"/>
    <cellStyle name="20% - akcent 2 6 2 2 2 4 2 2" xfId="5203"/>
    <cellStyle name="20% - akcent 2 6 2 2 2 4 3" xfId="5204"/>
    <cellStyle name="20% - akcent 2 6 2 2 2 5" xfId="5205"/>
    <cellStyle name="20% - akcent 2 6 2 2 2 5 2" xfId="5206"/>
    <cellStyle name="20% - akcent 2 6 2 2 2 6" xfId="5207"/>
    <cellStyle name="20% - akcent 2 6 2 2 3" xfId="5208"/>
    <cellStyle name="20% - akcent 2 6 2 2 3 2" xfId="5209"/>
    <cellStyle name="20% - akcent 2 6 2 2 3 2 2" xfId="5210"/>
    <cellStyle name="20% - akcent 2 6 2 2 3 3" xfId="5211"/>
    <cellStyle name="20% - akcent 2 6 2 2 4" xfId="5212"/>
    <cellStyle name="20% - akcent 2 6 2 2 4 2" xfId="5213"/>
    <cellStyle name="20% - akcent 2 6 2 2 4 2 2" xfId="5214"/>
    <cellStyle name="20% - akcent 2 6 2 2 4 3" xfId="5215"/>
    <cellStyle name="20% - akcent 2 6 2 2 5" xfId="5216"/>
    <cellStyle name="20% - akcent 2 6 2 2 5 2" xfId="5217"/>
    <cellStyle name="20% - akcent 2 6 2 2 5 2 2" xfId="5218"/>
    <cellStyle name="20% - akcent 2 6 2 2 5 3" xfId="5219"/>
    <cellStyle name="20% - akcent 2 6 2 2 6" xfId="5220"/>
    <cellStyle name="20% - akcent 2 6 2 2 6 2" xfId="5221"/>
    <cellStyle name="20% - akcent 2 6 2 2 7" xfId="5222"/>
    <cellStyle name="20% - akcent 2 6 2 3" xfId="5223"/>
    <cellStyle name="20% - akcent 2 6 2 3 2" xfId="5224"/>
    <cellStyle name="20% - akcent 2 6 2 3 2 2" xfId="5225"/>
    <cellStyle name="20% - akcent 2 6 2 3 2 2 2" xfId="5226"/>
    <cellStyle name="20% - akcent 2 6 2 3 2 3" xfId="5227"/>
    <cellStyle name="20% - akcent 2 6 2 3 3" xfId="5228"/>
    <cellStyle name="20% - akcent 2 6 2 3 3 2" xfId="5229"/>
    <cellStyle name="20% - akcent 2 6 2 3 3 2 2" xfId="5230"/>
    <cellStyle name="20% - akcent 2 6 2 3 3 3" xfId="5231"/>
    <cellStyle name="20% - akcent 2 6 2 3 4" xfId="5232"/>
    <cellStyle name="20% - akcent 2 6 2 3 4 2" xfId="5233"/>
    <cellStyle name="20% - akcent 2 6 2 3 4 2 2" xfId="5234"/>
    <cellStyle name="20% - akcent 2 6 2 3 4 3" xfId="5235"/>
    <cellStyle name="20% - akcent 2 6 2 3 5" xfId="5236"/>
    <cellStyle name="20% - akcent 2 6 2 3 5 2" xfId="5237"/>
    <cellStyle name="20% - akcent 2 6 2 3 6" xfId="5238"/>
    <cellStyle name="20% - akcent 2 6 2 4" xfId="5239"/>
    <cellStyle name="20% - akcent 2 6 2 4 2" xfId="5240"/>
    <cellStyle name="20% - akcent 2 6 2 4 2 2" xfId="5241"/>
    <cellStyle name="20% - akcent 2 6 2 4 2 2 2" xfId="5242"/>
    <cellStyle name="20% - akcent 2 6 2 4 2 3" xfId="5243"/>
    <cellStyle name="20% - akcent 2 6 2 4 3" xfId="5244"/>
    <cellStyle name="20% - akcent 2 6 2 4 3 2" xfId="5245"/>
    <cellStyle name="20% - akcent 2 6 2 4 3 2 2" xfId="5246"/>
    <cellStyle name="20% - akcent 2 6 2 4 3 3" xfId="5247"/>
    <cellStyle name="20% - akcent 2 6 2 4 4" xfId="5248"/>
    <cellStyle name="20% - akcent 2 6 2 4 4 2" xfId="5249"/>
    <cellStyle name="20% - akcent 2 6 2 4 4 2 2" xfId="5250"/>
    <cellStyle name="20% - akcent 2 6 2 4 4 3" xfId="5251"/>
    <cellStyle name="20% - akcent 2 6 2 4 5" xfId="5252"/>
    <cellStyle name="20% - akcent 2 6 2 4 5 2" xfId="5253"/>
    <cellStyle name="20% - akcent 2 6 2 4 6" xfId="5254"/>
    <cellStyle name="20% - akcent 2 6 2 5" xfId="5255"/>
    <cellStyle name="20% - akcent 2 6 2 6" xfId="5256"/>
    <cellStyle name="20% - akcent 2 6 2 6 2" xfId="5257"/>
    <cellStyle name="20% - akcent 2 6 2 6 2 2" xfId="5258"/>
    <cellStyle name="20% - akcent 2 6 2 6 3" xfId="5259"/>
    <cellStyle name="20% - akcent 2 6 2 7" xfId="5260"/>
    <cellStyle name="20% - akcent 2 6 2 7 2" xfId="5261"/>
    <cellStyle name="20% - akcent 2 6 2 7 2 2" xfId="5262"/>
    <cellStyle name="20% - akcent 2 6 2 7 3" xfId="5263"/>
    <cellStyle name="20% - akcent 2 6 2 8" xfId="5264"/>
    <cellStyle name="20% - akcent 2 6 2 8 2" xfId="5265"/>
    <cellStyle name="20% - akcent 2 6 2 8 2 2" xfId="5266"/>
    <cellStyle name="20% - akcent 2 6 2 8 3" xfId="5267"/>
    <cellStyle name="20% - akcent 2 6 2 9" xfId="5268"/>
    <cellStyle name="20% - akcent 2 6 2 9 2" xfId="5269"/>
    <cellStyle name="20% - akcent 2 6 3" xfId="5270"/>
    <cellStyle name="20% - akcent 2 6 3 2" xfId="5271"/>
    <cellStyle name="20% - akcent 2 6 3 2 2" xfId="5272"/>
    <cellStyle name="20% - akcent 2 6 3 2 2 2" xfId="5273"/>
    <cellStyle name="20% - akcent 2 6 3 2 2 2 2" xfId="5274"/>
    <cellStyle name="20% - akcent 2 6 3 2 2 3" xfId="5275"/>
    <cellStyle name="20% - akcent 2 6 3 2 3" xfId="5276"/>
    <cellStyle name="20% - akcent 2 6 3 2 3 2" xfId="5277"/>
    <cellStyle name="20% - akcent 2 6 3 2 3 2 2" xfId="5278"/>
    <cellStyle name="20% - akcent 2 6 3 2 3 3" xfId="5279"/>
    <cellStyle name="20% - akcent 2 6 3 2 4" xfId="5280"/>
    <cellStyle name="20% - akcent 2 6 3 2 4 2" xfId="5281"/>
    <cellStyle name="20% - akcent 2 6 3 2 4 2 2" xfId="5282"/>
    <cellStyle name="20% - akcent 2 6 3 2 4 3" xfId="5283"/>
    <cellStyle name="20% - akcent 2 6 3 2 5" xfId="5284"/>
    <cellStyle name="20% - akcent 2 6 3 2 5 2" xfId="5285"/>
    <cellStyle name="20% - akcent 2 6 3 2 6" xfId="5286"/>
    <cellStyle name="20% - akcent 2 6 3 3" xfId="5287"/>
    <cellStyle name="20% - akcent 2 6 3 3 2" xfId="5288"/>
    <cellStyle name="20% - akcent 2 6 3 3 2 2" xfId="5289"/>
    <cellStyle name="20% - akcent 2 6 3 3 3" xfId="5290"/>
    <cellStyle name="20% - akcent 2 6 3 4" xfId="5291"/>
    <cellStyle name="20% - akcent 2 6 3 4 2" xfId="5292"/>
    <cellStyle name="20% - akcent 2 6 3 4 2 2" xfId="5293"/>
    <cellStyle name="20% - akcent 2 6 3 4 3" xfId="5294"/>
    <cellStyle name="20% - akcent 2 6 3 5" xfId="5295"/>
    <cellStyle name="20% - akcent 2 6 3 5 2" xfId="5296"/>
    <cellStyle name="20% - akcent 2 6 3 5 2 2" xfId="5297"/>
    <cellStyle name="20% - akcent 2 6 3 5 3" xfId="5298"/>
    <cellStyle name="20% - akcent 2 6 3 6" xfId="5299"/>
    <cellStyle name="20% - akcent 2 6 3 6 2" xfId="5300"/>
    <cellStyle name="20% - akcent 2 6 3 7" xfId="5301"/>
    <cellStyle name="20% - akcent 2 6 4" xfId="5302"/>
    <cellStyle name="20% - akcent 2 6 4 2" xfId="5303"/>
    <cellStyle name="20% - akcent 2 6 4 2 2" xfId="5304"/>
    <cellStyle name="20% - akcent 2 6 4 2 2 2" xfId="5305"/>
    <cellStyle name="20% - akcent 2 6 4 2 3" xfId="5306"/>
    <cellStyle name="20% - akcent 2 6 4 3" xfId="5307"/>
    <cellStyle name="20% - akcent 2 6 4 3 2" xfId="5308"/>
    <cellStyle name="20% - akcent 2 6 4 3 2 2" xfId="5309"/>
    <cellStyle name="20% - akcent 2 6 4 3 3" xfId="5310"/>
    <cellStyle name="20% - akcent 2 6 4 4" xfId="5311"/>
    <cellStyle name="20% - akcent 2 6 4 4 2" xfId="5312"/>
    <cellStyle name="20% - akcent 2 6 4 4 2 2" xfId="5313"/>
    <cellStyle name="20% - akcent 2 6 4 4 3" xfId="5314"/>
    <cellStyle name="20% - akcent 2 6 4 5" xfId="5315"/>
    <cellStyle name="20% - akcent 2 6 4 5 2" xfId="5316"/>
    <cellStyle name="20% - akcent 2 6 4 6" xfId="5317"/>
    <cellStyle name="20% - akcent 2 6 5" xfId="5318"/>
    <cellStyle name="20% - akcent 2 6 5 2" xfId="5319"/>
    <cellStyle name="20% - akcent 2 6 5 2 2" xfId="5320"/>
    <cellStyle name="20% - akcent 2 6 5 2 2 2" xfId="5321"/>
    <cellStyle name="20% - akcent 2 6 5 2 3" xfId="5322"/>
    <cellStyle name="20% - akcent 2 6 5 3" xfId="5323"/>
    <cellStyle name="20% - akcent 2 6 5 3 2" xfId="5324"/>
    <cellStyle name="20% - akcent 2 6 5 3 2 2" xfId="5325"/>
    <cellStyle name="20% - akcent 2 6 5 3 3" xfId="5326"/>
    <cellStyle name="20% - akcent 2 6 5 4" xfId="5327"/>
    <cellStyle name="20% - akcent 2 6 5 4 2" xfId="5328"/>
    <cellStyle name="20% - akcent 2 6 5 4 2 2" xfId="5329"/>
    <cellStyle name="20% - akcent 2 6 5 4 3" xfId="5330"/>
    <cellStyle name="20% - akcent 2 6 5 5" xfId="5331"/>
    <cellStyle name="20% - akcent 2 6 5 5 2" xfId="5332"/>
    <cellStyle name="20% - akcent 2 6 5 6" xfId="5333"/>
    <cellStyle name="20% - akcent 2 6 6" xfId="5334"/>
    <cellStyle name="20% - akcent 2 6 7" xfId="5335"/>
    <cellStyle name="20% - akcent 2 6 7 2" xfId="5336"/>
    <cellStyle name="20% - akcent 2 6 7 2 2" xfId="5337"/>
    <cellStyle name="20% - akcent 2 6 7 2 2 2" xfId="5338"/>
    <cellStyle name="20% - akcent 2 6 7 2 3" xfId="5339"/>
    <cellStyle name="20% - akcent 2 6 7 3" xfId="5340"/>
    <cellStyle name="20% - akcent 2 6 7 3 2" xfId="5341"/>
    <cellStyle name="20% - akcent 2 6 7 3 2 2" xfId="5342"/>
    <cellStyle name="20% - akcent 2 6 7 3 3" xfId="5343"/>
    <cellStyle name="20% - akcent 2 6 7 4" xfId="5344"/>
    <cellStyle name="20% - akcent 2 6 7 4 2" xfId="5345"/>
    <cellStyle name="20% - akcent 2 6 7 4 2 2" xfId="5346"/>
    <cellStyle name="20% - akcent 2 6 7 4 3" xfId="5347"/>
    <cellStyle name="20% - akcent 2 6 7 5" xfId="5348"/>
    <cellStyle name="20% - akcent 2 6 7 5 2" xfId="5349"/>
    <cellStyle name="20% - akcent 2 6 7 6" xfId="5350"/>
    <cellStyle name="20% - akcent 2 6_Arkusz1" xfId="5351"/>
    <cellStyle name="20% - akcent 2 7" xfId="5352"/>
    <cellStyle name="20% - akcent 2 7 2" xfId="5353"/>
    <cellStyle name="20% - akcent 2 7 2 10" xfId="5354"/>
    <cellStyle name="20% - akcent 2 7 2 2" xfId="5355"/>
    <cellStyle name="20% - akcent 2 7 2 2 2" xfId="5356"/>
    <cellStyle name="20% - akcent 2 7 2 2 2 2" xfId="5357"/>
    <cellStyle name="20% - akcent 2 7 2 2 2 2 2" xfId="5358"/>
    <cellStyle name="20% - akcent 2 7 2 2 2 2 2 2" xfId="5359"/>
    <cellStyle name="20% - akcent 2 7 2 2 2 2 3" xfId="5360"/>
    <cellStyle name="20% - akcent 2 7 2 2 2 3" xfId="5361"/>
    <cellStyle name="20% - akcent 2 7 2 2 2 3 2" xfId="5362"/>
    <cellStyle name="20% - akcent 2 7 2 2 2 3 2 2" xfId="5363"/>
    <cellStyle name="20% - akcent 2 7 2 2 2 3 3" xfId="5364"/>
    <cellStyle name="20% - akcent 2 7 2 2 2 4" xfId="5365"/>
    <cellStyle name="20% - akcent 2 7 2 2 2 4 2" xfId="5366"/>
    <cellStyle name="20% - akcent 2 7 2 2 2 4 2 2" xfId="5367"/>
    <cellStyle name="20% - akcent 2 7 2 2 2 4 3" xfId="5368"/>
    <cellStyle name="20% - akcent 2 7 2 2 2 5" xfId="5369"/>
    <cellStyle name="20% - akcent 2 7 2 2 2 5 2" xfId="5370"/>
    <cellStyle name="20% - akcent 2 7 2 2 2 6" xfId="5371"/>
    <cellStyle name="20% - akcent 2 7 2 2 3" xfId="5372"/>
    <cellStyle name="20% - akcent 2 7 2 2 3 2" xfId="5373"/>
    <cellStyle name="20% - akcent 2 7 2 2 3 2 2" xfId="5374"/>
    <cellStyle name="20% - akcent 2 7 2 2 3 3" xfId="5375"/>
    <cellStyle name="20% - akcent 2 7 2 2 4" xfId="5376"/>
    <cellStyle name="20% - akcent 2 7 2 2 4 2" xfId="5377"/>
    <cellStyle name="20% - akcent 2 7 2 2 4 2 2" xfId="5378"/>
    <cellStyle name="20% - akcent 2 7 2 2 4 3" xfId="5379"/>
    <cellStyle name="20% - akcent 2 7 2 2 5" xfId="5380"/>
    <cellStyle name="20% - akcent 2 7 2 2 5 2" xfId="5381"/>
    <cellStyle name="20% - akcent 2 7 2 2 5 2 2" xfId="5382"/>
    <cellStyle name="20% - akcent 2 7 2 2 5 3" xfId="5383"/>
    <cellStyle name="20% - akcent 2 7 2 2 6" xfId="5384"/>
    <cellStyle name="20% - akcent 2 7 2 2 6 2" xfId="5385"/>
    <cellStyle name="20% - akcent 2 7 2 2 7" xfId="5386"/>
    <cellStyle name="20% - akcent 2 7 2 3" xfId="5387"/>
    <cellStyle name="20% - akcent 2 7 2 3 2" xfId="5388"/>
    <cellStyle name="20% - akcent 2 7 2 3 2 2" xfId="5389"/>
    <cellStyle name="20% - akcent 2 7 2 3 2 2 2" xfId="5390"/>
    <cellStyle name="20% - akcent 2 7 2 3 2 3" xfId="5391"/>
    <cellStyle name="20% - akcent 2 7 2 3 3" xfId="5392"/>
    <cellStyle name="20% - akcent 2 7 2 3 3 2" xfId="5393"/>
    <cellStyle name="20% - akcent 2 7 2 3 3 2 2" xfId="5394"/>
    <cellStyle name="20% - akcent 2 7 2 3 3 3" xfId="5395"/>
    <cellStyle name="20% - akcent 2 7 2 3 4" xfId="5396"/>
    <cellStyle name="20% - akcent 2 7 2 3 4 2" xfId="5397"/>
    <cellStyle name="20% - akcent 2 7 2 3 4 2 2" xfId="5398"/>
    <cellStyle name="20% - akcent 2 7 2 3 4 3" xfId="5399"/>
    <cellStyle name="20% - akcent 2 7 2 3 5" xfId="5400"/>
    <cellStyle name="20% - akcent 2 7 2 3 5 2" xfId="5401"/>
    <cellStyle name="20% - akcent 2 7 2 3 6" xfId="5402"/>
    <cellStyle name="20% - akcent 2 7 2 4" xfId="5403"/>
    <cellStyle name="20% - akcent 2 7 2 4 2" xfId="5404"/>
    <cellStyle name="20% - akcent 2 7 2 4 2 2" xfId="5405"/>
    <cellStyle name="20% - akcent 2 7 2 4 2 2 2" xfId="5406"/>
    <cellStyle name="20% - akcent 2 7 2 4 2 3" xfId="5407"/>
    <cellStyle name="20% - akcent 2 7 2 4 3" xfId="5408"/>
    <cellStyle name="20% - akcent 2 7 2 4 3 2" xfId="5409"/>
    <cellStyle name="20% - akcent 2 7 2 4 3 2 2" xfId="5410"/>
    <cellStyle name="20% - akcent 2 7 2 4 3 3" xfId="5411"/>
    <cellStyle name="20% - akcent 2 7 2 4 4" xfId="5412"/>
    <cellStyle name="20% - akcent 2 7 2 4 4 2" xfId="5413"/>
    <cellStyle name="20% - akcent 2 7 2 4 4 2 2" xfId="5414"/>
    <cellStyle name="20% - akcent 2 7 2 4 4 3" xfId="5415"/>
    <cellStyle name="20% - akcent 2 7 2 4 5" xfId="5416"/>
    <cellStyle name="20% - akcent 2 7 2 4 5 2" xfId="5417"/>
    <cellStyle name="20% - akcent 2 7 2 4 6" xfId="5418"/>
    <cellStyle name="20% - akcent 2 7 2 5" xfId="5419"/>
    <cellStyle name="20% - akcent 2 7 2 6" xfId="5420"/>
    <cellStyle name="20% - akcent 2 7 2 6 2" xfId="5421"/>
    <cellStyle name="20% - akcent 2 7 2 6 2 2" xfId="5422"/>
    <cellStyle name="20% - akcent 2 7 2 6 3" xfId="5423"/>
    <cellStyle name="20% - akcent 2 7 2 7" xfId="5424"/>
    <cellStyle name="20% - akcent 2 7 2 7 2" xfId="5425"/>
    <cellStyle name="20% - akcent 2 7 2 7 2 2" xfId="5426"/>
    <cellStyle name="20% - akcent 2 7 2 7 3" xfId="5427"/>
    <cellStyle name="20% - akcent 2 7 2 8" xfId="5428"/>
    <cellStyle name="20% - akcent 2 7 2 8 2" xfId="5429"/>
    <cellStyle name="20% - akcent 2 7 2 8 2 2" xfId="5430"/>
    <cellStyle name="20% - akcent 2 7 2 8 3" xfId="5431"/>
    <cellStyle name="20% - akcent 2 7 2 9" xfId="5432"/>
    <cellStyle name="20% - akcent 2 7 2 9 2" xfId="5433"/>
    <cellStyle name="20% - akcent 2 7 3" xfId="5434"/>
    <cellStyle name="20% - akcent 2 7 3 2" xfId="5435"/>
    <cellStyle name="20% - akcent 2 7 3 2 2" xfId="5436"/>
    <cellStyle name="20% - akcent 2 7 3 2 2 2" xfId="5437"/>
    <cellStyle name="20% - akcent 2 7 3 2 2 2 2" xfId="5438"/>
    <cellStyle name="20% - akcent 2 7 3 2 2 3" xfId="5439"/>
    <cellStyle name="20% - akcent 2 7 3 2 3" xfId="5440"/>
    <cellStyle name="20% - akcent 2 7 3 2 3 2" xfId="5441"/>
    <cellStyle name="20% - akcent 2 7 3 2 3 2 2" xfId="5442"/>
    <cellStyle name="20% - akcent 2 7 3 2 3 3" xfId="5443"/>
    <cellStyle name="20% - akcent 2 7 3 2 4" xfId="5444"/>
    <cellStyle name="20% - akcent 2 7 3 2 4 2" xfId="5445"/>
    <cellStyle name="20% - akcent 2 7 3 2 4 2 2" xfId="5446"/>
    <cellStyle name="20% - akcent 2 7 3 2 4 3" xfId="5447"/>
    <cellStyle name="20% - akcent 2 7 3 2 5" xfId="5448"/>
    <cellStyle name="20% - akcent 2 7 3 2 5 2" xfId="5449"/>
    <cellStyle name="20% - akcent 2 7 3 2 6" xfId="5450"/>
    <cellStyle name="20% - akcent 2 7 3 3" xfId="5451"/>
    <cellStyle name="20% - akcent 2 7 3 3 2" xfId="5452"/>
    <cellStyle name="20% - akcent 2 7 3 3 2 2" xfId="5453"/>
    <cellStyle name="20% - akcent 2 7 3 3 3" xfId="5454"/>
    <cellStyle name="20% - akcent 2 7 3 4" xfId="5455"/>
    <cellStyle name="20% - akcent 2 7 3 4 2" xfId="5456"/>
    <cellStyle name="20% - akcent 2 7 3 4 2 2" xfId="5457"/>
    <cellStyle name="20% - akcent 2 7 3 4 3" xfId="5458"/>
    <cellStyle name="20% - akcent 2 7 3 5" xfId="5459"/>
    <cellStyle name="20% - akcent 2 7 3 5 2" xfId="5460"/>
    <cellStyle name="20% - akcent 2 7 3 5 2 2" xfId="5461"/>
    <cellStyle name="20% - akcent 2 7 3 5 3" xfId="5462"/>
    <cellStyle name="20% - akcent 2 7 3 6" xfId="5463"/>
    <cellStyle name="20% - akcent 2 7 3 6 2" xfId="5464"/>
    <cellStyle name="20% - akcent 2 7 3 7" xfId="5465"/>
    <cellStyle name="20% - akcent 2 7 4" xfId="5466"/>
    <cellStyle name="20% - akcent 2 7 4 2" xfId="5467"/>
    <cellStyle name="20% - akcent 2 7 4 2 2" xfId="5468"/>
    <cellStyle name="20% - akcent 2 7 4 2 2 2" xfId="5469"/>
    <cellStyle name="20% - akcent 2 7 4 2 3" xfId="5470"/>
    <cellStyle name="20% - akcent 2 7 4 3" xfId="5471"/>
    <cellStyle name="20% - akcent 2 7 4 3 2" xfId="5472"/>
    <cellStyle name="20% - akcent 2 7 4 3 2 2" xfId="5473"/>
    <cellStyle name="20% - akcent 2 7 4 3 3" xfId="5474"/>
    <cellStyle name="20% - akcent 2 7 4 4" xfId="5475"/>
    <cellStyle name="20% - akcent 2 7 4 4 2" xfId="5476"/>
    <cellStyle name="20% - akcent 2 7 4 4 2 2" xfId="5477"/>
    <cellStyle name="20% - akcent 2 7 4 4 3" xfId="5478"/>
    <cellStyle name="20% - akcent 2 7 4 5" xfId="5479"/>
    <cellStyle name="20% - akcent 2 7 4 5 2" xfId="5480"/>
    <cellStyle name="20% - akcent 2 7 4 6" xfId="5481"/>
    <cellStyle name="20% - akcent 2 7 5" xfId="5482"/>
    <cellStyle name="20% - akcent 2 7 5 2" xfId="5483"/>
    <cellStyle name="20% - akcent 2 7 5 2 2" xfId="5484"/>
    <cellStyle name="20% - akcent 2 7 5 2 2 2" xfId="5485"/>
    <cellStyle name="20% - akcent 2 7 5 2 3" xfId="5486"/>
    <cellStyle name="20% - akcent 2 7 5 3" xfId="5487"/>
    <cellStyle name="20% - akcent 2 7 5 3 2" xfId="5488"/>
    <cellStyle name="20% - akcent 2 7 5 3 2 2" xfId="5489"/>
    <cellStyle name="20% - akcent 2 7 5 3 3" xfId="5490"/>
    <cellStyle name="20% - akcent 2 7 5 4" xfId="5491"/>
    <cellStyle name="20% - akcent 2 7 5 4 2" xfId="5492"/>
    <cellStyle name="20% - akcent 2 7 5 4 2 2" xfId="5493"/>
    <cellStyle name="20% - akcent 2 7 5 4 3" xfId="5494"/>
    <cellStyle name="20% - akcent 2 7 5 5" xfId="5495"/>
    <cellStyle name="20% - akcent 2 7 5 5 2" xfId="5496"/>
    <cellStyle name="20% - akcent 2 7 5 6" xfId="5497"/>
    <cellStyle name="20% - akcent 2 7 6" xfId="5498"/>
    <cellStyle name="20% - akcent 2 7 7" xfId="5499"/>
    <cellStyle name="20% - akcent 2 7 7 2" xfId="5500"/>
    <cellStyle name="20% - akcent 2 7 7 2 2" xfId="5501"/>
    <cellStyle name="20% - akcent 2 7 7 2 2 2" xfId="5502"/>
    <cellStyle name="20% - akcent 2 7 7 2 3" xfId="5503"/>
    <cellStyle name="20% - akcent 2 7 7 3" xfId="5504"/>
    <cellStyle name="20% - akcent 2 7 7 3 2" xfId="5505"/>
    <cellStyle name="20% - akcent 2 7 7 3 2 2" xfId="5506"/>
    <cellStyle name="20% - akcent 2 7 7 3 3" xfId="5507"/>
    <cellStyle name="20% - akcent 2 7 7 4" xfId="5508"/>
    <cellStyle name="20% - akcent 2 7 7 4 2" xfId="5509"/>
    <cellStyle name="20% - akcent 2 7 7 4 2 2" xfId="5510"/>
    <cellStyle name="20% - akcent 2 7 7 4 3" xfId="5511"/>
    <cellStyle name="20% - akcent 2 7 7 5" xfId="5512"/>
    <cellStyle name="20% - akcent 2 7 7 5 2" xfId="5513"/>
    <cellStyle name="20% - akcent 2 7 7 6" xfId="5514"/>
    <cellStyle name="20% - akcent 2 7_Arkusz1" xfId="5515"/>
    <cellStyle name="20% - akcent 2 8" xfId="5516"/>
    <cellStyle name="20% - akcent 2 8 2" xfId="5517"/>
    <cellStyle name="20% - akcent 2 8 3" xfId="5518"/>
    <cellStyle name="20% - akcent 2 8_Arkusz1" xfId="5519"/>
    <cellStyle name="20% - akcent 2 9" xfId="5520"/>
    <cellStyle name="20% - akcent 2 9 2" xfId="5521"/>
    <cellStyle name="20% - akcent 2 9_Arkusz1" xfId="5522"/>
    <cellStyle name="20% - akcent 3 10" xfId="5523"/>
    <cellStyle name="20% - akcent 3 10 2" xfId="5524"/>
    <cellStyle name="20% - akcent 3 10_Arkusz1" xfId="5525"/>
    <cellStyle name="20% - akcent 3 11" xfId="5526"/>
    <cellStyle name="20% - akcent 3 12" xfId="5527"/>
    <cellStyle name="20% - akcent 3 13" xfId="5528"/>
    <cellStyle name="20% - akcent 3 2" xfId="5529"/>
    <cellStyle name="20% - akcent 3 2 10" xfId="5530"/>
    <cellStyle name="20% - akcent 3 2 11" xfId="5531"/>
    <cellStyle name="20% - akcent 3 2 11 2" xfId="5532"/>
    <cellStyle name="20% - akcent 3 2 2" xfId="5533"/>
    <cellStyle name="20% - akcent 3 2 2 2" xfId="5534"/>
    <cellStyle name="20% - akcent 3 2 2 2 2" xfId="5535"/>
    <cellStyle name="20% - akcent 3 2 2 2 2 2" xfId="5536"/>
    <cellStyle name="20% - akcent 3 2 2 2 2 2 2" xfId="5537"/>
    <cellStyle name="20% - akcent 3 2 2 2 2 2 2 2" xfId="5538"/>
    <cellStyle name="20% - akcent 3 2 2 2 2 2 2 2 2" xfId="5539"/>
    <cellStyle name="20% - akcent 3 2 2 2 2 2 2 2 2 2" xfId="5540"/>
    <cellStyle name="20% - akcent 3 2 2 2 2 2 2 2 3" xfId="5541"/>
    <cellStyle name="20% - akcent 3 2 2 2 2 2 2 3" xfId="5542"/>
    <cellStyle name="20% - akcent 3 2 2 2 2 2 2 3 2" xfId="5543"/>
    <cellStyle name="20% - akcent 3 2 2 2 2 2 2 3 2 2" xfId="5544"/>
    <cellStyle name="20% - akcent 3 2 2 2 2 2 2 3 3" xfId="5545"/>
    <cellStyle name="20% - akcent 3 2 2 2 2 2 2 4" xfId="5546"/>
    <cellStyle name="20% - akcent 3 2 2 2 2 2 2 4 2" xfId="5547"/>
    <cellStyle name="20% - akcent 3 2 2 2 2 2 2 4 2 2" xfId="5548"/>
    <cellStyle name="20% - akcent 3 2 2 2 2 2 2 4 3" xfId="5549"/>
    <cellStyle name="20% - akcent 3 2 2 2 2 2 2 5" xfId="5550"/>
    <cellStyle name="20% - akcent 3 2 2 2 2 2 2 5 2" xfId="5551"/>
    <cellStyle name="20% - akcent 3 2 2 2 2 2 2 6" xfId="5552"/>
    <cellStyle name="20% - akcent 3 2 2 2 2 2 3" xfId="5553"/>
    <cellStyle name="20% - akcent 3 2 2 2 2 2 3 2" xfId="5554"/>
    <cellStyle name="20% - akcent 3 2 2 2 2 2 3 2 2" xfId="5555"/>
    <cellStyle name="20% - akcent 3 2 2 2 2 2 3 3" xfId="5556"/>
    <cellStyle name="20% - akcent 3 2 2 2 2 2 4" xfId="5557"/>
    <cellStyle name="20% - akcent 3 2 2 2 2 2 4 2" xfId="5558"/>
    <cellStyle name="20% - akcent 3 2 2 2 2 2 4 2 2" xfId="5559"/>
    <cellStyle name="20% - akcent 3 2 2 2 2 2 4 3" xfId="5560"/>
    <cellStyle name="20% - akcent 3 2 2 2 2 2 5" xfId="5561"/>
    <cellStyle name="20% - akcent 3 2 2 2 2 2 5 2" xfId="5562"/>
    <cellStyle name="20% - akcent 3 2 2 2 2 2 5 2 2" xfId="5563"/>
    <cellStyle name="20% - akcent 3 2 2 2 2 2 5 3" xfId="5564"/>
    <cellStyle name="20% - akcent 3 2 2 2 2 2 6" xfId="5565"/>
    <cellStyle name="20% - akcent 3 2 2 2 2 2 6 2" xfId="5566"/>
    <cellStyle name="20% - akcent 3 2 2 2 2 2 7" xfId="5567"/>
    <cellStyle name="20% - akcent 3 2 2 2 2 3" xfId="5568"/>
    <cellStyle name="20% - akcent 3 2 2 2 2 3 2" xfId="5569"/>
    <cellStyle name="20% - akcent 3 2 2 2 2 3 2 2" xfId="5570"/>
    <cellStyle name="20% - akcent 3 2 2 2 2 3 2 2 2" xfId="5571"/>
    <cellStyle name="20% - akcent 3 2 2 2 2 3 2 3" xfId="5572"/>
    <cellStyle name="20% - akcent 3 2 2 2 2 3 3" xfId="5573"/>
    <cellStyle name="20% - akcent 3 2 2 2 2 3 3 2" xfId="5574"/>
    <cellStyle name="20% - akcent 3 2 2 2 2 3 3 2 2" xfId="5575"/>
    <cellStyle name="20% - akcent 3 2 2 2 2 3 3 3" xfId="5576"/>
    <cellStyle name="20% - akcent 3 2 2 2 2 3 4" xfId="5577"/>
    <cellStyle name="20% - akcent 3 2 2 2 2 3 4 2" xfId="5578"/>
    <cellStyle name="20% - akcent 3 2 2 2 2 3 4 2 2" xfId="5579"/>
    <cellStyle name="20% - akcent 3 2 2 2 2 3 4 3" xfId="5580"/>
    <cellStyle name="20% - akcent 3 2 2 2 2 3 5" xfId="5581"/>
    <cellStyle name="20% - akcent 3 2 2 2 2 3 5 2" xfId="5582"/>
    <cellStyle name="20% - akcent 3 2 2 2 2 3 6" xfId="5583"/>
    <cellStyle name="20% - akcent 3 2 2 2 2 4" xfId="5584"/>
    <cellStyle name="20% - akcent 3 2 2 2 2 4 2" xfId="5585"/>
    <cellStyle name="20% - akcent 3 2 2 2 2 4 2 2" xfId="5586"/>
    <cellStyle name="20% - akcent 3 2 2 2 2 4 2 2 2" xfId="5587"/>
    <cellStyle name="20% - akcent 3 2 2 2 2 4 2 3" xfId="5588"/>
    <cellStyle name="20% - akcent 3 2 2 2 2 4 3" xfId="5589"/>
    <cellStyle name="20% - akcent 3 2 2 2 2 4 3 2" xfId="5590"/>
    <cellStyle name="20% - akcent 3 2 2 2 2 4 3 2 2" xfId="5591"/>
    <cellStyle name="20% - akcent 3 2 2 2 2 4 3 3" xfId="5592"/>
    <cellStyle name="20% - akcent 3 2 2 2 2 4 4" xfId="5593"/>
    <cellStyle name="20% - akcent 3 2 2 2 2 4 4 2" xfId="5594"/>
    <cellStyle name="20% - akcent 3 2 2 2 2 4 4 2 2" xfId="5595"/>
    <cellStyle name="20% - akcent 3 2 2 2 2 4 4 3" xfId="5596"/>
    <cellStyle name="20% - akcent 3 2 2 2 2 4 5" xfId="5597"/>
    <cellStyle name="20% - akcent 3 2 2 2 2 4 5 2" xfId="5598"/>
    <cellStyle name="20% - akcent 3 2 2 2 2 4 6" xfId="5599"/>
    <cellStyle name="20% - akcent 3 2 2 2 2 5" xfId="5600"/>
    <cellStyle name="20% - akcent 3 2 2 2 2 5 2" xfId="5601"/>
    <cellStyle name="20% - akcent 3 2 2 2 2 5 2 2" xfId="5602"/>
    <cellStyle name="20% - akcent 3 2 2 2 2 5 3" xfId="5603"/>
    <cellStyle name="20% - akcent 3 2 2 2 2 6" xfId="5604"/>
    <cellStyle name="20% - akcent 3 2 2 2 2 6 2" xfId="5605"/>
    <cellStyle name="20% - akcent 3 2 2 2 2 6 2 2" xfId="5606"/>
    <cellStyle name="20% - akcent 3 2 2 2 2 6 3" xfId="5607"/>
    <cellStyle name="20% - akcent 3 2 2 2 2 7" xfId="5608"/>
    <cellStyle name="20% - akcent 3 2 2 2 2 7 2" xfId="5609"/>
    <cellStyle name="20% - akcent 3 2 2 2 2 7 2 2" xfId="5610"/>
    <cellStyle name="20% - akcent 3 2 2 2 2 7 3" xfId="5611"/>
    <cellStyle name="20% - akcent 3 2 2 2 2 8" xfId="5612"/>
    <cellStyle name="20% - akcent 3 2 2 2 2 8 2" xfId="5613"/>
    <cellStyle name="20% - akcent 3 2 2 2 2 9" xfId="5614"/>
    <cellStyle name="20% - akcent 3 2 2 2 3" xfId="5615"/>
    <cellStyle name="20% - akcent 3 2 2 2 3 2" xfId="5616"/>
    <cellStyle name="20% - akcent 3 2 2 2 3 2 2" xfId="5617"/>
    <cellStyle name="20% - akcent 3 2 2 2 3 2 2 2" xfId="5618"/>
    <cellStyle name="20% - akcent 3 2 2 2 3 2 2 2 2" xfId="5619"/>
    <cellStyle name="20% - akcent 3 2 2 2 3 2 2 3" xfId="5620"/>
    <cellStyle name="20% - akcent 3 2 2 2 3 2 3" xfId="5621"/>
    <cellStyle name="20% - akcent 3 2 2 2 3 2 3 2" xfId="5622"/>
    <cellStyle name="20% - akcent 3 2 2 2 3 2 3 2 2" xfId="5623"/>
    <cellStyle name="20% - akcent 3 2 2 2 3 2 3 3" xfId="5624"/>
    <cellStyle name="20% - akcent 3 2 2 2 3 2 4" xfId="5625"/>
    <cellStyle name="20% - akcent 3 2 2 2 3 2 4 2" xfId="5626"/>
    <cellStyle name="20% - akcent 3 2 2 2 3 2 4 2 2" xfId="5627"/>
    <cellStyle name="20% - akcent 3 2 2 2 3 2 4 3" xfId="5628"/>
    <cellStyle name="20% - akcent 3 2 2 2 3 2 5" xfId="5629"/>
    <cellStyle name="20% - akcent 3 2 2 2 3 2 5 2" xfId="5630"/>
    <cellStyle name="20% - akcent 3 2 2 2 3 2 6" xfId="5631"/>
    <cellStyle name="20% - akcent 3 2 2 2 3 3" xfId="5632"/>
    <cellStyle name="20% - akcent 3 2 2 2 3 3 2" xfId="5633"/>
    <cellStyle name="20% - akcent 3 2 2 2 3 3 2 2" xfId="5634"/>
    <cellStyle name="20% - akcent 3 2 2 2 3 3 3" xfId="5635"/>
    <cellStyle name="20% - akcent 3 2 2 2 3 4" xfId="5636"/>
    <cellStyle name="20% - akcent 3 2 2 2 3 4 2" xfId="5637"/>
    <cellStyle name="20% - akcent 3 2 2 2 3 4 2 2" xfId="5638"/>
    <cellStyle name="20% - akcent 3 2 2 2 3 4 3" xfId="5639"/>
    <cellStyle name="20% - akcent 3 2 2 2 3 5" xfId="5640"/>
    <cellStyle name="20% - akcent 3 2 2 2 3 5 2" xfId="5641"/>
    <cellStyle name="20% - akcent 3 2 2 2 3 5 2 2" xfId="5642"/>
    <cellStyle name="20% - akcent 3 2 2 2 3 5 3" xfId="5643"/>
    <cellStyle name="20% - akcent 3 2 2 2 3 6" xfId="5644"/>
    <cellStyle name="20% - akcent 3 2 2 2 3 6 2" xfId="5645"/>
    <cellStyle name="20% - akcent 3 2 2 2 3 7" xfId="5646"/>
    <cellStyle name="20% - akcent 3 2 2 2 4" xfId="5647"/>
    <cellStyle name="20% - akcent 3 2 2 2 4 2" xfId="5648"/>
    <cellStyle name="20% - akcent 3 2 2 2 4 2 2" xfId="5649"/>
    <cellStyle name="20% - akcent 3 2 2 2 4 2 2 2" xfId="5650"/>
    <cellStyle name="20% - akcent 3 2 2 2 4 2 3" xfId="5651"/>
    <cellStyle name="20% - akcent 3 2 2 2 4 3" xfId="5652"/>
    <cellStyle name="20% - akcent 3 2 2 2 4 3 2" xfId="5653"/>
    <cellStyle name="20% - akcent 3 2 2 2 4 3 2 2" xfId="5654"/>
    <cellStyle name="20% - akcent 3 2 2 2 4 3 3" xfId="5655"/>
    <cellStyle name="20% - akcent 3 2 2 2 4 4" xfId="5656"/>
    <cellStyle name="20% - akcent 3 2 2 2 4 4 2" xfId="5657"/>
    <cellStyle name="20% - akcent 3 2 2 2 4 4 2 2" xfId="5658"/>
    <cellStyle name="20% - akcent 3 2 2 2 4 4 3" xfId="5659"/>
    <cellStyle name="20% - akcent 3 2 2 2 4 5" xfId="5660"/>
    <cellStyle name="20% - akcent 3 2 2 2 4 5 2" xfId="5661"/>
    <cellStyle name="20% - akcent 3 2 2 2 4 6" xfId="5662"/>
    <cellStyle name="20% - akcent 3 2 2 2 5" xfId="5663"/>
    <cellStyle name="20% - akcent 3 2 2 2 5 2" xfId="5664"/>
    <cellStyle name="20% - akcent 3 2 2 2 5 2 2" xfId="5665"/>
    <cellStyle name="20% - akcent 3 2 2 2 5 2 2 2" xfId="5666"/>
    <cellStyle name="20% - akcent 3 2 2 2 5 2 3" xfId="5667"/>
    <cellStyle name="20% - akcent 3 2 2 2 5 3" xfId="5668"/>
    <cellStyle name="20% - akcent 3 2 2 2 5 3 2" xfId="5669"/>
    <cellStyle name="20% - akcent 3 2 2 2 5 3 2 2" xfId="5670"/>
    <cellStyle name="20% - akcent 3 2 2 2 5 3 3" xfId="5671"/>
    <cellStyle name="20% - akcent 3 2 2 2 5 4" xfId="5672"/>
    <cellStyle name="20% - akcent 3 2 2 2 5 4 2" xfId="5673"/>
    <cellStyle name="20% - akcent 3 2 2 2 5 4 2 2" xfId="5674"/>
    <cellStyle name="20% - akcent 3 2 2 2 5 4 3" xfId="5675"/>
    <cellStyle name="20% - akcent 3 2 2 2 5 5" xfId="5676"/>
    <cellStyle name="20% - akcent 3 2 2 2 5 5 2" xfId="5677"/>
    <cellStyle name="20% - akcent 3 2 2 2 5 6" xfId="5678"/>
    <cellStyle name="20% - akcent 3 2 2 2 6" xfId="5679"/>
    <cellStyle name="20% - akcent 3 2 2 2 6 2" xfId="5680"/>
    <cellStyle name="20% - akcent 3 2 2 2 6 2 2" xfId="5681"/>
    <cellStyle name="20% - akcent 3 2 2 2 6 2 2 2" xfId="5682"/>
    <cellStyle name="20% - akcent 3 2 2 2 6 2 3" xfId="5683"/>
    <cellStyle name="20% - akcent 3 2 2 2 6 3" xfId="5684"/>
    <cellStyle name="20% - akcent 3 2 2 2 6 3 2" xfId="5685"/>
    <cellStyle name="20% - akcent 3 2 2 2 6 3 2 2" xfId="5686"/>
    <cellStyle name="20% - akcent 3 2 2 2 6 3 3" xfId="5687"/>
    <cellStyle name="20% - akcent 3 2 2 2 6 4" xfId="5688"/>
    <cellStyle name="20% - akcent 3 2 2 2 6 4 2" xfId="5689"/>
    <cellStyle name="20% - akcent 3 2 2 2 6 4 2 2" xfId="5690"/>
    <cellStyle name="20% - akcent 3 2 2 2 6 4 3" xfId="5691"/>
    <cellStyle name="20% - akcent 3 2 2 2 6 5" xfId="5692"/>
    <cellStyle name="20% - akcent 3 2 2 2 6 5 2" xfId="5693"/>
    <cellStyle name="20% - akcent 3 2 2 2 6 6" xfId="5694"/>
    <cellStyle name="20% - akcent 3 2 2 3" xfId="5695"/>
    <cellStyle name="20% - akcent 3 2 2 3 2" xfId="5696"/>
    <cellStyle name="20% - akcent 3 2 2 3 2 2" xfId="5697"/>
    <cellStyle name="20% - akcent 3 2 2 3 2 2 2" xfId="5698"/>
    <cellStyle name="20% - akcent 3 2 2 3 2 2 2 2" xfId="5699"/>
    <cellStyle name="20% - akcent 3 2 2 3 2 2 2 2 2" xfId="5700"/>
    <cellStyle name="20% - akcent 3 2 2 3 2 2 2 3" xfId="5701"/>
    <cellStyle name="20% - akcent 3 2 2 3 2 2 3" xfId="5702"/>
    <cellStyle name="20% - akcent 3 2 2 3 2 2 3 2" xfId="5703"/>
    <cellStyle name="20% - akcent 3 2 2 3 2 2 3 2 2" xfId="5704"/>
    <cellStyle name="20% - akcent 3 2 2 3 2 2 3 3" xfId="5705"/>
    <cellStyle name="20% - akcent 3 2 2 3 2 2 4" xfId="5706"/>
    <cellStyle name="20% - akcent 3 2 2 3 2 2 4 2" xfId="5707"/>
    <cellStyle name="20% - akcent 3 2 2 3 2 2 4 2 2" xfId="5708"/>
    <cellStyle name="20% - akcent 3 2 2 3 2 2 4 3" xfId="5709"/>
    <cellStyle name="20% - akcent 3 2 2 3 2 2 5" xfId="5710"/>
    <cellStyle name="20% - akcent 3 2 2 3 2 2 5 2" xfId="5711"/>
    <cellStyle name="20% - akcent 3 2 2 3 2 2 6" xfId="5712"/>
    <cellStyle name="20% - akcent 3 2 2 3 2 3" xfId="5713"/>
    <cellStyle name="20% - akcent 3 2 2 3 2 3 2" xfId="5714"/>
    <cellStyle name="20% - akcent 3 2 2 3 2 3 2 2" xfId="5715"/>
    <cellStyle name="20% - akcent 3 2 2 3 2 3 3" xfId="5716"/>
    <cellStyle name="20% - akcent 3 2 2 3 2 4" xfId="5717"/>
    <cellStyle name="20% - akcent 3 2 2 3 2 4 2" xfId="5718"/>
    <cellStyle name="20% - akcent 3 2 2 3 2 4 2 2" xfId="5719"/>
    <cellStyle name="20% - akcent 3 2 2 3 2 4 3" xfId="5720"/>
    <cellStyle name="20% - akcent 3 2 2 3 2 5" xfId="5721"/>
    <cellStyle name="20% - akcent 3 2 2 3 2 5 2" xfId="5722"/>
    <cellStyle name="20% - akcent 3 2 2 3 2 5 2 2" xfId="5723"/>
    <cellStyle name="20% - akcent 3 2 2 3 2 5 3" xfId="5724"/>
    <cellStyle name="20% - akcent 3 2 2 3 2 6" xfId="5725"/>
    <cellStyle name="20% - akcent 3 2 2 3 2 6 2" xfId="5726"/>
    <cellStyle name="20% - akcent 3 2 2 3 2 7" xfId="5727"/>
    <cellStyle name="20% - akcent 3 2 2 3 3" xfId="5728"/>
    <cellStyle name="20% - akcent 3 2 2 3 3 2" xfId="5729"/>
    <cellStyle name="20% - akcent 3 2 2 3 3 2 2" xfId="5730"/>
    <cellStyle name="20% - akcent 3 2 2 3 3 2 2 2" xfId="5731"/>
    <cellStyle name="20% - akcent 3 2 2 3 3 2 3" xfId="5732"/>
    <cellStyle name="20% - akcent 3 2 2 3 3 3" xfId="5733"/>
    <cellStyle name="20% - akcent 3 2 2 3 3 3 2" xfId="5734"/>
    <cellStyle name="20% - akcent 3 2 2 3 3 3 2 2" xfId="5735"/>
    <cellStyle name="20% - akcent 3 2 2 3 3 3 3" xfId="5736"/>
    <cellStyle name="20% - akcent 3 2 2 3 3 4" xfId="5737"/>
    <cellStyle name="20% - akcent 3 2 2 3 3 4 2" xfId="5738"/>
    <cellStyle name="20% - akcent 3 2 2 3 3 4 2 2" xfId="5739"/>
    <cellStyle name="20% - akcent 3 2 2 3 3 4 3" xfId="5740"/>
    <cellStyle name="20% - akcent 3 2 2 3 3 5" xfId="5741"/>
    <cellStyle name="20% - akcent 3 2 2 3 3 5 2" xfId="5742"/>
    <cellStyle name="20% - akcent 3 2 2 3 3 6" xfId="5743"/>
    <cellStyle name="20% - akcent 3 2 2 3 4" xfId="5744"/>
    <cellStyle name="20% - akcent 3 2 2 3 4 2" xfId="5745"/>
    <cellStyle name="20% - akcent 3 2 2 3 4 2 2" xfId="5746"/>
    <cellStyle name="20% - akcent 3 2 2 3 4 2 2 2" xfId="5747"/>
    <cellStyle name="20% - akcent 3 2 2 3 4 2 3" xfId="5748"/>
    <cellStyle name="20% - akcent 3 2 2 3 4 3" xfId="5749"/>
    <cellStyle name="20% - akcent 3 2 2 3 4 3 2" xfId="5750"/>
    <cellStyle name="20% - akcent 3 2 2 3 4 3 2 2" xfId="5751"/>
    <cellStyle name="20% - akcent 3 2 2 3 4 3 3" xfId="5752"/>
    <cellStyle name="20% - akcent 3 2 2 3 4 4" xfId="5753"/>
    <cellStyle name="20% - akcent 3 2 2 3 4 4 2" xfId="5754"/>
    <cellStyle name="20% - akcent 3 2 2 3 4 4 2 2" xfId="5755"/>
    <cellStyle name="20% - akcent 3 2 2 3 4 4 3" xfId="5756"/>
    <cellStyle name="20% - akcent 3 2 2 3 4 5" xfId="5757"/>
    <cellStyle name="20% - akcent 3 2 2 3 4 5 2" xfId="5758"/>
    <cellStyle name="20% - akcent 3 2 2 3 4 6" xfId="5759"/>
    <cellStyle name="20% - akcent 3 2 2 3 5" xfId="5760"/>
    <cellStyle name="20% - akcent 3 2 2 3 5 2" xfId="5761"/>
    <cellStyle name="20% - akcent 3 2 2 3 5 2 2" xfId="5762"/>
    <cellStyle name="20% - akcent 3 2 2 3 5 2 2 2" xfId="5763"/>
    <cellStyle name="20% - akcent 3 2 2 3 5 2 3" xfId="5764"/>
    <cellStyle name="20% - akcent 3 2 2 3 5 3" xfId="5765"/>
    <cellStyle name="20% - akcent 3 2 2 3 5 3 2" xfId="5766"/>
    <cellStyle name="20% - akcent 3 2 2 3 5 3 2 2" xfId="5767"/>
    <cellStyle name="20% - akcent 3 2 2 3 5 3 3" xfId="5768"/>
    <cellStyle name="20% - akcent 3 2 2 3 5 4" xfId="5769"/>
    <cellStyle name="20% - akcent 3 2 2 3 5 4 2" xfId="5770"/>
    <cellStyle name="20% - akcent 3 2 2 3 5 4 2 2" xfId="5771"/>
    <cellStyle name="20% - akcent 3 2 2 3 5 4 3" xfId="5772"/>
    <cellStyle name="20% - akcent 3 2 2 3 5 5" xfId="5773"/>
    <cellStyle name="20% - akcent 3 2 2 3 5 5 2" xfId="5774"/>
    <cellStyle name="20% - akcent 3 2 2 3 5 6" xfId="5775"/>
    <cellStyle name="20% - akcent 3 2 2 4" xfId="5776"/>
    <cellStyle name="20% - akcent 3 2 2 4 2" xfId="5777"/>
    <cellStyle name="20% - akcent 3 2 2 4 2 2" xfId="5778"/>
    <cellStyle name="20% - akcent 3 2 2 4 2 2 2" xfId="5779"/>
    <cellStyle name="20% - akcent 3 2 2 4 2 2 2 2" xfId="5780"/>
    <cellStyle name="20% - akcent 3 2 2 4 2 2 3" xfId="5781"/>
    <cellStyle name="20% - akcent 3 2 2 4 2 3" xfId="5782"/>
    <cellStyle name="20% - akcent 3 2 2 4 2 3 2" xfId="5783"/>
    <cellStyle name="20% - akcent 3 2 2 4 2 3 2 2" xfId="5784"/>
    <cellStyle name="20% - akcent 3 2 2 4 2 3 3" xfId="5785"/>
    <cellStyle name="20% - akcent 3 2 2 4 2 4" xfId="5786"/>
    <cellStyle name="20% - akcent 3 2 2 4 2 4 2" xfId="5787"/>
    <cellStyle name="20% - akcent 3 2 2 4 2 4 2 2" xfId="5788"/>
    <cellStyle name="20% - akcent 3 2 2 4 2 4 3" xfId="5789"/>
    <cellStyle name="20% - akcent 3 2 2 4 2 5" xfId="5790"/>
    <cellStyle name="20% - akcent 3 2 2 4 2 5 2" xfId="5791"/>
    <cellStyle name="20% - akcent 3 2 2 4 2 6" xfId="5792"/>
    <cellStyle name="20% - akcent 3 2 2 4 3" xfId="5793"/>
    <cellStyle name="20% - akcent 3 2 2 4 3 2" xfId="5794"/>
    <cellStyle name="20% - akcent 3 2 2 4 3 2 2" xfId="5795"/>
    <cellStyle name="20% - akcent 3 2 2 4 3 3" xfId="5796"/>
    <cellStyle name="20% - akcent 3 2 2 4 4" xfId="5797"/>
    <cellStyle name="20% - akcent 3 2 2 4 4 2" xfId="5798"/>
    <cellStyle name="20% - akcent 3 2 2 4 4 2 2" xfId="5799"/>
    <cellStyle name="20% - akcent 3 2 2 4 4 3" xfId="5800"/>
    <cellStyle name="20% - akcent 3 2 2 4 5" xfId="5801"/>
    <cellStyle name="20% - akcent 3 2 2 4 5 2" xfId="5802"/>
    <cellStyle name="20% - akcent 3 2 2 4 5 2 2" xfId="5803"/>
    <cellStyle name="20% - akcent 3 2 2 4 5 3" xfId="5804"/>
    <cellStyle name="20% - akcent 3 2 2 4 6" xfId="5805"/>
    <cellStyle name="20% - akcent 3 2 2 4 6 2" xfId="5806"/>
    <cellStyle name="20% - akcent 3 2 2 4 7" xfId="5807"/>
    <cellStyle name="20% - akcent 3 2 2 5" xfId="5808"/>
    <cellStyle name="20% - akcent 3 2 2 5 2" xfId="5809"/>
    <cellStyle name="20% - akcent 3 2 2 5 2 2" xfId="5810"/>
    <cellStyle name="20% - akcent 3 2 2 5 2 2 2" xfId="5811"/>
    <cellStyle name="20% - akcent 3 2 2 5 2 3" xfId="5812"/>
    <cellStyle name="20% - akcent 3 2 2 5 3" xfId="5813"/>
    <cellStyle name="20% - akcent 3 2 2 5 3 2" xfId="5814"/>
    <cellStyle name="20% - akcent 3 2 2 5 3 2 2" xfId="5815"/>
    <cellStyle name="20% - akcent 3 2 2 5 3 3" xfId="5816"/>
    <cellStyle name="20% - akcent 3 2 2 5 4" xfId="5817"/>
    <cellStyle name="20% - akcent 3 2 2 5 4 2" xfId="5818"/>
    <cellStyle name="20% - akcent 3 2 2 5 4 2 2" xfId="5819"/>
    <cellStyle name="20% - akcent 3 2 2 5 4 3" xfId="5820"/>
    <cellStyle name="20% - akcent 3 2 2 5 5" xfId="5821"/>
    <cellStyle name="20% - akcent 3 2 2 5 5 2" xfId="5822"/>
    <cellStyle name="20% - akcent 3 2 2 5 6" xfId="5823"/>
    <cellStyle name="20% - akcent 3 2 2 6" xfId="5824"/>
    <cellStyle name="20% - akcent 3 2 2 6 2" xfId="5825"/>
    <cellStyle name="20% - akcent 3 2 2 6 2 2" xfId="5826"/>
    <cellStyle name="20% - akcent 3 2 2 6 2 2 2" xfId="5827"/>
    <cellStyle name="20% - akcent 3 2 2 6 2 3" xfId="5828"/>
    <cellStyle name="20% - akcent 3 2 2 6 3" xfId="5829"/>
    <cellStyle name="20% - akcent 3 2 2 6 3 2" xfId="5830"/>
    <cellStyle name="20% - akcent 3 2 2 6 3 2 2" xfId="5831"/>
    <cellStyle name="20% - akcent 3 2 2 6 3 3" xfId="5832"/>
    <cellStyle name="20% - akcent 3 2 2 6 4" xfId="5833"/>
    <cellStyle name="20% - akcent 3 2 2 6 4 2" xfId="5834"/>
    <cellStyle name="20% - akcent 3 2 2 6 4 2 2" xfId="5835"/>
    <cellStyle name="20% - akcent 3 2 2 6 4 3" xfId="5836"/>
    <cellStyle name="20% - akcent 3 2 2 6 5" xfId="5837"/>
    <cellStyle name="20% - akcent 3 2 2 6 5 2" xfId="5838"/>
    <cellStyle name="20% - akcent 3 2 2 6 6" xfId="5839"/>
    <cellStyle name="20% - akcent 3 2 2 7" xfId="5840"/>
    <cellStyle name="20% - akcent 3 2 2 8" xfId="5841"/>
    <cellStyle name="20% - akcent 3 2 2 8 2" xfId="5842"/>
    <cellStyle name="20% - akcent 3 2 2 8 2 2" xfId="5843"/>
    <cellStyle name="20% - akcent 3 2 2 8 2 2 2" xfId="5844"/>
    <cellStyle name="20% - akcent 3 2 2 8 2 3" xfId="5845"/>
    <cellStyle name="20% - akcent 3 2 2 8 3" xfId="5846"/>
    <cellStyle name="20% - akcent 3 2 2 8 3 2" xfId="5847"/>
    <cellStyle name="20% - akcent 3 2 2 8 3 2 2" xfId="5848"/>
    <cellStyle name="20% - akcent 3 2 2 8 3 3" xfId="5849"/>
    <cellStyle name="20% - akcent 3 2 2 8 4" xfId="5850"/>
    <cellStyle name="20% - akcent 3 2 2 8 4 2" xfId="5851"/>
    <cellStyle name="20% - akcent 3 2 2 8 4 2 2" xfId="5852"/>
    <cellStyle name="20% - akcent 3 2 2 8 4 3" xfId="5853"/>
    <cellStyle name="20% - akcent 3 2 2 8 5" xfId="5854"/>
    <cellStyle name="20% - akcent 3 2 2 8 5 2" xfId="5855"/>
    <cellStyle name="20% - akcent 3 2 2 8 6" xfId="5856"/>
    <cellStyle name="20% - akcent 3 2 2_2011'05 Raport PGE_DO-CO2" xfId="5857"/>
    <cellStyle name="20% - akcent 3 2 3" xfId="5858"/>
    <cellStyle name="20% - akcent 3 2 3 2" xfId="5859"/>
    <cellStyle name="20% - akcent 3 2 3 2 2" xfId="5860"/>
    <cellStyle name="20% - akcent 3 2 3 2 2 2" xfId="5861"/>
    <cellStyle name="20% - akcent 3 2 3 2 2 2 2" xfId="5862"/>
    <cellStyle name="20% - akcent 3 2 3 2 2 2 2 2" xfId="5863"/>
    <cellStyle name="20% - akcent 3 2 3 2 2 2 2 2 2" xfId="5864"/>
    <cellStyle name="20% - akcent 3 2 3 2 2 2 2 3" xfId="5865"/>
    <cellStyle name="20% - akcent 3 2 3 2 2 2 3" xfId="5866"/>
    <cellStyle name="20% - akcent 3 2 3 2 2 2 3 2" xfId="5867"/>
    <cellStyle name="20% - akcent 3 2 3 2 2 2 3 2 2" xfId="5868"/>
    <cellStyle name="20% - akcent 3 2 3 2 2 2 3 3" xfId="5869"/>
    <cellStyle name="20% - akcent 3 2 3 2 2 2 4" xfId="5870"/>
    <cellStyle name="20% - akcent 3 2 3 2 2 2 4 2" xfId="5871"/>
    <cellStyle name="20% - akcent 3 2 3 2 2 2 4 2 2" xfId="5872"/>
    <cellStyle name="20% - akcent 3 2 3 2 2 2 4 3" xfId="5873"/>
    <cellStyle name="20% - akcent 3 2 3 2 2 2 5" xfId="5874"/>
    <cellStyle name="20% - akcent 3 2 3 2 2 2 5 2" xfId="5875"/>
    <cellStyle name="20% - akcent 3 2 3 2 2 2 6" xfId="5876"/>
    <cellStyle name="20% - akcent 3 2 3 2 2 3" xfId="5877"/>
    <cellStyle name="20% - akcent 3 2 3 2 2 3 2" xfId="5878"/>
    <cellStyle name="20% - akcent 3 2 3 2 2 3 2 2" xfId="5879"/>
    <cellStyle name="20% - akcent 3 2 3 2 2 3 3" xfId="5880"/>
    <cellStyle name="20% - akcent 3 2 3 2 2 4" xfId="5881"/>
    <cellStyle name="20% - akcent 3 2 3 2 2 4 2" xfId="5882"/>
    <cellStyle name="20% - akcent 3 2 3 2 2 4 2 2" xfId="5883"/>
    <cellStyle name="20% - akcent 3 2 3 2 2 4 3" xfId="5884"/>
    <cellStyle name="20% - akcent 3 2 3 2 2 5" xfId="5885"/>
    <cellStyle name="20% - akcent 3 2 3 2 2 5 2" xfId="5886"/>
    <cellStyle name="20% - akcent 3 2 3 2 2 5 2 2" xfId="5887"/>
    <cellStyle name="20% - akcent 3 2 3 2 2 5 3" xfId="5888"/>
    <cellStyle name="20% - akcent 3 2 3 2 2 6" xfId="5889"/>
    <cellStyle name="20% - akcent 3 2 3 2 2 6 2" xfId="5890"/>
    <cellStyle name="20% - akcent 3 2 3 2 2 7" xfId="5891"/>
    <cellStyle name="20% - akcent 3 2 3 2 3" xfId="5892"/>
    <cellStyle name="20% - akcent 3 2 3 2 3 2" xfId="5893"/>
    <cellStyle name="20% - akcent 3 2 3 2 3 2 2" xfId="5894"/>
    <cellStyle name="20% - akcent 3 2 3 2 3 2 2 2" xfId="5895"/>
    <cellStyle name="20% - akcent 3 2 3 2 3 2 3" xfId="5896"/>
    <cellStyle name="20% - akcent 3 2 3 2 3 3" xfId="5897"/>
    <cellStyle name="20% - akcent 3 2 3 2 3 3 2" xfId="5898"/>
    <cellStyle name="20% - akcent 3 2 3 2 3 3 2 2" xfId="5899"/>
    <cellStyle name="20% - akcent 3 2 3 2 3 3 3" xfId="5900"/>
    <cellStyle name="20% - akcent 3 2 3 2 3 4" xfId="5901"/>
    <cellStyle name="20% - akcent 3 2 3 2 3 4 2" xfId="5902"/>
    <cellStyle name="20% - akcent 3 2 3 2 3 4 2 2" xfId="5903"/>
    <cellStyle name="20% - akcent 3 2 3 2 3 4 3" xfId="5904"/>
    <cellStyle name="20% - akcent 3 2 3 2 3 5" xfId="5905"/>
    <cellStyle name="20% - akcent 3 2 3 2 3 5 2" xfId="5906"/>
    <cellStyle name="20% - akcent 3 2 3 2 3 6" xfId="5907"/>
    <cellStyle name="20% - akcent 3 2 3 2 4" xfId="5908"/>
    <cellStyle name="20% - akcent 3 2 3 2 4 2" xfId="5909"/>
    <cellStyle name="20% - akcent 3 2 3 2 4 2 2" xfId="5910"/>
    <cellStyle name="20% - akcent 3 2 3 2 4 2 2 2" xfId="5911"/>
    <cellStyle name="20% - akcent 3 2 3 2 4 2 3" xfId="5912"/>
    <cellStyle name="20% - akcent 3 2 3 2 4 3" xfId="5913"/>
    <cellStyle name="20% - akcent 3 2 3 2 4 3 2" xfId="5914"/>
    <cellStyle name="20% - akcent 3 2 3 2 4 3 2 2" xfId="5915"/>
    <cellStyle name="20% - akcent 3 2 3 2 4 3 3" xfId="5916"/>
    <cellStyle name="20% - akcent 3 2 3 2 4 4" xfId="5917"/>
    <cellStyle name="20% - akcent 3 2 3 2 4 4 2" xfId="5918"/>
    <cellStyle name="20% - akcent 3 2 3 2 4 4 2 2" xfId="5919"/>
    <cellStyle name="20% - akcent 3 2 3 2 4 4 3" xfId="5920"/>
    <cellStyle name="20% - akcent 3 2 3 2 4 5" xfId="5921"/>
    <cellStyle name="20% - akcent 3 2 3 2 4 5 2" xfId="5922"/>
    <cellStyle name="20% - akcent 3 2 3 2 4 6" xfId="5923"/>
    <cellStyle name="20% - akcent 3 2 3 2 5" xfId="5924"/>
    <cellStyle name="20% - akcent 3 2 3 2 5 2" xfId="5925"/>
    <cellStyle name="20% - akcent 3 2 3 2 5 2 2" xfId="5926"/>
    <cellStyle name="20% - akcent 3 2 3 2 5 2 2 2" xfId="5927"/>
    <cellStyle name="20% - akcent 3 2 3 2 5 2 3" xfId="5928"/>
    <cellStyle name="20% - akcent 3 2 3 2 5 3" xfId="5929"/>
    <cellStyle name="20% - akcent 3 2 3 2 5 3 2" xfId="5930"/>
    <cellStyle name="20% - akcent 3 2 3 2 5 3 2 2" xfId="5931"/>
    <cellStyle name="20% - akcent 3 2 3 2 5 3 3" xfId="5932"/>
    <cellStyle name="20% - akcent 3 2 3 2 5 4" xfId="5933"/>
    <cellStyle name="20% - akcent 3 2 3 2 5 4 2" xfId="5934"/>
    <cellStyle name="20% - akcent 3 2 3 2 5 4 2 2" xfId="5935"/>
    <cellStyle name="20% - akcent 3 2 3 2 5 4 3" xfId="5936"/>
    <cellStyle name="20% - akcent 3 2 3 2 5 5" xfId="5937"/>
    <cellStyle name="20% - akcent 3 2 3 2 5 5 2" xfId="5938"/>
    <cellStyle name="20% - akcent 3 2 3 2 5 6" xfId="5939"/>
    <cellStyle name="20% - akcent 3 2 3 3" xfId="5940"/>
    <cellStyle name="20% - akcent 3 2 3 3 2" xfId="5941"/>
    <cellStyle name="20% - akcent 3 2 3 3 2 2" xfId="5942"/>
    <cellStyle name="20% - akcent 3 2 3 3 2 2 2" xfId="5943"/>
    <cellStyle name="20% - akcent 3 2 3 3 2 2 2 2" xfId="5944"/>
    <cellStyle name="20% - akcent 3 2 3 3 2 2 3" xfId="5945"/>
    <cellStyle name="20% - akcent 3 2 3 3 2 3" xfId="5946"/>
    <cellStyle name="20% - akcent 3 2 3 3 2 3 2" xfId="5947"/>
    <cellStyle name="20% - akcent 3 2 3 3 2 3 2 2" xfId="5948"/>
    <cellStyle name="20% - akcent 3 2 3 3 2 3 3" xfId="5949"/>
    <cellStyle name="20% - akcent 3 2 3 3 2 4" xfId="5950"/>
    <cellStyle name="20% - akcent 3 2 3 3 2 4 2" xfId="5951"/>
    <cellStyle name="20% - akcent 3 2 3 3 2 4 2 2" xfId="5952"/>
    <cellStyle name="20% - akcent 3 2 3 3 2 4 3" xfId="5953"/>
    <cellStyle name="20% - akcent 3 2 3 3 2 5" xfId="5954"/>
    <cellStyle name="20% - akcent 3 2 3 3 2 5 2" xfId="5955"/>
    <cellStyle name="20% - akcent 3 2 3 3 2 6" xfId="5956"/>
    <cellStyle name="20% - akcent 3 2 3 3 3" xfId="5957"/>
    <cellStyle name="20% - akcent 3 2 3 3 3 2" xfId="5958"/>
    <cellStyle name="20% - akcent 3 2 3 3 3 2 2" xfId="5959"/>
    <cellStyle name="20% - akcent 3 2 3 3 3 3" xfId="5960"/>
    <cellStyle name="20% - akcent 3 2 3 3 4" xfId="5961"/>
    <cellStyle name="20% - akcent 3 2 3 3 4 2" xfId="5962"/>
    <cellStyle name="20% - akcent 3 2 3 3 4 2 2" xfId="5963"/>
    <cellStyle name="20% - akcent 3 2 3 3 4 3" xfId="5964"/>
    <cellStyle name="20% - akcent 3 2 3 3 5" xfId="5965"/>
    <cellStyle name="20% - akcent 3 2 3 3 5 2" xfId="5966"/>
    <cellStyle name="20% - akcent 3 2 3 3 5 2 2" xfId="5967"/>
    <cellStyle name="20% - akcent 3 2 3 3 5 3" xfId="5968"/>
    <cellStyle name="20% - akcent 3 2 3 3 6" xfId="5969"/>
    <cellStyle name="20% - akcent 3 2 3 3 6 2" xfId="5970"/>
    <cellStyle name="20% - akcent 3 2 3 3 7" xfId="5971"/>
    <cellStyle name="20% - akcent 3 2 3 4" xfId="5972"/>
    <cellStyle name="20% - akcent 3 2 3 4 2" xfId="5973"/>
    <cellStyle name="20% - akcent 3 2 3 4 2 2" xfId="5974"/>
    <cellStyle name="20% - akcent 3 2 3 4 2 2 2" xfId="5975"/>
    <cellStyle name="20% - akcent 3 2 3 4 2 3" xfId="5976"/>
    <cellStyle name="20% - akcent 3 2 3 4 3" xfId="5977"/>
    <cellStyle name="20% - akcent 3 2 3 4 3 2" xfId="5978"/>
    <cellStyle name="20% - akcent 3 2 3 4 3 2 2" xfId="5979"/>
    <cellStyle name="20% - akcent 3 2 3 4 3 3" xfId="5980"/>
    <cellStyle name="20% - akcent 3 2 3 4 4" xfId="5981"/>
    <cellStyle name="20% - akcent 3 2 3 4 4 2" xfId="5982"/>
    <cellStyle name="20% - akcent 3 2 3 4 4 2 2" xfId="5983"/>
    <cellStyle name="20% - akcent 3 2 3 4 4 3" xfId="5984"/>
    <cellStyle name="20% - akcent 3 2 3 4 5" xfId="5985"/>
    <cellStyle name="20% - akcent 3 2 3 4 5 2" xfId="5986"/>
    <cellStyle name="20% - akcent 3 2 3 4 6" xfId="5987"/>
    <cellStyle name="20% - akcent 3 2 3 5" xfId="5988"/>
    <cellStyle name="20% - akcent 3 2 3 5 2" xfId="5989"/>
    <cellStyle name="20% - akcent 3 2 3 5 2 2" xfId="5990"/>
    <cellStyle name="20% - akcent 3 2 3 5 2 2 2" xfId="5991"/>
    <cellStyle name="20% - akcent 3 2 3 5 2 3" xfId="5992"/>
    <cellStyle name="20% - akcent 3 2 3 5 3" xfId="5993"/>
    <cellStyle name="20% - akcent 3 2 3 5 3 2" xfId="5994"/>
    <cellStyle name="20% - akcent 3 2 3 5 3 2 2" xfId="5995"/>
    <cellStyle name="20% - akcent 3 2 3 5 3 3" xfId="5996"/>
    <cellStyle name="20% - akcent 3 2 3 5 4" xfId="5997"/>
    <cellStyle name="20% - akcent 3 2 3 5 4 2" xfId="5998"/>
    <cellStyle name="20% - akcent 3 2 3 5 4 2 2" xfId="5999"/>
    <cellStyle name="20% - akcent 3 2 3 5 4 3" xfId="6000"/>
    <cellStyle name="20% - akcent 3 2 3 5 5" xfId="6001"/>
    <cellStyle name="20% - akcent 3 2 3 5 5 2" xfId="6002"/>
    <cellStyle name="20% - akcent 3 2 3 5 6" xfId="6003"/>
    <cellStyle name="20% - akcent 3 2 3 6" xfId="6004"/>
    <cellStyle name="20% - akcent 3 2 3 6 2" xfId="6005"/>
    <cellStyle name="20% - akcent 3 2 3 6 2 2" xfId="6006"/>
    <cellStyle name="20% - akcent 3 2 3 6 2 2 2" xfId="6007"/>
    <cellStyle name="20% - akcent 3 2 3 6 2 3" xfId="6008"/>
    <cellStyle name="20% - akcent 3 2 3 6 3" xfId="6009"/>
    <cellStyle name="20% - akcent 3 2 3 6 3 2" xfId="6010"/>
    <cellStyle name="20% - akcent 3 2 3 6 3 2 2" xfId="6011"/>
    <cellStyle name="20% - akcent 3 2 3 6 3 3" xfId="6012"/>
    <cellStyle name="20% - akcent 3 2 3 6 4" xfId="6013"/>
    <cellStyle name="20% - akcent 3 2 3 6 4 2" xfId="6014"/>
    <cellStyle name="20% - akcent 3 2 3 6 4 2 2" xfId="6015"/>
    <cellStyle name="20% - akcent 3 2 3 6 4 3" xfId="6016"/>
    <cellStyle name="20% - akcent 3 2 3 6 5" xfId="6017"/>
    <cellStyle name="20% - akcent 3 2 3 6 5 2" xfId="6018"/>
    <cellStyle name="20% - akcent 3 2 3 6 6" xfId="6019"/>
    <cellStyle name="20% - akcent 3 2 3_2011'05 Raport PGE_DO-CO2" xfId="6020"/>
    <cellStyle name="20% - akcent 3 2 4" xfId="6021"/>
    <cellStyle name="20% - akcent 3 2 4 2" xfId="6022"/>
    <cellStyle name="20% - akcent 3 2 4 2 2" xfId="6023"/>
    <cellStyle name="20% - akcent 3 2 4 2 2 2" xfId="6024"/>
    <cellStyle name="20% - akcent 3 2 4 2 2 2 2" xfId="6025"/>
    <cellStyle name="20% - akcent 3 2 4 2 2 2 2 2" xfId="6026"/>
    <cellStyle name="20% - akcent 3 2 4 2 2 2 2 2 2" xfId="6027"/>
    <cellStyle name="20% - akcent 3 2 4 2 2 2 2 3" xfId="6028"/>
    <cellStyle name="20% - akcent 3 2 4 2 2 2 3" xfId="6029"/>
    <cellStyle name="20% - akcent 3 2 4 2 2 2 3 2" xfId="6030"/>
    <cellStyle name="20% - akcent 3 2 4 2 2 2 3 2 2" xfId="6031"/>
    <cellStyle name="20% - akcent 3 2 4 2 2 2 3 3" xfId="6032"/>
    <cellStyle name="20% - akcent 3 2 4 2 2 2 4" xfId="6033"/>
    <cellStyle name="20% - akcent 3 2 4 2 2 2 4 2" xfId="6034"/>
    <cellStyle name="20% - akcent 3 2 4 2 2 2 4 2 2" xfId="6035"/>
    <cellStyle name="20% - akcent 3 2 4 2 2 2 4 3" xfId="6036"/>
    <cellStyle name="20% - akcent 3 2 4 2 2 2 5" xfId="6037"/>
    <cellStyle name="20% - akcent 3 2 4 2 2 2 5 2" xfId="6038"/>
    <cellStyle name="20% - akcent 3 2 4 2 2 2 6" xfId="6039"/>
    <cellStyle name="20% - akcent 3 2 4 2 2 3" xfId="6040"/>
    <cellStyle name="20% - akcent 3 2 4 2 2 3 2" xfId="6041"/>
    <cellStyle name="20% - akcent 3 2 4 2 2 3 2 2" xfId="6042"/>
    <cellStyle name="20% - akcent 3 2 4 2 2 3 3" xfId="6043"/>
    <cellStyle name="20% - akcent 3 2 4 2 2 4" xfId="6044"/>
    <cellStyle name="20% - akcent 3 2 4 2 2 4 2" xfId="6045"/>
    <cellStyle name="20% - akcent 3 2 4 2 2 4 2 2" xfId="6046"/>
    <cellStyle name="20% - akcent 3 2 4 2 2 4 3" xfId="6047"/>
    <cellStyle name="20% - akcent 3 2 4 2 2 5" xfId="6048"/>
    <cellStyle name="20% - akcent 3 2 4 2 2 5 2" xfId="6049"/>
    <cellStyle name="20% - akcent 3 2 4 2 2 5 2 2" xfId="6050"/>
    <cellStyle name="20% - akcent 3 2 4 2 2 5 3" xfId="6051"/>
    <cellStyle name="20% - akcent 3 2 4 2 2 6" xfId="6052"/>
    <cellStyle name="20% - akcent 3 2 4 2 2 6 2" xfId="6053"/>
    <cellStyle name="20% - akcent 3 2 4 2 2 7" xfId="6054"/>
    <cellStyle name="20% - akcent 3 2 4 2 3" xfId="6055"/>
    <cellStyle name="20% - akcent 3 2 4 2 3 2" xfId="6056"/>
    <cellStyle name="20% - akcent 3 2 4 2 3 2 2" xfId="6057"/>
    <cellStyle name="20% - akcent 3 2 4 2 3 2 2 2" xfId="6058"/>
    <cellStyle name="20% - akcent 3 2 4 2 3 2 3" xfId="6059"/>
    <cellStyle name="20% - akcent 3 2 4 2 3 3" xfId="6060"/>
    <cellStyle name="20% - akcent 3 2 4 2 3 3 2" xfId="6061"/>
    <cellStyle name="20% - akcent 3 2 4 2 3 3 2 2" xfId="6062"/>
    <cellStyle name="20% - akcent 3 2 4 2 3 3 3" xfId="6063"/>
    <cellStyle name="20% - akcent 3 2 4 2 3 4" xfId="6064"/>
    <cellStyle name="20% - akcent 3 2 4 2 3 4 2" xfId="6065"/>
    <cellStyle name="20% - akcent 3 2 4 2 3 4 2 2" xfId="6066"/>
    <cellStyle name="20% - akcent 3 2 4 2 3 4 3" xfId="6067"/>
    <cellStyle name="20% - akcent 3 2 4 2 3 5" xfId="6068"/>
    <cellStyle name="20% - akcent 3 2 4 2 3 5 2" xfId="6069"/>
    <cellStyle name="20% - akcent 3 2 4 2 3 6" xfId="6070"/>
    <cellStyle name="20% - akcent 3 2 4 2 4" xfId="6071"/>
    <cellStyle name="20% - akcent 3 2 4 2 4 2" xfId="6072"/>
    <cellStyle name="20% - akcent 3 2 4 2 4 2 2" xfId="6073"/>
    <cellStyle name="20% - akcent 3 2 4 2 4 2 2 2" xfId="6074"/>
    <cellStyle name="20% - akcent 3 2 4 2 4 2 3" xfId="6075"/>
    <cellStyle name="20% - akcent 3 2 4 2 4 3" xfId="6076"/>
    <cellStyle name="20% - akcent 3 2 4 2 4 3 2" xfId="6077"/>
    <cellStyle name="20% - akcent 3 2 4 2 4 3 2 2" xfId="6078"/>
    <cellStyle name="20% - akcent 3 2 4 2 4 3 3" xfId="6079"/>
    <cellStyle name="20% - akcent 3 2 4 2 4 4" xfId="6080"/>
    <cellStyle name="20% - akcent 3 2 4 2 4 4 2" xfId="6081"/>
    <cellStyle name="20% - akcent 3 2 4 2 4 4 2 2" xfId="6082"/>
    <cellStyle name="20% - akcent 3 2 4 2 4 4 3" xfId="6083"/>
    <cellStyle name="20% - akcent 3 2 4 2 4 5" xfId="6084"/>
    <cellStyle name="20% - akcent 3 2 4 2 4 5 2" xfId="6085"/>
    <cellStyle name="20% - akcent 3 2 4 2 4 6" xfId="6086"/>
    <cellStyle name="20% - akcent 3 2 4 2 5" xfId="6087"/>
    <cellStyle name="20% - akcent 3 2 4 2 5 2" xfId="6088"/>
    <cellStyle name="20% - akcent 3 2 4 2 5 2 2" xfId="6089"/>
    <cellStyle name="20% - akcent 3 2 4 2 5 3" xfId="6090"/>
    <cellStyle name="20% - akcent 3 2 4 2 6" xfId="6091"/>
    <cellStyle name="20% - akcent 3 2 4 2 6 2" xfId="6092"/>
    <cellStyle name="20% - akcent 3 2 4 2 6 2 2" xfId="6093"/>
    <cellStyle name="20% - akcent 3 2 4 2 6 3" xfId="6094"/>
    <cellStyle name="20% - akcent 3 2 4 2 7" xfId="6095"/>
    <cellStyle name="20% - akcent 3 2 4 2 7 2" xfId="6096"/>
    <cellStyle name="20% - akcent 3 2 4 2 7 2 2" xfId="6097"/>
    <cellStyle name="20% - akcent 3 2 4 2 7 3" xfId="6098"/>
    <cellStyle name="20% - akcent 3 2 4 2 8" xfId="6099"/>
    <cellStyle name="20% - akcent 3 2 4 2 8 2" xfId="6100"/>
    <cellStyle name="20% - akcent 3 2 4 2 9" xfId="6101"/>
    <cellStyle name="20% - akcent 3 2 4 3" xfId="6102"/>
    <cellStyle name="20% - akcent 3 2 4 3 2" xfId="6103"/>
    <cellStyle name="20% - akcent 3 2 4 3 2 2" xfId="6104"/>
    <cellStyle name="20% - akcent 3 2 4 3 2 2 2" xfId="6105"/>
    <cellStyle name="20% - akcent 3 2 4 3 2 2 2 2" xfId="6106"/>
    <cellStyle name="20% - akcent 3 2 4 3 2 2 3" xfId="6107"/>
    <cellStyle name="20% - akcent 3 2 4 3 2 3" xfId="6108"/>
    <cellStyle name="20% - akcent 3 2 4 3 2 3 2" xfId="6109"/>
    <cellStyle name="20% - akcent 3 2 4 3 2 3 2 2" xfId="6110"/>
    <cellStyle name="20% - akcent 3 2 4 3 2 3 3" xfId="6111"/>
    <cellStyle name="20% - akcent 3 2 4 3 2 4" xfId="6112"/>
    <cellStyle name="20% - akcent 3 2 4 3 2 4 2" xfId="6113"/>
    <cellStyle name="20% - akcent 3 2 4 3 2 4 2 2" xfId="6114"/>
    <cellStyle name="20% - akcent 3 2 4 3 2 4 3" xfId="6115"/>
    <cellStyle name="20% - akcent 3 2 4 3 2 5" xfId="6116"/>
    <cellStyle name="20% - akcent 3 2 4 3 2 5 2" xfId="6117"/>
    <cellStyle name="20% - akcent 3 2 4 3 2 6" xfId="6118"/>
    <cellStyle name="20% - akcent 3 2 4 3 3" xfId="6119"/>
    <cellStyle name="20% - akcent 3 2 4 3 3 2" xfId="6120"/>
    <cellStyle name="20% - akcent 3 2 4 3 3 2 2" xfId="6121"/>
    <cellStyle name="20% - akcent 3 2 4 3 3 3" xfId="6122"/>
    <cellStyle name="20% - akcent 3 2 4 3 4" xfId="6123"/>
    <cellStyle name="20% - akcent 3 2 4 3 4 2" xfId="6124"/>
    <cellStyle name="20% - akcent 3 2 4 3 4 2 2" xfId="6125"/>
    <cellStyle name="20% - akcent 3 2 4 3 4 3" xfId="6126"/>
    <cellStyle name="20% - akcent 3 2 4 3 5" xfId="6127"/>
    <cellStyle name="20% - akcent 3 2 4 3 5 2" xfId="6128"/>
    <cellStyle name="20% - akcent 3 2 4 3 5 2 2" xfId="6129"/>
    <cellStyle name="20% - akcent 3 2 4 3 5 3" xfId="6130"/>
    <cellStyle name="20% - akcent 3 2 4 3 6" xfId="6131"/>
    <cellStyle name="20% - akcent 3 2 4 3 6 2" xfId="6132"/>
    <cellStyle name="20% - akcent 3 2 4 3 7" xfId="6133"/>
    <cellStyle name="20% - akcent 3 2 4 4" xfId="6134"/>
    <cellStyle name="20% - akcent 3 2 4 4 2" xfId="6135"/>
    <cellStyle name="20% - akcent 3 2 4 4 2 2" xfId="6136"/>
    <cellStyle name="20% - akcent 3 2 4 4 2 2 2" xfId="6137"/>
    <cellStyle name="20% - akcent 3 2 4 4 2 3" xfId="6138"/>
    <cellStyle name="20% - akcent 3 2 4 4 3" xfId="6139"/>
    <cellStyle name="20% - akcent 3 2 4 4 3 2" xfId="6140"/>
    <cellStyle name="20% - akcent 3 2 4 4 3 2 2" xfId="6141"/>
    <cellStyle name="20% - akcent 3 2 4 4 3 3" xfId="6142"/>
    <cellStyle name="20% - akcent 3 2 4 4 4" xfId="6143"/>
    <cellStyle name="20% - akcent 3 2 4 4 4 2" xfId="6144"/>
    <cellStyle name="20% - akcent 3 2 4 4 4 2 2" xfId="6145"/>
    <cellStyle name="20% - akcent 3 2 4 4 4 3" xfId="6146"/>
    <cellStyle name="20% - akcent 3 2 4 4 5" xfId="6147"/>
    <cellStyle name="20% - akcent 3 2 4 4 5 2" xfId="6148"/>
    <cellStyle name="20% - akcent 3 2 4 4 6" xfId="6149"/>
    <cellStyle name="20% - akcent 3 2 4 5" xfId="6150"/>
    <cellStyle name="20% - akcent 3 2 4 5 2" xfId="6151"/>
    <cellStyle name="20% - akcent 3 2 4 5 2 2" xfId="6152"/>
    <cellStyle name="20% - akcent 3 2 4 5 2 2 2" xfId="6153"/>
    <cellStyle name="20% - akcent 3 2 4 5 2 3" xfId="6154"/>
    <cellStyle name="20% - akcent 3 2 4 5 3" xfId="6155"/>
    <cellStyle name="20% - akcent 3 2 4 5 3 2" xfId="6156"/>
    <cellStyle name="20% - akcent 3 2 4 5 3 2 2" xfId="6157"/>
    <cellStyle name="20% - akcent 3 2 4 5 3 3" xfId="6158"/>
    <cellStyle name="20% - akcent 3 2 4 5 4" xfId="6159"/>
    <cellStyle name="20% - akcent 3 2 4 5 4 2" xfId="6160"/>
    <cellStyle name="20% - akcent 3 2 4 5 4 2 2" xfId="6161"/>
    <cellStyle name="20% - akcent 3 2 4 5 4 3" xfId="6162"/>
    <cellStyle name="20% - akcent 3 2 4 5 5" xfId="6163"/>
    <cellStyle name="20% - akcent 3 2 4 5 5 2" xfId="6164"/>
    <cellStyle name="20% - akcent 3 2 4 5 6" xfId="6165"/>
    <cellStyle name="20% - akcent 3 2 4 6" xfId="6166"/>
    <cellStyle name="20% - akcent 3 2 4 6 2" xfId="6167"/>
    <cellStyle name="20% - akcent 3 2 4 6 2 2" xfId="6168"/>
    <cellStyle name="20% - akcent 3 2 4 6 2 2 2" xfId="6169"/>
    <cellStyle name="20% - akcent 3 2 4 6 2 3" xfId="6170"/>
    <cellStyle name="20% - akcent 3 2 4 6 3" xfId="6171"/>
    <cellStyle name="20% - akcent 3 2 4 6 3 2" xfId="6172"/>
    <cellStyle name="20% - akcent 3 2 4 6 3 2 2" xfId="6173"/>
    <cellStyle name="20% - akcent 3 2 4 6 3 3" xfId="6174"/>
    <cellStyle name="20% - akcent 3 2 4 6 4" xfId="6175"/>
    <cellStyle name="20% - akcent 3 2 4 6 4 2" xfId="6176"/>
    <cellStyle name="20% - akcent 3 2 4 6 4 2 2" xfId="6177"/>
    <cellStyle name="20% - akcent 3 2 4 6 4 3" xfId="6178"/>
    <cellStyle name="20% - akcent 3 2 4 6 5" xfId="6179"/>
    <cellStyle name="20% - akcent 3 2 4 6 5 2" xfId="6180"/>
    <cellStyle name="20% - akcent 3 2 4 6 6" xfId="6181"/>
    <cellStyle name="20% - akcent 3 2 5" xfId="6182"/>
    <cellStyle name="20% - akcent 3 2 5 2" xfId="6183"/>
    <cellStyle name="20% - akcent 3 2 6" xfId="6184"/>
    <cellStyle name="20% - akcent 3 2 7" xfId="6185"/>
    <cellStyle name="20% - akcent 3 2 8" xfId="6186"/>
    <cellStyle name="20% - akcent 3 2 9" xfId="6187"/>
    <cellStyle name="20% - akcent 3 2_2011'05 Raport PGE_DO-CO2" xfId="6188"/>
    <cellStyle name="20% - akcent 3 3" xfId="6189"/>
    <cellStyle name="20% - akcent 3 3 10" xfId="6190"/>
    <cellStyle name="20% - akcent 3 3 10 2" xfId="6191"/>
    <cellStyle name="20% - akcent 3 3 10 2 2" xfId="6192"/>
    <cellStyle name="20% - akcent 3 3 10 2 2 2" xfId="6193"/>
    <cellStyle name="20% - akcent 3 3 10 2 3" xfId="6194"/>
    <cellStyle name="20% - akcent 3 3 10 3" xfId="6195"/>
    <cellStyle name="20% - akcent 3 3 10 3 2" xfId="6196"/>
    <cellStyle name="20% - akcent 3 3 10 3 2 2" xfId="6197"/>
    <cellStyle name="20% - akcent 3 3 10 3 3" xfId="6198"/>
    <cellStyle name="20% - akcent 3 3 10 4" xfId="6199"/>
    <cellStyle name="20% - akcent 3 3 10 4 2" xfId="6200"/>
    <cellStyle name="20% - akcent 3 3 10 4 2 2" xfId="6201"/>
    <cellStyle name="20% - akcent 3 3 10 4 3" xfId="6202"/>
    <cellStyle name="20% - akcent 3 3 10 5" xfId="6203"/>
    <cellStyle name="20% - akcent 3 3 10 5 2" xfId="6204"/>
    <cellStyle name="20% - akcent 3 3 10 6" xfId="6205"/>
    <cellStyle name="20% - akcent 3 3 2" xfId="6206"/>
    <cellStyle name="20% - akcent 3 3 2 2" xfId="6207"/>
    <cellStyle name="20% - akcent 3 3 2 2 10" xfId="6208"/>
    <cellStyle name="20% - akcent 3 3 2 2 2" xfId="6209"/>
    <cellStyle name="20% - akcent 3 3 2 2 2 2" xfId="6210"/>
    <cellStyle name="20% - akcent 3 3 2 2 2 2 2" xfId="6211"/>
    <cellStyle name="20% - akcent 3 3 2 2 2 2 2 2" xfId="6212"/>
    <cellStyle name="20% - akcent 3 3 2 2 2 2 2 2 2" xfId="6213"/>
    <cellStyle name="20% - akcent 3 3 2 2 2 2 2 2 2 2" xfId="6214"/>
    <cellStyle name="20% - akcent 3 3 2 2 2 2 2 2 3" xfId="6215"/>
    <cellStyle name="20% - akcent 3 3 2 2 2 2 2 3" xfId="6216"/>
    <cellStyle name="20% - akcent 3 3 2 2 2 2 2 3 2" xfId="6217"/>
    <cellStyle name="20% - akcent 3 3 2 2 2 2 2 3 2 2" xfId="6218"/>
    <cellStyle name="20% - akcent 3 3 2 2 2 2 2 3 3" xfId="6219"/>
    <cellStyle name="20% - akcent 3 3 2 2 2 2 2 4" xfId="6220"/>
    <cellStyle name="20% - akcent 3 3 2 2 2 2 2 4 2" xfId="6221"/>
    <cellStyle name="20% - akcent 3 3 2 2 2 2 2 4 2 2" xfId="6222"/>
    <cellStyle name="20% - akcent 3 3 2 2 2 2 2 4 3" xfId="6223"/>
    <cellStyle name="20% - akcent 3 3 2 2 2 2 2 5" xfId="6224"/>
    <cellStyle name="20% - akcent 3 3 2 2 2 2 2 5 2" xfId="6225"/>
    <cellStyle name="20% - akcent 3 3 2 2 2 2 2 6" xfId="6226"/>
    <cellStyle name="20% - akcent 3 3 2 2 2 2 3" xfId="6227"/>
    <cellStyle name="20% - akcent 3 3 2 2 2 2 3 2" xfId="6228"/>
    <cellStyle name="20% - akcent 3 3 2 2 2 2 3 2 2" xfId="6229"/>
    <cellStyle name="20% - akcent 3 3 2 2 2 2 3 3" xfId="6230"/>
    <cellStyle name="20% - akcent 3 3 2 2 2 2 4" xfId="6231"/>
    <cellStyle name="20% - akcent 3 3 2 2 2 2 4 2" xfId="6232"/>
    <cellStyle name="20% - akcent 3 3 2 2 2 2 4 2 2" xfId="6233"/>
    <cellStyle name="20% - akcent 3 3 2 2 2 2 4 3" xfId="6234"/>
    <cellStyle name="20% - akcent 3 3 2 2 2 2 5" xfId="6235"/>
    <cellStyle name="20% - akcent 3 3 2 2 2 2 5 2" xfId="6236"/>
    <cellStyle name="20% - akcent 3 3 2 2 2 2 5 2 2" xfId="6237"/>
    <cellStyle name="20% - akcent 3 3 2 2 2 2 5 3" xfId="6238"/>
    <cellStyle name="20% - akcent 3 3 2 2 2 2 6" xfId="6239"/>
    <cellStyle name="20% - akcent 3 3 2 2 2 2 6 2" xfId="6240"/>
    <cellStyle name="20% - akcent 3 3 2 2 2 2 7" xfId="6241"/>
    <cellStyle name="20% - akcent 3 3 2 2 2 3" xfId="6242"/>
    <cellStyle name="20% - akcent 3 3 2 2 2 3 2" xfId="6243"/>
    <cellStyle name="20% - akcent 3 3 2 2 2 3 2 2" xfId="6244"/>
    <cellStyle name="20% - akcent 3 3 2 2 2 3 2 2 2" xfId="6245"/>
    <cellStyle name="20% - akcent 3 3 2 2 2 3 2 3" xfId="6246"/>
    <cellStyle name="20% - akcent 3 3 2 2 2 3 3" xfId="6247"/>
    <cellStyle name="20% - akcent 3 3 2 2 2 3 3 2" xfId="6248"/>
    <cellStyle name="20% - akcent 3 3 2 2 2 3 3 2 2" xfId="6249"/>
    <cellStyle name="20% - akcent 3 3 2 2 2 3 3 3" xfId="6250"/>
    <cellStyle name="20% - akcent 3 3 2 2 2 3 4" xfId="6251"/>
    <cellStyle name="20% - akcent 3 3 2 2 2 3 4 2" xfId="6252"/>
    <cellStyle name="20% - akcent 3 3 2 2 2 3 4 2 2" xfId="6253"/>
    <cellStyle name="20% - akcent 3 3 2 2 2 3 4 3" xfId="6254"/>
    <cellStyle name="20% - akcent 3 3 2 2 2 3 5" xfId="6255"/>
    <cellStyle name="20% - akcent 3 3 2 2 2 3 5 2" xfId="6256"/>
    <cellStyle name="20% - akcent 3 3 2 2 2 3 6" xfId="6257"/>
    <cellStyle name="20% - akcent 3 3 2 2 2 4" xfId="6258"/>
    <cellStyle name="20% - akcent 3 3 2 2 2 4 2" xfId="6259"/>
    <cellStyle name="20% - akcent 3 3 2 2 2 4 2 2" xfId="6260"/>
    <cellStyle name="20% - akcent 3 3 2 2 2 4 2 2 2" xfId="6261"/>
    <cellStyle name="20% - akcent 3 3 2 2 2 4 2 3" xfId="6262"/>
    <cellStyle name="20% - akcent 3 3 2 2 2 4 3" xfId="6263"/>
    <cellStyle name="20% - akcent 3 3 2 2 2 4 3 2" xfId="6264"/>
    <cellStyle name="20% - akcent 3 3 2 2 2 4 3 2 2" xfId="6265"/>
    <cellStyle name="20% - akcent 3 3 2 2 2 4 3 3" xfId="6266"/>
    <cellStyle name="20% - akcent 3 3 2 2 2 4 4" xfId="6267"/>
    <cellStyle name="20% - akcent 3 3 2 2 2 4 4 2" xfId="6268"/>
    <cellStyle name="20% - akcent 3 3 2 2 2 4 4 2 2" xfId="6269"/>
    <cellStyle name="20% - akcent 3 3 2 2 2 4 4 3" xfId="6270"/>
    <cellStyle name="20% - akcent 3 3 2 2 2 4 5" xfId="6271"/>
    <cellStyle name="20% - akcent 3 3 2 2 2 4 5 2" xfId="6272"/>
    <cellStyle name="20% - akcent 3 3 2 2 2 4 6" xfId="6273"/>
    <cellStyle name="20% - akcent 3 3 2 2 2 5" xfId="6274"/>
    <cellStyle name="20% - akcent 3 3 2 2 2 5 2" xfId="6275"/>
    <cellStyle name="20% - akcent 3 3 2 2 2 5 2 2" xfId="6276"/>
    <cellStyle name="20% - akcent 3 3 2 2 2 5 3" xfId="6277"/>
    <cellStyle name="20% - akcent 3 3 2 2 2 6" xfId="6278"/>
    <cellStyle name="20% - akcent 3 3 2 2 2 6 2" xfId="6279"/>
    <cellStyle name="20% - akcent 3 3 2 2 2 6 2 2" xfId="6280"/>
    <cellStyle name="20% - akcent 3 3 2 2 2 6 3" xfId="6281"/>
    <cellStyle name="20% - akcent 3 3 2 2 2 7" xfId="6282"/>
    <cellStyle name="20% - akcent 3 3 2 2 2 7 2" xfId="6283"/>
    <cellStyle name="20% - akcent 3 3 2 2 2 7 2 2" xfId="6284"/>
    <cellStyle name="20% - akcent 3 3 2 2 2 7 3" xfId="6285"/>
    <cellStyle name="20% - akcent 3 3 2 2 2 8" xfId="6286"/>
    <cellStyle name="20% - akcent 3 3 2 2 2 8 2" xfId="6287"/>
    <cellStyle name="20% - akcent 3 3 2 2 2 9" xfId="6288"/>
    <cellStyle name="20% - akcent 3 3 2 2 3" xfId="6289"/>
    <cellStyle name="20% - akcent 3 3 2 2 3 2" xfId="6290"/>
    <cellStyle name="20% - akcent 3 3 2 2 3 2 2" xfId="6291"/>
    <cellStyle name="20% - akcent 3 3 2 2 3 2 2 2" xfId="6292"/>
    <cellStyle name="20% - akcent 3 3 2 2 3 2 2 2 2" xfId="6293"/>
    <cellStyle name="20% - akcent 3 3 2 2 3 2 2 3" xfId="6294"/>
    <cellStyle name="20% - akcent 3 3 2 2 3 2 3" xfId="6295"/>
    <cellStyle name="20% - akcent 3 3 2 2 3 2 3 2" xfId="6296"/>
    <cellStyle name="20% - akcent 3 3 2 2 3 2 3 2 2" xfId="6297"/>
    <cellStyle name="20% - akcent 3 3 2 2 3 2 3 3" xfId="6298"/>
    <cellStyle name="20% - akcent 3 3 2 2 3 2 4" xfId="6299"/>
    <cellStyle name="20% - akcent 3 3 2 2 3 2 4 2" xfId="6300"/>
    <cellStyle name="20% - akcent 3 3 2 2 3 2 4 2 2" xfId="6301"/>
    <cellStyle name="20% - akcent 3 3 2 2 3 2 4 3" xfId="6302"/>
    <cellStyle name="20% - akcent 3 3 2 2 3 2 5" xfId="6303"/>
    <cellStyle name="20% - akcent 3 3 2 2 3 2 5 2" xfId="6304"/>
    <cellStyle name="20% - akcent 3 3 2 2 3 2 6" xfId="6305"/>
    <cellStyle name="20% - akcent 3 3 2 2 3 3" xfId="6306"/>
    <cellStyle name="20% - akcent 3 3 2 2 3 3 2" xfId="6307"/>
    <cellStyle name="20% - akcent 3 3 2 2 3 3 2 2" xfId="6308"/>
    <cellStyle name="20% - akcent 3 3 2 2 3 3 3" xfId="6309"/>
    <cellStyle name="20% - akcent 3 3 2 2 3 4" xfId="6310"/>
    <cellStyle name="20% - akcent 3 3 2 2 3 4 2" xfId="6311"/>
    <cellStyle name="20% - akcent 3 3 2 2 3 4 2 2" xfId="6312"/>
    <cellStyle name="20% - akcent 3 3 2 2 3 4 3" xfId="6313"/>
    <cellStyle name="20% - akcent 3 3 2 2 3 5" xfId="6314"/>
    <cellStyle name="20% - akcent 3 3 2 2 3 5 2" xfId="6315"/>
    <cellStyle name="20% - akcent 3 3 2 2 3 5 2 2" xfId="6316"/>
    <cellStyle name="20% - akcent 3 3 2 2 3 5 3" xfId="6317"/>
    <cellStyle name="20% - akcent 3 3 2 2 3 6" xfId="6318"/>
    <cellStyle name="20% - akcent 3 3 2 2 3 6 2" xfId="6319"/>
    <cellStyle name="20% - akcent 3 3 2 2 3 7" xfId="6320"/>
    <cellStyle name="20% - akcent 3 3 2 2 4" xfId="6321"/>
    <cellStyle name="20% - akcent 3 3 2 2 4 2" xfId="6322"/>
    <cellStyle name="20% - akcent 3 3 2 2 4 2 2" xfId="6323"/>
    <cellStyle name="20% - akcent 3 3 2 2 4 2 2 2" xfId="6324"/>
    <cellStyle name="20% - akcent 3 3 2 2 4 2 3" xfId="6325"/>
    <cellStyle name="20% - akcent 3 3 2 2 4 3" xfId="6326"/>
    <cellStyle name="20% - akcent 3 3 2 2 4 3 2" xfId="6327"/>
    <cellStyle name="20% - akcent 3 3 2 2 4 3 2 2" xfId="6328"/>
    <cellStyle name="20% - akcent 3 3 2 2 4 3 3" xfId="6329"/>
    <cellStyle name="20% - akcent 3 3 2 2 4 4" xfId="6330"/>
    <cellStyle name="20% - akcent 3 3 2 2 4 4 2" xfId="6331"/>
    <cellStyle name="20% - akcent 3 3 2 2 4 4 2 2" xfId="6332"/>
    <cellStyle name="20% - akcent 3 3 2 2 4 4 3" xfId="6333"/>
    <cellStyle name="20% - akcent 3 3 2 2 4 5" xfId="6334"/>
    <cellStyle name="20% - akcent 3 3 2 2 4 5 2" xfId="6335"/>
    <cellStyle name="20% - akcent 3 3 2 2 4 6" xfId="6336"/>
    <cellStyle name="20% - akcent 3 3 2 2 5" xfId="6337"/>
    <cellStyle name="20% - akcent 3 3 2 2 5 2" xfId="6338"/>
    <cellStyle name="20% - akcent 3 3 2 2 5 2 2" xfId="6339"/>
    <cellStyle name="20% - akcent 3 3 2 2 5 2 2 2" xfId="6340"/>
    <cellStyle name="20% - akcent 3 3 2 2 5 2 3" xfId="6341"/>
    <cellStyle name="20% - akcent 3 3 2 2 5 3" xfId="6342"/>
    <cellStyle name="20% - akcent 3 3 2 2 5 3 2" xfId="6343"/>
    <cellStyle name="20% - akcent 3 3 2 2 5 3 2 2" xfId="6344"/>
    <cellStyle name="20% - akcent 3 3 2 2 5 3 3" xfId="6345"/>
    <cellStyle name="20% - akcent 3 3 2 2 5 4" xfId="6346"/>
    <cellStyle name="20% - akcent 3 3 2 2 5 4 2" xfId="6347"/>
    <cellStyle name="20% - akcent 3 3 2 2 5 4 2 2" xfId="6348"/>
    <cellStyle name="20% - akcent 3 3 2 2 5 4 3" xfId="6349"/>
    <cellStyle name="20% - akcent 3 3 2 2 5 5" xfId="6350"/>
    <cellStyle name="20% - akcent 3 3 2 2 5 5 2" xfId="6351"/>
    <cellStyle name="20% - akcent 3 3 2 2 5 6" xfId="6352"/>
    <cellStyle name="20% - akcent 3 3 2 2 6" xfId="6353"/>
    <cellStyle name="20% - akcent 3 3 2 2 6 2" xfId="6354"/>
    <cellStyle name="20% - akcent 3 3 2 2 6 2 2" xfId="6355"/>
    <cellStyle name="20% - akcent 3 3 2 2 6 3" xfId="6356"/>
    <cellStyle name="20% - akcent 3 3 2 2 7" xfId="6357"/>
    <cellStyle name="20% - akcent 3 3 2 2 7 2" xfId="6358"/>
    <cellStyle name="20% - akcent 3 3 2 2 7 2 2" xfId="6359"/>
    <cellStyle name="20% - akcent 3 3 2 2 7 3" xfId="6360"/>
    <cellStyle name="20% - akcent 3 3 2 2 8" xfId="6361"/>
    <cellStyle name="20% - akcent 3 3 2 2 8 2" xfId="6362"/>
    <cellStyle name="20% - akcent 3 3 2 2 8 2 2" xfId="6363"/>
    <cellStyle name="20% - akcent 3 3 2 2 8 3" xfId="6364"/>
    <cellStyle name="20% - akcent 3 3 2 2 9" xfId="6365"/>
    <cellStyle name="20% - akcent 3 3 2 2 9 2" xfId="6366"/>
    <cellStyle name="20% - akcent 3 3 2 3" xfId="6367"/>
    <cellStyle name="20% - akcent 3 3 2 3 2" xfId="6368"/>
    <cellStyle name="20% - akcent 3 3 2 3 2 2" xfId="6369"/>
    <cellStyle name="20% - akcent 3 3 2 3 2 2 2" xfId="6370"/>
    <cellStyle name="20% - akcent 3 3 2 3 2 2 2 2" xfId="6371"/>
    <cellStyle name="20% - akcent 3 3 2 3 2 2 2 2 2" xfId="6372"/>
    <cellStyle name="20% - akcent 3 3 2 3 2 2 2 3" xfId="6373"/>
    <cellStyle name="20% - akcent 3 3 2 3 2 2 3" xfId="6374"/>
    <cellStyle name="20% - akcent 3 3 2 3 2 2 3 2" xfId="6375"/>
    <cellStyle name="20% - akcent 3 3 2 3 2 2 3 2 2" xfId="6376"/>
    <cellStyle name="20% - akcent 3 3 2 3 2 2 3 3" xfId="6377"/>
    <cellStyle name="20% - akcent 3 3 2 3 2 2 4" xfId="6378"/>
    <cellStyle name="20% - akcent 3 3 2 3 2 2 4 2" xfId="6379"/>
    <cellStyle name="20% - akcent 3 3 2 3 2 2 4 2 2" xfId="6380"/>
    <cellStyle name="20% - akcent 3 3 2 3 2 2 4 3" xfId="6381"/>
    <cellStyle name="20% - akcent 3 3 2 3 2 2 5" xfId="6382"/>
    <cellStyle name="20% - akcent 3 3 2 3 2 2 5 2" xfId="6383"/>
    <cellStyle name="20% - akcent 3 3 2 3 2 2 6" xfId="6384"/>
    <cellStyle name="20% - akcent 3 3 2 3 2 3" xfId="6385"/>
    <cellStyle name="20% - akcent 3 3 2 3 2 3 2" xfId="6386"/>
    <cellStyle name="20% - akcent 3 3 2 3 2 3 2 2" xfId="6387"/>
    <cellStyle name="20% - akcent 3 3 2 3 2 3 3" xfId="6388"/>
    <cellStyle name="20% - akcent 3 3 2 3 2 4" xfId="6389"/>
    <cellStyle name="20% - akcent 3 3 2 3 2 4 2" xfId="6390"/>
    <cellStyle name="20% - akcent 3 3 2 3 2 4 2 2" xfId="6391"/>
    <cellStyle name="20% - akcent 3 3 2 3 2 4 3" xfId="6392"/>
    <cellStyle name="20% - akcent 3 3 2 3 2 5" xfId="6393"/>
    <cellStyle name="20% - akcent 3 3 2 3 2 5 2" xfId="6394"/>
    <cellStyle name="20% - akcent 3 3 2 3 2 5 2 2" xfId="6395"/>
    <cellStyle name="20% - akcent 3 3 2 3 2 5 3" xfId="6396"/>
    <cellStyle name="20% - akcent 3 3 2 3 2 6" xfId="6397"/>
    <cellStyle name="20% - akcent 3 3 2 3 2 6 2" xfId="6398"/>
    <cellStyle name="20% - akcent 3 3 2 3 2 7" xfId="6399"/>
    <cellStyle name="20% - akcent 3 3 2 3 3" xfId="6400"/>
    <cellStyle name="20% - akcent 3 3 2 3 3 2" xfId="6401"/>
    <cellStyle name="20% - akcent 3 3 2 3 3 2 2" xfId="6402"/>
    <cellStyle name="20% - akcent 3 3 2 3 3 2 2 2" xfId="6403"/>
    <cellStyle name="20% - akcent 3 3 2 3 3 2 3" xfId="6404"/>
    <cellStyle name="20% - akcent 3 3 2 3 3 3" xfId="6405"/>
    <cellStyle name="20% - akcent 3 3 2 3 3 3 2" xfId="6406"/>
    <cellStyle name="20% - akcent 3 3 2 3 3 3 2 2" xfId="6407"/>
    <cellStyle name="20% - akcent 3 3 2 3 3 3 3" xfId="6408"/>
    <cellStyle name="20% - akcent 3 3 2 3 3 4" xfId="6409"/>
    <cellStyle name="20% - akcent 3 3 2 3 3 4 2" xfId="6410"/>
    <cellStyle name="20% - akcent 3 3 2 3 3 4 2 2" xfId="6411"/>
    <cellStyle name="20% - akcent 3 3 2 3 3 4 3" xfId="6412"/>
    <cellStyle name="20% - akcent 3 3 2 3 3 5" xfId="6413"/>
    <cellStyle name="20% - akcent 3 3 2 3 3 5 2" xfId="6414"/>
    <cellStyle name="20% - akcent 3 3 2 3 3 6" xfId="6415"/>
    <cellStyle name="20% - akcent 3 3 2 3 4" xfId="6416"/>
    <cellStyle name="20% - akcent 3 3 2 3 4 2" xfId="6417"/>
    <cellStyle name="20% - akcent 3 3 2 3 4 2 2" xfId="6418"/>
    <cellStyle name="20% - akcent 3 3 2 3 4 2 2 2" xfId="6419"/>
    <cellStyle name="20% - akcent 3 3 2 3 4 2 3" xfId="6420"/>
    <cellStyle name="20% - akcent 3 3 2 3 4 3" xfId="6421"/>
    <cellStyle name="20% - akcent 3 3 2 3 4 3 2" xfId="6422"/>
    <cellStyle name="20% - akcent 3 3 2 3 4 3 2 2" xfId="6423"/>
    <cellStyle name="20% - akcent 3 3 2 3 4 3 3" xfId="6424"/>
    <cellStyle name="20% - akcent 3 3 2 3 4 4" xfId="6425"/>
    <cellStyle name="20% - akcent 3 3 2 3 4 4 2" xfId="6426"/>
    <cellStyle name="20% - akcent 3 3 2 3 4 4 2 2" xfId="6427"/>
    <cellStyle name="20% - akcent 3 3 2 3 4 4 3" xfId="6428"/>
    <cellStyle name="20% - akcent 3 3 2 3 4 5" xfId="6429"/>
    <cellStyle name="20% - akcent 3 3 2 3 4 5 2" xfId="6430"/>
    <cellStyle name="20% - akcent 3 3 2 3 4 6" xfId="6431"/>
    <cellStyle name="20% - akcent 3 3 2 3 5" xfId="6432"/>
    <cellStyle name="20% - akcent 3 3 2 3 5 2" xfId="6433"/>
    <cellStyle name="20% - akcent 3 3 2 3 5 2 2" xfId="6434"/>
    <cellStyle name="20% - akcent 3 3 2 3 5 3" xfId="6435"/>
    <cellStyle name="20% - akcent 3 3 2 3 6" xfId="6436"/>
    <cellStyle name="20% - akcent 3 3 2 3 6 2" xfId="6437"/>
    <cellStyle name="20% - akcent 3 3 2 3 6 2 2" xfId="6438"/>
    <cellStyle name="20% - akcent 3 3 2 3 6 3" xfId="6439"/>
    <cellStyle name="20% - akcent 3 3 2 3 7" xfId="6440"/>
    <cellStyle name="20% - akcent 3 3 2 3 7 2" xfId="6441"/>
    <cellStyle name="20% - akcent 3 3 2 3 7 2 2" xfId="6442"/>
    <cellStyle name="20% - akcent 3 3 2 3 7 3" xfId="6443"/>
    <cellStyle name="20% - akcent 3 3 2 3 8" xfId="6444"/>
    <cellStyle name="20% - akcent 3 3 2 3 8 2" xfId="6445"/>
    <cellStyle name="20% - akcent 3 3 2 3 9" xfId="6446"/>
    <cellStyle name="20% - akcent 3 3 2 4" xfId="6447"/>
    <cellStyle name="20% - akcent 3 3 2 4 2" xfId="6448"/>
    <cellStyle name="20% - akcent 3 3 2 4 2 2" xfId="6449"/>
    <cellStyle name="20% - akcent 3 3 2 4 2 2 2" xfId="6450"/>
    <cellStyle name="20% - akcent 3 3 2 4 2 2 2 2" xfId="6451"/>
    <cellStyle name="20% - akcent 3 3 2 4 2 2 3" xfId="6452"/>
    <cellStyle name="20% - akcent 3 3 2 4 2 3" xfId="6453"/>
    <cellStyle name="20% - akcent 3 3 2 4 2 3 2" xfId="6454"/>
    <cellStyle name="20% - akcent 3 3 2 4 2 3 2 2" xfId="6455"/>
    <cellStyle name="20% - akcent 3 3 2 4 2 3 3" xfId="6456"/>
    <cellStyle name="20% - akcent 3 3 2 4 2 4" xfId="6457"/>
    <cellStyle name="20% - akcent 3 3 2 4 2 4 2" xfId="6458"/>
    <cellStyle name="20% - akcent 3 3 2 4 2 4 2 2" xfId="6459"/>
    <cellStyle name="20% - akcent 3 3 2 4 2 4 3" xfId="6460"/>
    <cellStyle name="20% - akcent 3 3 2 4 2 5" xfId="6461"/>
    <cellStyle name="20% - akcent 3 3 2 4 2 5 2" xfId="6462"/>
    <cellStyle name="20% - akcent 3 3 2 4 2 6" xfId="6463"/>
    <cellStyle name="20% - akcent 3 3 2 4 3" xfId="6464"/>
    <cellStyle name="20% - akcent 3 3 2 4 3 2" xfId="6465"/>
    <cellStyle name="20% - akcent 3 3 2 4 3 2 2" xfId="6466"/>
    <cellStyle name="20% - akcent 3 3 2 4 3 3" xfId="6467"/>
    <cellStyle name="20% - akcent 3 3 2 4 4" xfId="6468"/>
    <cellStyle name="20% - akcent 3 3 2 4 4 2" xfId="6469"/>
    <cellStyle name="20% - akcent 3 3 2 4 4 2 2" xfId="6470"/>
    <cellStyle name="20% - akcent 3 3 2 4 4 3" xfId="6471"/>
    <cellStyle name="20% - akcent 3 3 2 4 5" xfId="6472"/>
    <cellStyle name="20% - akcent 3 3 2 4 5 2" xfId="6473"/>
    <cellStyle name="20% - akcent 3 3 2 4 5 2 2" xfId="6474"/>
    <cellStyle name="20% - akcent 3 3 2 4 5 3" xfId="6475"/>
    <cellStyle name="20% - akcent 3 3 2 4 6" xfId="6476"/>
    <cellStyle name="20% - akcent 3 3 2 4 6 2" xfId="6477"/>
    <cellStyle name="20% - akcent 3 3 2 4 7" xfId="6478"/>
    <cellStyle name="20% - akcent 3 3 2 5" xfId="6479"/>
    <cellStyle name="20% - akcent 3 3 2 5 2" xfId="6480"/>
    <cellStyle name="20% - akcent 3 3 2 5 2 2" xfId="6481"/>
    <cellStyle name="20% - akcent 3 3 2 5 2 2 2" xfId="6482"/>
    <cellStyle name="20% - akcent 3 3 2 5 2 3" xfId="6483"/>
    <cellStyle name="20% - akcent 3 3 2 5 3" xfId="6484"/>
    <cellStyle name="20% - akcent 3 3 2 5 3 2" xfId="6485"/>
    <cellStyle name="20% - akcent 3 3 2 5 3 2 2" xfId="6486"/>
    <cellStyle name="20% - akcent 3 3 2 5 3 3" xfId="6487"/>
    <cellStyle name="20% - akcent 3 3 2 5 4" xfId="6488"/>
    <cellStyle name="20% - akcent 3 3 2 5 4 2" xfId="6489"/>
    <cellStyle name="20% - akcent 3 3 2 5 4 2 2" xfId="6490"/>
    <cellStyle name="20% - akcent 3 3 2 5 4 3" xfId="6491"/>
    <cellStyle name="20% - akcent 3 3 2 5 5" xfId="6492"/>
    <cellStyle name="20% - akcent 3 3 2 5 5 2" xfId="6493"/>
    <cellStyle name="20% - akcent 3 3 2 5 6" xfId="6494"/>
    <cellStyle name="20% - akcent 3 3 2 6" xfId="6495"/>
    <cellStyle name="20% - akcent 3 3 2 6 2" xfId="6496"/>
    <cellStyle name="20% - akcent 3 3 2 6 2 2" xfId="6497"/>
    <cellStyle name="20% - akcent 3 3 2 6 2 2 2" xfId="6498"/>
    <cellStyle name="20% - akcent 3 3 2 6 2 3" xfId="6499"/>
    <cellStyle name="20% - akcent 3 3 2 6 3" xfId="6500"/>
    <cellStyle name="20% - akcent 3 3 2 6 3 2" xfId="6501"/>
    <cellStyle name="20% - akcent 3 3 2 6 3 2 2" xfId="6502"/>
    <cellStyle name="20% - akcent 3 3 2 6 3 3" xfId="6503"/>
    <cellStyle name="20% - akcent 3 3 2 6 4" xfId="6504"/>
    <cellStyle name="20% - akcent 3 3 2 6 4 2" xfId="6505"/>
    <cellStyle name="20% - akcent 3 3 2 6 4 2 2" xfId="6506"/>
    <cellStyle name="20% - akcent 3 3 2 6 4 3" xfId="6507"/>
    <cellStyle name="20% - akcent 3 3 2 6 5" xfId="6508"/>
    <cellStyle name="20% - akcent 3 3 2 6 5 2" xfId="6509"/>
    <cellStyle name="20% - akcent 3 3 2 6 6" xfId="6510"/>
    <cellStyle name="20% - akcent 3 3 2 7" xfId="6511"/>
    <cellStyle name="20% - akcent 3 3 2 8" xfId="6512"/>
    <cellStyle name="20% - akcent 3 3 2 8 2" xfId="6513"/>
    <cellStyle name="20% - akcent 3 3 2 8 2 2" xfId="6514"/>
    <cellStyle name="20% - akcent 3 3 2 8 2 2 2" xfId="6515"/>
    <cellStyle name="20% - akcent 3 3 2 8 2 3" xfId="6516"/>
    <cellStyle name="20% - akcent 3 3 2 8 3" xfId="6517"/>
    <cellStyle name="20% - akcent 3 3 2 8 3 2" xfId="6518"/>
    <cellStyle name="20% - akcent 3 3 2 8 3 2 2" xfId="6519"/>
    <cellStyle name="20% - akcent 3 3 2 8 3 3" xfId="6520"/>
    <cellStyle name="20% - akcent 3 3 2 8 4" xfId="6521"/>
    <cellStyle name="20% - akcent 3 3 2 8 4 2" xfId="6522"/>
    <cellStyle name="20% - akcent 3 3 2 8 4 2 2" xfId="6523"/>
    <cellStyle name="20% - akcent 3 3 2 8 4 3" xfId="6524"/>
    <cellStyle name="20% - akcent 3 3 2 8 5" xfId="6525"/>
    <cellStyle name="20% - akcent 3 3 2 8 5 2" xfId="6526"/>
    <cellStyle name="20% - akcent 3 3 2 8 6" xfId="6527"/>
    <cellStyle name="20% - akcent 3 3 3" xfId="6528"/>
    <cellStyle name="20% - akcent 3 3 3 2" xfId="6529"/>
    <cellStyle name="20% - akcent 3 3 3 2 2" xfId="6530"/>
    <cellStyle name="20% - akcent 3 3 3 2 2 2" xfId="6531"/>
    <cellStyle name="20% - akcent 3 3 3 2 2 2 2" xfId="6532"/>
    <cellStyle name="20% - akcent 3 3 3 2 2 2 2 2" xfId="6533"/>
    <cellStyle name="20% - akcent 3 3 3 2 2 2 2 2 2" xfId="6534"/>
    <cellStyle name="20% - akcent 3 3 3 2 2 2 2 3" xfId="6535"/>
    <cellStyle name="20% - akcent 3 3 3 2 2 2 3" xfId="6536"/>
    <cellStyle name="20% - akcent 3 3 3 2 2 2 3 2" xfId="6537"/>
    <cellStyle name="20% - akcent 3 3 3 2 2 2 3 2 2" xfId="6538"/>
    <cellStyle name="20% - akcent 3 3 3 2 2 2 3 3" xfId="6539"/>
    <cellStyle name="20% - akcent 3 3 3 2 2 2 4" xfId="6540"/>
    <cellStyle name="20% - akcent 3 3 3 2 2 2 4 2" xfId="6541"/>
    <cellStyle name="20% - akcent 3 3 3 2 2 2 4 2 2" xfId="6542"/>
    <cellStyle name="20% - akcent 3 3 3 2 2 2 4 3" xfId="6543"/>
    <cellStyle name="20% - akcent 3 3 3 2 2 2 5" xfId="6544"/>
    <cellStyle name="20% - akcent 3 3 3 2 2 2 5 2" xfId="6545"/>
    <cellStyle name="20% - akcent 3 3 3 2 2 2 6" xfId="6546"/>
    <cellStyle name="20% - akcent 3 3 3 2 2 3" xfId="6547"/>
    <cellStyle name="20% - akcent 3 3 3 2 2 3 2" xfId="6548"/>
    <cellStyle name="20% - akcent 3 3 3 2 2 3 2 2" xfId="6549"/>
    <cellStyle name="20% - akcent 3 3 3 2 2 3 3" xfId="6550"/>
    <cellStyle name="20% - akcent 3 3 3 2 2 4" xfId="6551"/>
    <cellStyle name="20% - akcent 3 3 3 2 2 4 2" xfId="6552"/>
    <cellStyle name="20% - akcent 3 3 3 2 2 4 2 2" xfId="6553"/>
    <cellStyle name="20% - akcent 3 3 3 2 2 4 3" xfId="6554"/>
    <cellStyle name="20% - akcent 3 3 3 2 2 5" xfId="6555"/>
    <cellStyle name="20% - akcent 3 3 3 2 2 5 2" xfId="6556"/>
    <cellStyle name="20% - akcent 3 3 3 2 2 5 2 2" xfId="6557"/>
    <cellStyle name="20% - akcent 3 3 3 2 2 5 3" xfId="6558"/>
    <cellStyle name="20% - akcent 3 3 3 2 2 6" xfId="6559"/>
    <cellStyle name="20% - akcent 3 3 3 2 2 6 2" xfId="6560"/>
    <cellStyle name="20% - akcent 3 3 3 2 2 7" xfId="6561"/>
    <cellStyle name="20% - akcent 3 3 3 2 3" xfId="6562"/>
    <cellStyle name="20% - akcent 3 3 3 2 3 2" xfId="6563"/>
    <cellStyle name="20% - akcent 3 3 3 2 3 2 2" xfId="6564"/>
    <cellStyle name="20% - akcent 3 3 3 2 3 2 2 2" xfId="6565"/>
    <cellStyle name="20% - akcent 3 3 3 2 3 2 3" xfId="6566"/>
    <cellStyle name="20% - akcent 3 3 3 2 3 3" xfId="6567"/>
    <cellStyle name="20% - akcent 3 3 3 2 3 3 2" xfId="6568"/>
    <cellStyle name="20% - akcent 3 3 3 2 3 3 2 2" xfId="6569"/>
    <cellStyle name="20% - akcent 3 3 3 2 3 3 3" xfId="6570"/>
    <cellStyle name="20% - akcent 3 3 3 2 3 4" xfId="6571"/>
    <cellStyle name="20% - akcent 3 3 3 2 3 4 2" xfId="6572"/>
    <cellStyle name="20% - akcent 3 3 3 2 3 4 2 2" xfId="6573"/>
    <cellStyle name="20% - akcent 3 3 3 2 3 4 3" xfId="6574"/>
    <cellStyle name="20% - akcent 3 3 3 2 3 5" xfId="6575"/>
    <cellStyle name="20% - akcent 3 3 3 2 3 5 2" xfId="6576"/>
    <cellStyle name="20% - akcent 3 3 3 2 3 6" xfId="6577"/>
    <cellStyle name="20% - akcent 3 3 3 2 4" xfId="6578"/>
    <cellStyle name="20% - akcent 3 3 3 2 4 2" xfId="6579"/>
    <cellStyle name="20% - akcent 3 3 3 2 4 2 2" xfId="6580"/>
    <cellStyle name="20% - akcent 3 3 3 2 4 2 2 2" xfId="6581"/>
    <cellStyle name="20% - akcent 3 3 3 2 4 2 3" xfId="6582"/>
    <cellStyle name="20% - akcent 3 3 3 2 4 3" xfId="6583"/>
    <cellStyle name="20% - akcent 3 3 3 2 4 3 2" xfId="6584"/>
    <cellStyle name="20% - akcent 3 3 3 2 4 3 2 2" xfId="6585"/>
    <cellStyle name="20% - akcent 3 3 3 2 4 3 3" xfId="6586"/>
    <cellStyle name="20% - akcent 3 3 3 2 4 4" xfId="6587"/>
    <cellStyle name="20% - akcent 3 3 3 2 4 4 2" xfId="6588"/>
    <cellStyle name="20% - akcent 3 3 3 2 4 4 2 2" xfId="6589"/>
    <cellStyle name="20% - akcent 3 3 3 2 4 4 3" xfId="6590"/>
    <cellStyle name="20% - akcent 3 3 3 2 4 5" xfId="6591"/>
    <cellStyle name="20% - akcent 3 3 3 2 4 5 2" xfId="6592"/>
    <cellStyle name="20% - akcent 3 3 3 2 4 6" xfId="6593"/>
    <cellStyle name="20% - akcent 3 3 3 2 5" xfId="6594"/>
    <cellStyle name="20% - akcent 3 3 3 2 5 2" xfId="6595"/>
    <cellStyle name="20% - akcent 3 3 3 2 5 2 2" xfId="6596"/>
    <cellStyle name="20% - akcent 3 3 3 2 5 3" xfId="6597"/>
    <cellStyle name="20% - akcent 3 3 3 2 6" xfId="6598"/>
    <cellStyle name="20% - akcent 3 3 3 2 6 2" xfId="6599"/>
    <cellStyle name="20% - akcent 3 3 3 2 6 2 2" xfId="6600"/>
    <cellStyle name="20% - akcent 3 3 3 2 6 3" xfId="6601"/>
    <cellStyle name="20% - akcent 3 3 3 2 7" xfId="6602"/>
    <cellStyle name="20% - akcent 3 3 3 2 7 2" xfId="6603"/>
    <cellStyle name="20% - akcent 3 3 3 2 7 2 2" xfId="6604"/>
    <cellStyle name="20% - akcent 3 3 3 2 7 3" xfId="6605"/>
    <cellStyle name="20% - akcent 3 3 3 2 8" xfId="6606"/>
    <cellStyle name="20% - akcent 3 3 3 2 8 2" xfId="6607"/>
    <cellStyle name="20% - akcent 3 3 3 2 9" xfId="6608"/>
    <cellStyle name="20% - akcent 3 3 3 3" xfId="6609"/>
    <cellStyle name="20% - akcent 3 3 3 3 2" xfId="6610"/>
    <cellStyle name="20% - akcent 3 3 3 3 2 2" xfId="6611"/>
    <cellStyle name="20% - akcent 3 3 3 3 2 2 2" xfId="6612"/>
    <cellStyle name="20% - akcent 3 3 3 3 2 2 2 2" xfId="6613"/>
    <cellStyle name="20% - akcent 3 3 3 3 2 2 3" xfId="6614"/>
    <cellStyle name="20% - akcent 3 3 3 3 2 3" xfId="6615"/>
    <cellStyle name="20% - akcent 3 3 3 3 2 3 2" xfId="6616"/>
    <cellStyle name="20% - akcent 3 3 3 3 2 3 2 2" xfId="6617"/>
    <cellStyle name="20% - akcent 3 3 3 3 2 3 3" xfId="6618"/>
    <cellStyle name="20% - akcent 3 3 3 3 2 4" xfId="6619"/>
    <cellStyle name="20% - akcent 3 3 3 3 2 4 2" xfId="6620"/>
    <cellStyle name="20% - akcent 3 3 3 3 2 4 2 2" xfId="6621"/>
    <cellStyle name="20% - akcent 3 3 3 3 2 4 3" xfId="6622"/>
    <cellStyle name="20% - akcent 3 3 3 3 2 5" xfId="6623"/>
    <cellStyle name="20% - akcent 3 3 3 3 2 5 2" xfId="6624"/>
    <cellStyle name="20% - akcent 3 3 3 3 2 6" xfId="6625"/>
    <cellStyle name="20% - akcent 3 3 3 3 3" xfId="6626"/>
    <cellStyle name="20% - akcent 3 3 3 3 3 2" xfId="6627"/>
    <cellStyle name="20% - akcent 3 3 3 3 3 2 2" xfId="6628"/>
    <cellStyle name="20% - akcent 3 3 3 3 3 3" xfId="6629"/>
    <cellStyle name="20% - akcent 3 3 3 3 4" xfId="6630"/>
    <cellStyle name="20% - akcent 3 3 3 3 4 2" xfId="6631"/>
    <cellStyle name="20% - akcent 3 3 3 3 4 2 2" xfId="6632"/>
    <cellStyle name="20% - akcent 3 3 3 3 4 3" xfId="6633"/>
    <cellStyle name="20% - akcent 3 3 3 3 5" xfId="6634"/>
    <cellStyle name="20% - akcent 3 3 3 3 5 2" xfId="6635"/>
    <cellStyle name="20% - akcent 3 3 3 3 5 2 2" xfId="6636"/>
    <cellStyle name="20% - akcent 3 3 3 3 5 3" xfId="6637"/>
    <cellStyle name="20% - akcent 3 3 3 3 6" xfId="6638"/>
    <cellStyle name="20% - akcent 3 3 3 3 6 2" xfId="6639"/>
    <cellStyle name="20% - akcent 3 3 3 3 7" xfId="6640"/>
    <cellStyle name="20% - akcent 3 3 3 4" xfId="6641"/>
    <cellStyle name="20% - akcent 3 3 3 4 2" xfId="6642"/>
    <cellStyle name="20% - akcent 3 3 3 4 2 2" xfId="6643"/>
    <cellStyle name="20% - akcent 3 3 3 4 2 2 2" xfId="6644"/>
    <cellStyle name="20% - akcent 3 3 3 4 2 3" xfId="6645"/>
    <cellStyle name="20% - akcent 3 3 3 4 3" xfId="6646"/>
    <cellStyle name="20% - akcent 3 3 3 4 3 2" xfId="6647"/>
    <cellStyle name="20% - akcent 3 3 3 4 3 2 2" xfId="6648"/>
    <cellStyle name="20% - akcent 3 3 3 4 3 3" xfId="6649"/>
    <cellStyle name="20% - akcent 3 3 3 4 4" xfId="6650"/>
    <cellStyle name="20% - akcent 3 3 3 4 4 2" xfId="6651"/>
    <cellStyle name="20% - akcent 3 3 3 4 4 2 2" xfId="6652"/>
    <cellStyle name="20% - akcent 3 3 3 4 4 3" xfId="6653"/>
    <cellStyle name="20% - akcent 3 3 3 4 5" xfId="6654"/>
    <cellStyle name="20% - akcent 3 3 3 4 5 2" xfId="6655"/>
    <cellStyle name="20% - akcent 3 3 3 4 6" xfId="6656"/>
    <cellStyle name="20% - akcent 3 3 3 5" xfId="6657"/>
    <cellStyle name="20% - akcent 3 3 3 5 2" xfId="6658"/>
    <cellStyle name="20% - akcent 3 3 3 5 2 2" xfId="6659"/>
    <cellStyle name="20% - akcent 3 3 3 5 2 2 2" xfId="6660"/>
    <cellStyle name="20% - akcent 3 3 3 5 2 3" xfId="6661"/>
    <cellStyle name="20% - akcent 3 3 3 5 3" xfId="6662"/>
    <cellStyle name="20% - akcent 3 3 3 5 3 2" xfId="6663"/>
    <cellStyle name="20% - akcent 3 3 3 5 3 2 2" xfId="6664"/>
    <cellStyle name="20% - akcent 3 3 3 5 3 3" xfId="6665"/>
    <cellStyle name="20% - akcent 3 3 3 5 4" xfId="6666"/>
    <cellStyle name="20% - akcent 3 3 3 5 4 2" xfId="6667"/>
    <cellStyle name="20% - akcent 3 3 3 5 4 2 2" xfId="6668"/>
    <cellStyle name="20% - akcent 3 3 3 5 4 3" xfId="6669"/>
    <cellStyle name="20% - akcent 3 3 3 5 5" xfId="6670"/>
    <cellStyle name="20% - akcent 3 3 3 5 5 2" xfId="6671"/>
    <cellStyle name="20% - akcent 3 3 3 5 6" xfId="6672"/>
    <cellStyle name="20% - akcent 3 3 3 6" xfId="6673"/>
    <cellStyle name="20% - akcent 3 3 3 6 2" xfId="6674"/>
    <cellStyle name="20% - akcent 3 3 3 6 2 2" xfId="6675"/>
    <cellStyle name="20% - akcent 3 3 3 6 2 2 2" xfId="6676"/>
    <cellStyle name="20% - akcent 3 3 3 6 2 3" xfId="6677"/>
    <cellStyle name="20% - akcent 3 3 3 6 3" xfId="6678"/>
    <cellStyle name="20% - akcent 3 3 3 6 3 2" xfId="6679"/>
    <cellStyle name="20% - akcent 3 3 3 6 3 2 2" xfId="6680"/>
    <cellStyle name="20% - akcent 3 3 3 6 3 3" xfId="6681"/>
    <cellStyle name="20% - akcent 3 3 3 6 4" xfId="6682"/>
    <cellStyle name="20% - akcent 3 3 3 6 4 2" xfId="6683"/>
    <cellStyle name="20% - akcent 3 3 3 6 4 2 2" xfId="6684"/>
    <cellStyle name="20% - akcent 3 3 3 6 4 3" xfId="6685"/>
    <cellStyle name="20% - akcent 3 3 3 6 5" xfId="6686"/>
    <cellStyle name="20% - akcent 3 3 3 6 5 2" xfId="6687"/>
    <cellStyle name="20% - akcent 3 3 3 6 6" xfId="6688"/>
    <cellStyle name="20% - akcent 3 3 4" xfId="6689"/>
    <cellStyle name="20% - akcent 3 3 4 10" xfId="6690"/>
    <cellStyle name="20% - akcent 3 3 4 2" xfId="6691"/>
    <cellStyle name="20% - akcent 3 3 4 2 2" xfId="6692"/>
    <cellStyle name="20% - akcent 3 3 4 2 2 2" xfId="6693"/>
    <cellStyle name="20% - akcent 3 3 4 2 2 2 2" xfId="6694"/>
    <cellStyle name="20% - akcent 3 3 4 2 2 2 2 2" xfId="6695"/>
    <cellStyle name="20% - akcent 3 3 4 2 2 2 2 2 2" xfId="6696"/>
    <cellStyle name="20% - akcent 3 3 4 2 2 2 2 3" xfId="6697"/>
    <cellStyle name="20% - akcent 3 3 4 2 2 2 3" xfId="6698"/>
    <cellStyle name="20% - akcent 3 3 4 2 2 2 3 2" xfId="6699"/>
    <cellStyle name="20% - akcent 3 3 4 2 2 2 3 2 2" xfId="6700"/>
    <cellStyle name="20% - akcent 3 3 4 2 2 2 3 3" xfId="6701"/>
    <cellStyle name="20% - akcent 3 3 4 2 2 2 4" xfId="6702"/>
    <cellStyle name="20% - akcent 3 3 4 2 2 2 4 2" xfId="6703"/>
    <cellStyle name="20% - akcent 3 3 4 2 2 2 4 2 2" xfId="6704"/>
    <cellStyle name="20% - akcent 3 3 4 2 2 2 4 3" xfId="6705"/>
    <cellStyle name="20% - akcent 3 3 4 2 2 2 5" xfId="6706"/>
    <cellStyle name="20% - akcent 3 3 4 2 2 2 5 2" xfId="6707"/>
    <cellStyle name="20% - akcent 3 3 4 2 2 2 6" xfId="6708"/>
    <cellStyle name="20% - akcent 3 3 4 2 2 3" xfId="6709"/>
    <cellStyle name="20% - akcent 3 3 4 2 2 3 2" xfId="6710"/>
    <cellStyle name="20% - akcent 3 3 4 2 2 3 2 2" xfId="6711"/>
    <cellStyle name="20% - akcent 3 3 4 2 2 3 3" xfId="6712"/>
    <cellStyle name="20% - akcent 3 3 4 2 2 4" xfId="6713"/>
    <cellStyle name="20% - akcent 3 3 4 2 2 4 2" xfId="6714"/>
    <cellStyle name="20% - akcent 3 3 4 2 2 4 2 2" xfId="6715"/>
    <cellStyle name="20% - akcent 3 3 4 2 2 4 3" xfId="6716"/>
    <cellStyle name="20% - akcent 3 3 4 2 2 5" xfId="6717"/>
    <cellStyle name="20% - akcent 3 3 4 2 2 5 2" xfId="6718"/>
    <cellStyle name="20% - akcent 3 3 4 2 2 5 2 2" xfId="6719"/>
    <cellStyle name="20% - akcent 3 3 4 2 2 5 3" xfId="6720"/>
    <cellStyle name="20% - akcent 3 3 4 2 2 6" xfId="6721"/>
    <cellStyle name="20% - akcent 3 3 4 2 2 6 2" xfId="6722"/>
    <cellStyle name="20% - akcent 3 3 4 2 2 7" xfId="6723"/>
    <cellStyle name="20% - akcent 3 3 4 2 3" xfId="6724"/>
    <cellStyle name="20% - akcent 3 3 4 2 3 2" xfId="6725"/>
    <cellStyle name="20% - akcent 3 3 4 2 3 2 2" xfId="6726"/>
    <cellStyle name="20% - akcent 3 3 4 2 3 2 2 2" xfId="6727"/>
    <cellStyle name="20% - akcent 3 3 4 2 3 2 3" xfId="6728"/>
    <cellStyle name="20% - akcent 3 3 4 2 3 3" xfId="6729"/>
    <cellStyle name="20% - akcent 3 3 4 2 3 3 2" xfId="6730"/>
    <cellStyle name="20% - akcent 3 3 4 2 3 3 2 2" xfId="6731"/>
    <cellStyle name="20% - akcent 3 3 4 2 3 3 3" xfId="6732"/>
    <cellStyle name="20% - akcent 3 3 4 2 3 4" xfId="6733"/>
    <cellStyle name="20% - akcent 3 3 4 2 3 4 2" xfId="6734"/>
    <cellStyle name="20% - akcent 3 3 4 2 3 4 2 2" xfId="6735"/>
    <cellStyle name="20% - akcent 3 3 4 2 3 4 3" xfId="6736"/>
    <cellStyle name="20% - akcent 3 3 4 2 3 5" xfId="6737"/>
    <cellStyle name="20% - akcent 3 3 4 2 3 5 2" xfId="6738"/>
    <cellStyle name="20% - akcent 3 3 4 2 3 6" xfId="6739"/>
    <cellStyle name="20% - akcent 3 3 4 2 4" xfId="6740"/>
    <cellStyle name="20% - akcent 3 3 4 2 4 2" xfId="6741"/>
    <cellStyle name="20% - akcent 3 3 4 2 4 2 2" xfId="6742"/>
    <cellStyle name="20% - akcent 3 3 4 2 4 2 2 2" xfId="6743"/>
    <cellStyle name="20% - akcent 3 3 4 2 4 2 3" xfId="6744"/>
    <cellStyle name="20% - akcent 3 3 4 2 4 3" xfId="6745"/>
    <cellStyle name="20% - akcent 3 3 4 2 4 3 2" xfId="6746"/>
    <cellStyle name="20% - akcent 3 3 4 2 4 3 2 2" xfId="6747"/>
    <cellStyle name="20% - akcent 3 3 4 2 4 3 3" xfId="6748"/>
    <cellStyle name="20% - akcent 3 3 4 2 4 4" xfId="6749"/>
    <cellStyle name="20% - akcent 3 3 4 2 4 4 2" xfId="6750"/>
    <cellStyle name="20% - akcent 3 3 4 2 4 4 2 2" xfId="6751"/>
    <cellStyle name="20% - akcent 3 3 4 2 4 4 3" xfId="6752"/>
    <cellStyle name="20% - akcent 3 3 4 2 4 5" xfId="6753"/>
    <cellStyle name="20% - akcent 3 3 4 2 4 5 2" xfId="6754"/>
    <cellStyle name="20% - akcent 3 3 4 2 4 6" xfId="6755"/>
    <cellStyle name="20% - akcent 3 3 4 2 5" xfId="6756"/>
    <cellStyle name="20% - akcent 3 3 4 2 5 2" xfId="6757"/>
    <cellStyle name="20% - akcent 3 3 4 2 5 2 2" xfId="6758"/>
    <cellStyle name="20% - akcent 3 3 4 2 5 3" xfId="6759"/>
    <cellStyle name="20% - akcent 3 3 4 2 6" xfId="6760"/>
    <cellStyle name="20% - akcent 3 3 4 2 6 2" xfId="6761"/>
    <cellStyle name="20% - akcent 3 3 4 2 6 2 2" xfId="6762"/>
    <cellStyle name="20% - akcent 3 3 4 2 6 3" xfId="6763"/>
    <cellStyle name="20% - akcent 3 3 4 2 7" xfId="6764"/>
    <cellStyle name="20% - akcent 3 3 4 2 7 2" xfId="6765"/>
    <cellStyle name="20% - akcent 3 3 4 2 7 2 2" xfId="6766"/>
    <cellStyle name="20% - akcent 3 3 4 2 7 3" xfId="6767"/>
    <cellStyle name="20% - akcent 3 3 4 2 8" xfId="6768"/>
    <cellStyle name="20% - akcent 3 3 4 2 8 2" xfId="6769"/>
    <cellStyle name="20% - akcent 3 3 4 2 9" xfId="6770"/>
    <cellStyle name="20% - akcent 3 3 4 3" xfId="6771"/>
    <cellStyle name="20% - akcent 3 3 4 3 2" xfId="6772"/>
    <cellStyle name="20% - akcent 3 3 4 3 2 2" xfId="6773"/>
    <cellStyle name="20% - akcent 3 3 4 3 2 2 2" xfId="6774"/>
    <cellStyle name="20% - akcent 3 3 4 3 2 2 2 2" xfId="6775"/>
    <cellStyle name="20% - akcent 3 3 4 3 2 2 3" xfId="6776"/>
    <cellStyle name="20% - akcent 3 3 4 3 2 3" xfId="6777"/>
    <cellStyle name="20% - akcent 3 3 4 3 2 3 2" xfId="6778"/>
    <cellStyle name="20% - akcent 3 3 4 3 2 3 2 2" xfId="6779"/>
    <cellStyle name="20% - akcent 3 3 4 3 2 3 3" xfId="6780"/>
    <cellStyle name="20% - akcent 3 3 4 3 2 4" xfId="6781"/>
    <cellStyle name="20% - akcent 3 3 4 3 2 4 2" xfId="6782"/>
    <cellStyle name="20% - akcent 3 3 4 3 2 4 2 2" xfId="6783"/>
    <cellStyle name="20% - akcent 3 3 4 3 2 4 3" xfId="6784"/>
    <cellStyle name="20% - akcent 3 3 4 3 2 5" xfId="6785"/>
    <cellStyle name="20% - akcent 3 3 4 3 2 5 2" xfId="6786"/>
    <cellStyle name="20% - akcent 3 3 4 3 2 6" xfId="6787"/>
    <cellStyle name="20% - akcent 3 3 4 3 3" xfId="6788"/>
    <cellStyle name="20% - akcent 3 3 4 3 3 2" xfId="6789"/>
    <cellStyle name="20% - akcent 3 3 4 3 3 2 2" xfId="6790"/>
    <cellStyle name="20% - akcent 3 3 4 3 3 3" xfId="6791"/>
    <cellStyle name="20% - akcent 3 3 4 3 4" xfId="6792"/>
    <cellStyle name="20% - akcent 3 3 4 3 4 2" xfId="6793"/>
    <cellStyle name="20% - akcent 3 3 4 3 4 2 2" xfId="6794"/>
    <cellStyle name="20% - akcent 3 3 4 3 4 3" xfId="6795"/>
    <cellStyle name="20% - akcent 3 3 4 3 5" xfId="6796"/>
    <cellStyle name="20% - akcent 3 3 4 3 5 2" xfId="6797"/>
    <cellStyle name="20% - akcent 3 3 4 3 5 2 2" xfId="6798"/>
    <cellStyle name="20% - akcent 3 3 4 3 5 3" xfId="6799"/>
    <cellStyle name="20% - akcent 3 3 4 3 6" xfId="6800"/>
    <cellStyle name="20% - akcent 3 3 4 3 6 2" xfId="6801"/>
    <cellStyle name="20% - akcent 3 3 4 3 7" xfId="6802"/>
    <cellStyle name="20% - akcent 3 3 4 4" xfId="6803"/>
    <cellStyle name="20% - akcent 3 3 4 4 2" xfId="6804"/>
    <cellStyle name="20% - akcent 3 3 4 4 2 2" xfId="6805"/>
    <cellStyle name="20% - akcent 3 3 4 4 2 2 2" xfId="6806"/>
    <cellStyle name="20% - akcent 3 3 4 4 2 3" xfId="6807"/>
    <cellStyle name="20% - akcent 3 3 4 4 3" xfId="6808"/>
    <cellStyle name="20% - akcent 3 3 4 4 3 2" xfId="6809"/>
    <cellStyle name="20% - akcent 3 3 4 4 3 2 2" xfId="6810"/>
    <cellStyle name="20% - akcent 3 3 4 4 3 3" xfId="6811"/>
    <cellStyle name="20% - akcent 3 3 4 4 4" xfId="6812"/>
    <cellStyle name="20% - akcent 3 3 4 4 4 2" xfId="6813"/>
    <cellStyle name="20% - akcent 3 3 4 4 4 2 2" xfId="6814"/>
    <cellStyle name="20% - akcent 3 3 4 4 4 3" xfId="6815"/>
    <cellStyle name="20% - akcent 3 3 4 4 5" xfId="6816"/>
    <cellStyle name="20% - akcent 3 3 4 4 5 2" xfId="6817"/>
    <cellStyle name="20% - akcent 3 3 4 4 6" xfId="6818"/>
    <cellStyle name="20% - akcent 3 3 4 5" xfId="6819"/>
    <cellStyle name="20% - akcent 3 3 4 5 2" xfId="6820"/>
    <cellStyle name="20% - akcent 3 3 4 5 2 2" xfId="6821"/>
    <cellStyle name="20% - akcent 3 3 4 5 2 2 2" xfId="6822"/>
    <cellStyle name="20% - akcent 3 3 4 5 2 3" xfId="6823"/>
    <cellStyle name="20% - akcent 3 3 4 5 3" xfId="6824"/>
    <cellStyle name="20% - akcent 3 3 4 5 3 2" xfId="6825"/>
    <cellStyle name="20% - akcent 3 3 4 5 3 2 2" xfId="6826"/>
    <cellStyle name="20% - akcent 3 3 4 5 3 3" xfId="6827"/>
    <cellStyle name="20% - akcent 3 3 4 5 4" xfId="6828"/>
    <cellStyle name="20% - akcent 3 3 4 5 4 2" xfId="6829"/>
    <cellStyle name="20% - akcent 3 3 4 5 4 2 2" xfId="6830"/>
    <cellStyle name="20% - akcent 3 3 4 5 4 3" xfId="6831"/>
    <cellStyle name="20% - akcent 3 3 4 5 5" xfId="6832"/>
    <cellStyle name="20% - akcent 3 3 4 5 5 2" xfId="6833"/>
    <cellStyle name="20% - akcent 3 3 4 5 6" xfId="6834"/>
    <cellStyle name="20% - akcent 3 3 4 6" xfId="6835"/>
    <cellStyle name="20% - akcent 3 3 4 6 2" xfId="6836"/>
    <cellStyle name="20% - akcent 3 3 4 6 2 2" xfId="6837"/>
    <cellStyle name="20% - akcent 3 3 4 6 3" xfId="6838"/>
    <cellStyle name="20% - akcent 3 3 4 7" xfId="6839"/>
    <cellStyle name="20% - akcent 3 3 4 7 2" xfId="6840"/>
    <cellStyle name="20% - akcent 3 3 4 7 2 2" xfId="6841"/>
    <cellStyle name="20% - akcent 3 3 4 7 3" xfId="6842"/>
    <cellStyle name="20% - akcent 3 3 4 8" xfId="6843"/>
    <cellStyle name="20% - akcent 3 3 4 8 2" xfId="6844"/>
    <cellStyle name="20% - akcent 3 3 4 8 2 2" xfId="6845"/>
    <cellStyle name="20% - akcent 3 3 4 8 3" xfId="6846"/>
    <cellStyle name="20% - akcent 3 3 4 9" xfId="6847"/>
    <cellStyle name="20% - akcent 3 3 4 9 2" xfId="6848"/>
    <cellStyle name="20% - akcent 3 3 5" xfId="6849"/>
    <cellStyle name="20% - akcent 3 3 5 2" xfId="6850"/>
    <cellStyle name="20% - akcent 3 3 5 2 2" xfId="6851"/>
    <cellStyle name="20% - akcent 3 3 5 2 2 2" xfId="6852"/>
    <cellStyle name="20% - akcent 3 3 5 2 2 2 2" xfId="6853"/>
    <cellStyle name="20% - akcent 3 3 5 2 2 2 2 2" xfId="6854"/>
    <cellStyle name="20% - akcent 3 3 5 2 2 2 3" xfId="6855"/>
    <cellStyle name="20% - akcent 3 3 5 2 2 3" xfId="6856"/>
    <cellStyle name="20% - akcent 3 3 5 2 2 3 2" xfId="6857"/>
    <cellStyle name="20% - akcent 3 3 5 2 2 3 2 2" xfId="6858"/>
    <cellStyle name="20% - akcent 3 3 5 2 2 3 3" xfId="6859"/>
    <cellStyle name="20% - akcent 3 3 5 2 2 4" xfId="6860"/>
    <cellStyle name="20% - akcent 3 3 5 2 2 4 2" xfId="6861"/>
    <cellStyle name="20% - akcent 3 3 5 2 2 4 2 2" xfId="6862"/>
    <cellStyle name="20% - akcent 3 3 5 2 2 4 3" xfId="6863"/>
    <cellStyle name="20% - akcent 3 3 5 2 2 5" xfId="6864"/>
    <cellStyle name="20% - akcent 3 3 5 2 2 5 2" xfId="6865"/>
    <cellStyle name="20% - akcent 3 3 5 2 2 6" xfId="6866"/>
    <cellStyle name="20% - akcent 3 3 5 2 3" xfId="6867"/>
    <cellStyle name="20% - akcent 3 3 5 2 3 2" xfId="6868"/>
    <cellStyle name="20% - akcent 3 3 5 2 3 2 2" xfId="6869"/>
    <cellStyle name="20% - akcent 3 3 5 2 3 3" xfId="6870"/>
    <cellStyle name="20% - akcent 3 3 5 2 4" xfId="6871"/>
    <cellStyle name="20% - akcent 3 3 5 2 4 2" xfId="6872"/>
    <cellStyle name="20% - akcent 3 3 5 2 4 2 2" xfId="6873"/>
    <cellStyle name="20% - akcent 3 3 5 2 4 3" xfId="6874"/>
    <cellStyle name="20% - akcent 3 3 5 2 5" xfId="6875"/>
    <cellStyle name="20% - akcent 3 3 5 2 5 2" xfId="6876"/>
    <cellStyle name="20% - akcent 3 3 5 2 5 2 2" xfId="6877"/>
    <cellStyle name="20% - akcent 3 3 5 2 5 3" xfId="6878"/>
    <cellStyle name="20% - akcent 3 3 5 2 6" xfId="6879"/>
    <cellStyle name="20% - akcent 3 3 5 2 6 2" xfId="6880"/>
    <cellStyle name="20% - akcent 3 3 5 2 7" xfId="6881"/>
    <cellStyle name="20% - akcent 3 3 5 3" xfId="6882"/>
    <cellStyle name="20% - akcent 3 3 5 3 2" xfId="6883"/>
    <cellStyle name="20% - akcent 3 3 5 3 2 2" xfId="6884"/>
    <cellStyle name="20% - akcent 3 3 5 3 2 2 2" xfId="6885"/>
    <cellStyle name="20% - akcent 3 3 5 3 2 3" xfId="6886"/>
    <cellStyle name="20% - akcent 3 3 5 3 3" xfId="6887"/>
    <cellStyle name="20% - akcent 3 3 5 3 3 2" xfId="6888"/>
    <cellStyle name="20% - akcent 3 3 5 3 3 2 2" xfId="6889"/>
    <cellStyle name="20% - akcent 3 3 5 3 3 3" xfId="6890"/>
    <cellStyle name="20% - akcent 3 3 5 3 4" xfId="6891"/>
    <cellStyle name="20% - akcent 3 3 5 3 4 2" xfId="6892"/>
    <cellStyle name="20% - akcent 3 3 5 3 4 2 2" xfId="6893"/>
    <cellStyle name="20% - akcent 3 3 5 3 4 3" xfId="6894"/>
    <cellStyle name="20% - akcent 3 3 5 3 5" xfId="6895"/>
    <cellStyle name="20% - akcent 3 3 5 3 5 2" xfId="6896"/>
    <cellStyle name="20% - akcent 3 3 5 3 6" xfId="6897"/>
    <cellStyle name="20% - akcent 3 3 5 4" xfId="6898"/>
    <cellStyle name="20% - akcent 3 3 5 4 2" xfId="6899"/>
    <cellStyle name="20% - akcent 3 3 5 4 2 2" xfId="6900"/>
    <cellStyle name="20% - akcent 3 3 5 4 2 2 2" xfId="6901"/>
    <cellStyle name="20% - akcent 3 3 5 4 2 3" xfId="6902"/>
    <cellStyle name="20% - akcent 3 3 5 4 3" xfId="6903"/>
    <cellStyle name="20% - akcent 3 3 5 4 3 2" xfId="6904"/>
    <cellStyle name="20% - akcent 3 3 5 4 3 2 2" xfId="6905"/>
    <cellStyle name="20% - akcent 3 3 5 4 3 3" xfId="6906"/>
    <cellStyle name="20% - akcent 3 3 5 4 4" xfId="6907"/>
    <cellStyle name="20% - akcent 3 3 5 4 4 2" xfId="6908"/>
    <cellStyle name="20% - akcent 3 3 5 4 4 2 2" xfId="6909"/>
    <cellStyle name="20% - akcent 3 3 5 4 4 3" xfId="6910"/>
    <cellStyle name="20% - akcent 3 3 5 4 5" xfId="6911"/>
    <cellStyle name="20% - akcent 3 3 5 4 5 2" xfId="6912"/>
    <cellStyle name="20% - akcent 3 3 5 4 6" xfId="6913"/>
    <cellStyle name="20% - akcent 3 3 5 5" xfId="6914"/>
    <cellStyle name="20% - akcent 3 3 5 5 2" xfId="6915"/>
    <cellStyle name="20% - akcent 3 3 5 5 2 2" xfId="6916"/>
    <cellStyle name="20% - akcent 3 3 5 5 3" xfId="6917"/>
    <cellStyle name="20% - akcent 3 3 5 6" xfId="6918"/>
    <cellStyle name="20% - akcent 3 3 5 6 2" xfId="6919"/>
    <cellStyle name="20% - akcent 3 3 5 6 2 2" xfId="6920"/>
    <cellStyle name="20% - akcent 3 3 5 6 3" xfId="6921"/>
    <cellStyle name="20% - akcent 3 3 5 7" xfId="6922"/>
    <cellStyle name="20% - akcent 3 3 5 7 2" xfId="6923"/>
    <cellStyle name="20% - akcent 3 3 5 7 2 2" xfId="6924"/>
    <cellStyle name="20% - akcent 3 3 5 7 3" xfId="6925"/>
    <cellStyle name="20% - akcent 3 3 5 8" xfId="6926"/>
    <cellStyle name="20% - akcent 3 3 5 8 2" xfId="6927"/>
    <cellStyle name="20% - akcent 3 3 5 9" xfId="6928"/>
    <cellStyle name="20% - akcent 3 3 6" xfId="6929"/>
    <cellStyle name="20% - akcent 3 3 6 2" xfId="6930"/>
    <cellStyle name="20% - akcent 3 3 6 2 2" xfId="6931"/>
    <cellStyle name="20% - akcent 3 3 6 2 2 2" xfId="6932"/>
    <cellStyle name="20% - akcent 3 3 6 2 2 2 2" xfId="6933"/>
    <cellStyle name="20% - akcent 3 3 6 2 2 2 2 2" xfId="6934"/>
    <cellStyle name="20% - akcent 3 3 6 2 2 2 3" xfId="6935"/>
    <cellStyle name="20% - akcent 3 3 6 2 2 3" xfId="6936"/>
    <cellStyle name="20% - akcent 3 3 6 2 2 3 2" xfId="6937"/>
    <cellStyle name="20% - akcent 3 3 6 2 2 3 2 2" xfId="6938"/>
    <cellStyle name="20% - akcent 3 3 6 2 2 3 3" xfId="6939"/>
    <cellStyle name="20% - akcent 3 3 6 2 2 4" xfId="6940"/>
    <cellStyle name="20% - akcent 3 3 6 2 2 4 2" xfId="6941"/>
    <cellStyle name="20% - akcent 3 3 6 2 2 4 2 2" xfId="6942"/>
    <cellStyle name="20% - akcent 3 3 6 2 2 4 3" xfId="6943"/>
    <cellStyle name="20% - akcent 3 3 6 2 2 5" xfId="6944"/>
    <cellStyle name="20% - akcent 3 3 6 2 2 5 2" xfId="6945"/>
    <cellStyle name="20% - akcent 3 3 6 2 2 6" xfId="6946"/>
    <cellStyle name="20% - akcent 3 3 6 2 3" xfId="6947"/>
    <cellStyle name="20% - akcent 3 3 6 2 3 2" xfId="6948"/>
    <cellStyle name="20% - akcent 3 3 6 2 3 2 2" xfId="6949"/>
    <cellStyle name="20% - akcent 3 3 6 2 3 3" xfId="6950"/>
    <cellStyle name="20% - akcent 3 3 6 2 4" xfId="6951"/>
    <cellStyle name="20% - akcent 3 3 6 2 4 2" xfId="6952"/>
    <cellStyle name="20% - akcent 3 3 6 2 4 2 2" xfId="6953"/>
    <cellStyle name="20% - akcent 3 3 6 2 4 3" xfId="6954"/>
    <cellStyle name="20% - akcent 3 3 6 2 5" xfId="6955"/>
    <cellStyle name="20% - akcent 3 3 6 2 5 2" xfId="6956"/>
    <cellStyle name="20% - akcent 3 3 6 2 5 2 2" xfId="6957"/>
    <cellStyle name="20% - akcent 3 3 6 2 5 3" xfId="6958"/>
    <cellStyle name="20% - akcent 3 3 6 2 6" xfId="6959"/>
    <cellStyle name="20% - akcent 3 3 6 2 6 2" xfId="6960"/>
    <cellStyle name="20% - akcent 3 3 6 2 7" xfId="6961"/>
    <cellStyle name="20% - akcent 3 3 6 3" xfId="6962"/>
    <cellStyle name="20% - akcent 3 3 6 3 2" xfId="6963"/>
    <cellStyle name="20% - akcent 3 3 6 3 2 2" xfId="6964"/>
    <cellStyle name="20% - akcent 3 3 6 3 2 2 2" xfId="6965"/>
    <cellStyle name="20% - akcent 3 3 6 3 2 3" xfId="6966"/>
    <cellStyle name="20% - akcent 3 3 6 3 3" xfId="6967"/>
    <cellStyle name="20% - akcent 3 3 6 3 3 2" xfId="6968"/>
    <cellStyle name="20% - akcent 3 3 6 3 3 2 2" xfId="6969"/>
    <cellStyle name="20% - akcent 3 3 6 3 3 3" xfId="6970"/>
    <cellStyle name="20% - akcent 3 3 6 3 4" xfId="6971"/>
    <cellStyle name="20% - akcent 3 3 6 3 4 2" xfId="6972"/>
    <cellStyle name="20% - akcent 3 3 6 3 4 2 2" xfId="6973"/>
    <cellStyle name="20% - akcent 3 3 6 3 4 3" xfId="6974"/>
    <cellStyle name="20% - akcent 3 3 6 3 5" xfId="6975"/>
    <cellStyle name="20% - akcent 3 3 6 3 5 2" xfId="6976"/>
    <cellStyle name="20% - akcent 3 3 6 3 6" xfId="6977"/>
    <cellStyle name="20% - akcent 3 3 6 4" xfId="6978"/>
    <cellStyle name="20% - akcent 3 3 6 4 2" xfId="6979"/>
    <cellStyle name="20% - akcent 3 3 6 4 2 2" xfId="6980"/>
    <cellStyle name="20% - akcent 3 3 6 4 2 2 2" xfId="6981"/>
    <cellStyle name="20% - akcent 3 3 6 4 2 3" xfId="6982"/>
    <cellStyle name="20% - akcent 3 3 6 4 3" xfId="6983"/>
    <cellStyle name="20% - akcent 3 3 6 4 3 2" xfId="6984"/>
    <cellStyle name="20% - akcent 3 3 6 4 3 2 2" xfId="6985"/>
    <cellStyle name="20% - akcent 3 3 6 4 3 3" xfId="6986"/>
    <cellStyle name="20% - akcent 3 3 6 4 4" xfId="6987"/>
    <cellStyle name="20% - akcent 3 3 6 4 4 2" xfId="6988"/>
    <cellStyle name="20% - akcent 3 3 6 4 4 2 2" xfId="6989"/>
    <cellStyle name="20% - akcent 3 3 6 4 4 3" xfId="6990"/>
    <cellStyle name="20% - akcent 3 3 6 4 5" xfId="6991"/>
    <cellStyle name="20% - akcent 3 3 6 4 5 2" xfId="6992"/>
    <cellStyle name="20% - akcent 3 3 6 4 6" xfId="6993"/>
    <cellStyle name="20% - akcent 3 3 6 5" xfId="6994"/>
    <cellStyle name="20% - akcent 3 3 6 5 2" xfId="6995"/>
    <cellStyle name="20% - akcent 3 3 6 5 2 2" xfId="6996"/>
    <cellStyle name="20% - akcent 3 3 6 5 3" xfId="6997"/>
    <cellStyle name="20% - akcent 3 3 6 6" xfId="6998"/>
    <cellStyle name="20% - akcent 3 3 6 6 2" xfId="6999"/>
    <cellStyle name="20% - akcent 3 3 6 6 2 2" xfId="7000"/>
    <cellStyle name="20% - akcent 3 3 6 6 3" xfId="7001"/>
    <cellStyle name="20% - akcent 3 3 6 7" xfId="7002"/>
    <cellStyle name="20% - akcent 3 3 6 7 2" xfId="7003"/>
    <cellStyle name="20% - akcent 3 3 6 7 2 2" xfId="7004"/>
    <cellStyle name="20% - akcent 3 3 6 7 3" xfId="7005"/>
    <cellStyle name="20% - akcent 3 3 6 8" xfId="7006"/>
    <cellStyle name="20% - akcent 3 3 6 8 2" xfId="7007"/>
    <cellStyle name="20% - akcent 3 3 6 9" xfId="7008"/>
    <cellStyle name="20% - akcent 3 3 7" xfId="7009"/>
    <cellStyle name="20% - akcent 3 3 7 2" xfId="7010"/>
    <cellStyle name="20% - akcent 3 3 7 2 2" xfId="7011"/>
    <cellStyle name="20% - akcent 3 3 7 2 2 2" xfId="7012"/>
    <cellStyle name="20% - akcent 3 3 7 2 2 2 2" xfId="7013"/>
    <cellStyle name="20% - akcent 3 3 7 2 2 3" xfId="7014"/>
    <cellStyle name="20% - akcent 3 3 7 2 3" xfId="7015"/>
    <cellStyle name="20% - akcent 3 3 7 2 3 2" xfId="7016"/>
    <cellStyle name="20% - akcent 3 3 7 2 3 2 2" xfId="7017"/>
    <cellStyle name="20% - akcent 3 3 7 2 3 3" xfId="7018"/>
    <cellStyle name="20% - akcent 3 3 7 2 4" xfId="7019"/>
    <cellStyle name="20% - akcent 3 3 7 2 4 2" xfId="7020"/>
    <cellStyle name="20% - akcent 3 3 7 2 4 2 2" xfId="7021"/>
    <cellStyle name="20% - akcent 3 3 7 2 4 3" xfId="7022"/>
    <cellStyle name="20% - akcent 3 3 7 2 5" xfId="7023"/>
    <cellStyle name="20% - akcent 3 3 7 2 5 2" xfId="7024"/>
    <cellStyle name="20% - akcent 3 3 7 2 6" xfId="7025"/>
    <cellStyle name="20% - akcent 3 3 7 3" xfId="7026"/>
    <cellStyle name="20% - akcent 3 3 7 3 2" xfId="7027"/>
    <cellStyle name="20% - akcent 3 3 7 3 2 2" xfId="7028"/>
    <cellStyle name="20% - akcent 3 3 7 3 3" xfId="7029"/>
    <cellStyle name="20% - akcent 3 3 7 4" xfId="7030"/>
    <cellStyle name="20% - akcent 3 3 7 4 2" xfId="7031"/>
    <cellStyle name="20% - akcent 3 3 7 4 2 2" xfId="7032"/>
    <cellStyle name="20% - akcent 3 3 7 4 3" xfId="7033"/>
    <cellStyle name="20% - akcent 3 3 7 5" xfId="7034"/>
    <cellStyle name="20% - akcent 3 3 7 5 2" xfId="7035"/>
    <cellStyle name="20% - akcent 3 3 7 5 2 2" xfId="7036"/>
    <cellStyle name="20% - akcent 3 3 7 5 3" xfId="7037"/>
    <cellStyle name="20% - akcent 3 3 7 6" xfId="7038"/>
    <cellStyle name="20% - akcent 3 3 7 6 2" xfId="7039"/>
    <cellStyle name="20% - akcent 3 3 7 7" xfId="7040"/>
    <cellStyle name="20% - akcent 3 3 8" xfId="7041"/>
    <cellStyle name="20% - akcent 3 3 8 2" xfId="7042"/>
    <cellStyle name="20% - akcent 3 3 8 2 2" xfId="7043"/>
    <cellStyle name="20% - akcent 3 3 8 2 2 2" xfId="7044"/>
    <cellStyle name="20% - akcent 3 3 8 2 3" xfId="7045"/>
    <cellStyle name="20% - akcent 3 3 8 3" xfId="7046"/>
    <cellStyle name="20% - akcent 3 3 8 3 2" xfId="7047"/>
    <cellStyle name="20% - akcent 3 3 8 3 2 2" xfId="7048"/>
    <cellStyle name="20% - akcent 3 3 8 3 3" xfId="7049"/>
    <cellStyle name="20% - akcent 3 3 8 4" xfId="7050"/>
    <cellStyle name="20% - akcent 3 3 8 4 2" xfId="7051"/>
    <cellStyle name="20% - akcent 3 3 8 4 2 2" xfId="7052"/>
    <cellStyle name="20% - akcent 3 3 8 4 3" xfId="7053"/>
    <cellStyle name="20% - akcent 3 3 8 5" xfId="7054"/>
    <cellStyle name="20% - akcent 3 3 8 5 2" xfId="7055"/>
    <cellStyle name="20% - akcent 3 3 8 6" xfId="7056"/>
    <cellStyle name="20% - akcent 3 3 9" xfId="7057"/>
    <cellStyle name="20% - akcent 3 3 9 2" xfId="7058"/>
    <cellStyle name="20% - akcent 3 3 9 2 2" xfId="7059"/>
    <cellStyle name="20% - akcent 3 3 9 2 2 2" xfId="7060"/>
    <cellStyle name="20% - akcent 3 3 9 2 3" xfId="7061"/>
    <cellStyle name="20% - akcent 3 3 9 3" xfId="7062"/>
    <cellStyle name="20% - akcent 3 3 9 3 2" xfId="7063"/>
    <cellStyle name="20% - akcent 3 3 9 3 2 2" xfId="7064"/>
    <cellStyle name="20% - akcent 3 3 9 3 3" xfId="7065"/>
    <cellStyle name="20% - akcent 3 3 9 4" xfId="7066"/>
    <cellStyle name="20% - akcent 3 3 9 4 2" xfId="7067"/>
    <cellStyle name="20% - akcent 3 3 9 4 2 2" xfId="7068"/>
    <cellStyle name="20% - akcent 3 3 9 4 3" xfId="7069"/>
    <cellStyle name="20% - akcent 3 3 9 5" xfId="7070"/>
    <cellStyle name="20% - akcent 3 3 9 5 2" xfId="7071"/>
    <cellStyle name="20% - akcent 3 3 9 6" xfId="7072"/>
    <cellStyle name="20% - akcent 3 3_2011'05 Raport PGE_DO-CO2" xfId="7073"/>
    <cellStyle name="20% - akcent 3 4" xfId="7074"/>
    <cellStyle name="20% - akcent 3 4 2" xfId="7075"/>
    <cellStyle name="20% - akcent 3 4 2 2" xfId="7076"/>
    <cellStyle name="20% - akcent 3 4 2 2 2" xfId="7077"/>
    <cellStyle name="20% - akcent 3 4 2 2 2 2" xfId="7078"/>
    <cellStyle name="20% - akcent 3 4 2 2 2 2 2" xfId="7079"/>
    <cellStyle name="20% - akcent 3 4 2 2 2 2 2 2" xfId="7080"/>
    <cellStyle name="20% - akcent 3 4 2 2 2 2 2 2 2" xfId="7081"/>
    <cellStyle name="20% - akcent 3 4 2 2 2 2 2 3" xfId="7082"/>
    <cellStyle name="20% - akcent 3 4 2 2 2 2 3" xfId="7083"/>
    <cellStyle name="20% - akcent 3 4 2 2 2 2 3 2" xfId="7084"/>
    <cellStyle name="20% - akcent 3 4 2 2 2 2 3 2 2" xfId="7085"/>
    <cellStyle name="20% - akcent 3 4 2 2 2 2 3 3" xfId="7086"/>
    <cellStyle name="20% - akcent 3 4 2 2 2 2 4" xfId="7087"/>
    <cellStyle name="20% - akcent 3 4 2 2 2 2 4 2" xfId="7088"/>
    <cellStyle name="20% - akcent 3 4 2 2 2 2 4 2 2" xfId="7089"/>
    <cellStyle name="20% - akcent 3 4 2 2 2 2 4 3" xfId="7090"/>
    <cellStyle name="20% - akcent 3 4 2 2 2 2 5" xfId="7091"/>
    <cellStyle name="20% - akcent 3 4 2 2 2 2 5 2" xfId="7092"/>
    <cellStyle name="20% - akcent 3 4 2 2 2 2 6" xfId="7093"/>
    <cellStyle name="20% - akcent 3 4 2 2 2 3" xfId="7094"/>
    <cellStyle name="20% - akcent 3 4 2 2 2 3 2" xfId="7095"/>
    <cellStyle name="20% - akcent 3 4 2 2 2 3 2 2" xfId="7096"/>
    <cellStyle name="20% - akcent 3 4 2 2 2 3 3" xfId="7097"/>
    <cellStyle name="20% - akcent 3 4 2 2 2 4" xfId="7098"/>
    <cellStyle name="20% - akcent 3 4 2 2 2 4 2" xfId="7099"/>
    <cellStyle name="20% - akcent 3 4 2 2 2 4 2 2" xfId="7100"/>
    <cellStyle name="20% - akcent 3 4 2 2 2 4 3" xfId="7101"/>
    <cellStyle name="20% - akcent 3 4 2 2 2 5" xfId="7102"/>
    <cellStyle name="20% - akcent 3 4 2 2 2 5 2" xfId="7103"/>
    <cellStyle name="20% - akcent 3 4 2 2 2 5 2 2" xfId="7104"/>
    <cellStyle name="20% - akcent 3 4 2 2 2 5 3" xfId="7105"/>
    <cellStyle name="20% - akcent 3 4 2 2 2 6" xfId="7106"/>
    <cellStyle name="20% - akcent 3 4 2 2 2 6 2" xfId="7107"/>
    <cellStyle name="20% - akcent 3 4 2 2 2 7" xfId="7108"/>
    <cellStyle name="20% - akcent 3 4 2 2 3" xfId="7109"/>
    <cellStyle name="20% - akcent 3 4 2 2 3 2" xfId="7110"/>
    <cellStyle name="20% - akcent 3 4 2 2 3 2 2" xfId="7111"/>
    <cellStyle name="20% - akcent 3 4 2 2 3 2 2 2" xfId="7112"/>
    <cellStyle name="20% - akcent 3 4 2 2 3 2 3" xfId="7113"/>
    <cellStyle name="20% - akcent 3 4 2 2 3 3" xfId="7114"/>
    <cellStyle name="20% - akcent 3 4 2 2 3 3 2" xfId="7115"/>
    <cellStyle name="20% - akcent 3 4 2 2 3 3 2 2" xfId="7116"/>
    <cellStyle name="20% - akcent 3 4 2 2 3 3 3" xfId="7117"/>
    <cellStyle name="20% - akcent 3 4 2 2 3 4" xfId="7118"/>
    <cellStyle name="20% - akcent 3 4 2 2 3 4 2" xfId="7119"/>
    <cellStyle name="20% - akcent 3 4 2 2 3 4 2 2" xfId="7120"/>
    <cellStyle name="20% - akcent 3 4 2 2 3 4 3" xfId="7121"/>
    <cellStyle name="20% - akcent 3 4 2 2 3 5" xfId="7122"/>
    <cellStyle name="20% - akcent 3 4 2 2 3 5 2" xfId="7123"/>
    <cellStyle name="20% - akcent 3 4 2 2 3 6" xfId="7124"/>
    <cellStyle name="20% - akcent 3 4 2 2 4" xfId="7125"/>
    <cellStyle name="20% - akcent 3 4 2 2 4 2" xfId="7126"/>
    <cellStyle name="20% - akcent 3 4 2 2 4 2 2" xfId="7127"/>
    <cellStyle name="20% - akcent 3 4 2 2 4 2 2 2" xfId="7128"/>
    <cellStyle name="20% - akcent 3 4 2 2 4 2 3" xfId="7129"/>
    <cellStyle name="20% - akcent 3 4 2 2 4 3" xfId="7130"/>
    <cellStyle name="20% - akcent 3 4 2 2 4 3 2" xfId="7131"/>
    <cellStyle name="20% - akcent 3 4 2 2 4 3 2 2" xfId="7132"/>
    <cellStyle name="20% - akcent 3 4 2 2 4 3 3" xfId="7133"/>
    <cellStyle name="20% - akcent 3 4 2 2 4 4" xfId="7134"/>
    <cellStyle name="20% - akcent 3 4 2 2 4 4 2" xfId="7135"/>
    <cellStyle name="20% - akcent 3 4 2 2 4 4 2 2" xfId="7136"/>
    <cellStyle name="20% - akcent 3 4 2 2 4 4 3" xfId="7137"/>
    <cellStyle name="20% - akcent 3 4 2 2 4 5" xfId="7138"/>
    <cellStyle name="20% - akcent 3 4 2 2 4 5 2" xfId="7139"/>
    <cellStyle name="20% - akcent 3 4 2 2 4 6" xfId="7140"/>
    <cellStyle name="20% - akcent 3 4 2 2 5" xfId="7141"/>
    <cellStyle name="20% - akcent 3 4 2 2 5 2" xfId="7142"/>
    <cellStyle name="20% - akcent 3 4 2 2 5 2 2" xfId="7143"/>
    <cellStyle name="20% - akcent 3 4 2 2 5 3" xfId="7144"/>
    <cellStyle name="20% - akcent 3 4 2 2 6" xfId="7145"/>
    <cellStyle name="20% - akcent 3 4 2 2 6 2" xfId="7146"/>
    <cellStyle name="20% - akcent 3 4 2 2 6 2 2" xfId="7147"/>
    <cellStyle name="20% - akcent 3 4 2 2 6 3" xfId="7148"/>
    <cellStyle name="20% - akcent 3 4 2 2 7" xfId="7149"/>
    <cellStyle name="20% - akcent 3 4 2 2 7 2" xfId="7150"/>
    <cellStyle name="20% - akcent 3 4 2 2 7 2 2" xfId="7151"/>
    <cellStyle name="20% - akcent 3 4 2 2 7 3" xfId="7152"/>
    <cellStyle name="20% - akcent 3 4 2 2 8" xfId="7153"/>
    <cellStyle name="20% - akcent 3 4 2 2 8 2" xfId="7154"/>
    <cellStyle name="20% - akcent 3 4 2 2 9" xfId="7155"/>
    <cellStyle name="20% - akcent 3 4 2 3" xfId="7156"/>
    <cellStyle name="20% - akcent 3 4 2 3 2" xfId="7157"/>
    <cellStyle name="20% - akcent 3 4 2 3 2 2" xfId="7158"/>
    <cellStyle name="20% - akcent 3 4 2 3 2 2 2" xfId="7159"/>
    <cellStyle name="20% - akcent 3 4 2 3 2 2 2 2" xfId="7160"/>
    <cellStyle name="20% - akcent 3 4 2 3 2 2 3" xfId="7161"/>
    <cellStyle name="20% - akcent 3 4 2 3 2 3" xfId="7162"/>
    <cellStyle name="20% - akcent 3 4 2 3 2 3 2" xfId="7163"/>
    <cellStyle name="20% - akcent 3 4 2 3 2 3 2 2" xfId="7164"/>
    <cellStyle name="20% - akcent 3 4 2 3 2 3 3" xfId="7165"/>
    <cellStyle name="20% - akcent 3 4 2 3 2 4" xfId="7166"/>
    <cellStyle name="20% - akcent 3 4 2 3 2 4 2" xfId="7167"/>
    <cellStyle name="20% - akcent 3 4 2 3 2 4 2 2" xfId="7168"/>
    <cellStyle name="20% - akcent 3 4 2 3 2 4 3" xfId="7169"/>
    <cellStyle name="20% - akcent 3 4 2 3 2 5" xfId="7170"/>
    <cellStyle name="20% - akcent 3 4 2 3 2 5 2" xfId="7171"/>
    <cellStyle name="20% - akcent 3 4 2 3 2 6" xfId="7172"/>
    <cellStyle name="20% - akcent 3 4 2 3 3" xfId="7173"/>
    <cellStyle name="20% - akcent 3 4 2 3 3 2" xfId="7174"/>
    <cellStyle name="20% - akcent 3 4 2 3 3 2 2" xfId="7175"/>
    <cellStyle name="20% - akcent 3 4 2 3 3 3" xfId="7176"/>
    <cellStyle name="20% - akcent 3 4 2 3 4" xfId="7177"/>
    <cellStyle name="20% - akcent 3 4 2 3 4 2" xfId="7178"/>
    <cellStyle name="20% - akcent 3 4 2 3 4 2 2" xfId="7179"/>
    <cellStyle name="20% - akcent 3 4 2 3 4 3" xfId="7180"/>
    <cellStyle name="20% - akcent 3 4 2 3 5" xfId="7181"/>
    <cellStyle name="20% - akcent 3 4 2 3 5 2" xfId="7182"/>
    <cellStyle name="20% - akcent 3 4 2 3 5 2 2" xfId="7183"/>
    <cellStyle name="20% - akcent 3 4 2 3 5 3" xfId="7184"/>
    <cellStyle name="20% - akcent 3 4 2 3 6" xfId="7185"/>
    <cellStyle name="20% - akcent 3 4 2 3 6 2" xfId="7186"/>
    <cellStyle name="20% - akcent 3 4 2 3 7" xfId="7187"/>
    <cellStyle name="20% - akcent 3 4 2 4" xfId="7188"/>
    <cellStyle name="20% - akcent 3 4 2 4 2" xfId="7189"/>
    <cellStyle name="20% - akcent 3 4 2 4 2 2" xfId="7190"/>
    <cellStyle name="20% - akcent 3 4 2 4 2 2 2" xfId="7191"/>
    <cellStyle name="20% - akcent 3 4 2 4 2 3" xfId="7192"/>
    <cellStyle name="20% - akcent 3 4 2 4 3" xfId="7193"/>
    <cellStyle name="20% - akcent 3 4 2 4 3 2" xfId="7194"/>
    <cellStyle name="20% - akcent 3 4 2 4 3 2 2" xfId="7195"/>
    <cellStyle name="20% - akcent 3 4 2 4 3 3" xfId="7196"/>
    <cellStyle name="20% - akcent 3 4 2 4 4" xfId="7197"/>
    <cellStyle name="20% - akcent 3 4 2 4 4 2" xfId="7198"/>
    <cellStyle name="20% - akcent 3 4 2 4 4 2 2" xfId="7199"/>
    <cellStyle name="20% - akcent 3 4 2 4 4 3" xfId="7200"/>
    <cellStyle name="20% - akcent 3 4 2 4 5" xfId="7201"/>
    <cellStyle name="20% - akcent 3 4 2 4 5 2" xfId="7202"/>
    <cellStyle name="20% - akcent 3 4 2 4 6" xfId="7203"/>
    <cellStyle name="20% - akcent 3 4 2 5" xfId="7204"/>
    <cellStyle name="20% - akcent 3 4 2 5 2" xfId="7205"/>
    <cellStyle name="20% - akcent 3 4 2 5 2 2" xfId="7206"/>
    <cellStyle name="20% - akcent 3 4 2 5 2 2 2" xfId="7207"/>
    <cellStyle name="20% - akcent 3 4 2 5 2 3" xfId="7208"/>
    <cellStyle name="20% - akcent 3 4 2 5 3" xfId="7209"/>
    <cellStyle name="20% - akcent 3 4 2 5 3 2" xfId="7210"/>
    <cellStyle name="20% - akcent 3 4 2 5 3 2 2" xfId="7211"/>
    <cellStyle name="20% - akcent 3 4 2 5 3 3" xfId="7212"/>
    <cellStyle name="20% - akcent 3 4 2 5 4" xfId="7213"/>
    <cellStyle name="20% - akcent 3 4 2 5 4 2" xfId="7214"/>
    <cellStyle name="20% - akcent 3 4 2 5 4 2 2" xfId="7215"/>
    <cellStyle name="20% - akcent 3 4 2 5 4 3" xfId="7216"/>
    <cellStyle name="20% - akcent 3 4 2 5 5" xfId="7217"/>
    <cellStyle name="20% - akcent 3 4 2 5 5 2" xfId="7218"/>
    <cellStyle name="20% - akcent 3 4 2 5 6" xfId="7219"/>
    <cellStyle name="20% - akcent 3 4 2 6" xfId="7220"/>
    <cellStyle name="20% - akcent 3 4 2 7" xfId="7221"/>
    <cellStyle name="20% - akcent 3 4 2 7 2" xfId="7222"/>
    <cellStyle name="20% - akcent 3 4 2 7 2 2" xfId="7223"/>
    <cellStyle name="20% - akcent 3 4 2 7 2 2 2" xfId="7224"/>
    <cellStyle name="20% - akcent 3 4 2 7 2 3" xfId="7225"/>
    <cellStyle name="20% - akcent 3 4 2 7 3" xfId="7226"/>
    <cellStyle name="20% - akcent 3 4 2 7 3 2" xfId="7227"/>
    <cellStyle name="20% - akcent 3 4 2 7 3 2 2" xfId="7228"/>
    <cellStyle name="20% - akcent 3 4 2 7 3 3" xfId="7229"/>
    <cellStyle name="20% - akcent 3 4 2 7 4" xfId="7230"/>
    <cellStyle name="20% - akcent 3 4 2 7 4 2" xfId="7231"/>
    <cellStyle name="20% - akcent 3 4 2 7 4 2 2" xfId="7232"/>
    <cellStyle name="20% - akcent 3 4 2 7 4 3" xfId="7233"/>
    <cellStyle name="20% - akcent 3 4 2 7 5" xfId="7234"/>
    <cellStyle name="20% - akcent 3 4 2 7 5 2" xfId="7235"/>
    <cellStyle name="20% - akcent 3 4 2 7 6" xfId="7236"/>
    <cellStyle name="20% - akcent 3 4 3" xfId="7237"/>
    <cellStyle name="20% - akcent 3 4 3 2" xfId="7238"/>
    <cellStyle name="20% - akcent 3 4 3 2 2" xfId="7239"/>
    <cellStyle name="20% - akcent 3 4 3 2 2 2" xfId="7240"/>
    <cellStyle name="20% - akcent 3 4 3 2 2 2 2" xfId="7241"/>
    <cellStyle name="20% - akcent 3 4 3 2 2 2 2 2" xfId="7242"/>
    <cellStyle name="20% - akcent 3 4 3 2 2 2 3" xfId="7243"/>
    <cellStyle name="20% - akcent 3 4 3 2 2 3" xfId="7244"/>
    <cellStyle name="20% - akcent 3 4 3 2 2 3 2" xfId="7245"/>
    <cellStyle name="20% - akcent 3 4 3 2 2 3 2 2" xfId="7246"/>
    <cellStyle name="20% - akcent 3 4 3 2 2 3 3" xfId="7247"/>
    <cellStyle name="20% - akcent 3 4 3 2 2 4" xfId="7248"/>
    <cellStyle name="20% - akcent 3 4 3 2 2 4 2" xfId="7249"/>
    <cellStyle name="20% - akcent 3 4 3 2 2 4 2 2" xfId="7250"/>
    <cellStyle name="20% - akcent 3 4 3 2 2 4 3" xfId="7251"/>
    <cellStyle name="20% - akcent 3 4 3 2 2 5" xfId="7252"/>
    <cellStyle name="20% - akcent 3 4 3 2 2 5 2" xfId="7253"/>
    <cellStyle name="20% - akcent 3 4 3 2 2 6" xfId="7254"/>
    <cellStyle name="20% - akcent 3 4 3 2 3" xfId="7255"/>
    <cellStyle name="20% - akcent 3 4 3 2 3 2" xfId="7256"/>
    <cellStyle name="20% - akcent 3 4 3 2 3 2 2" xfId="7257"/>
    <cellStyle name="20% - akcent 3 4 3 2 3 3" xfId="7258"/>
    <cellStyle name="20% - akcent 3 4 3 2 4" xfId="7259"/>
    <cellStyle name="20% - akcent 3 4 3 2 4 2" xfId="7260"/>
    <cellStyle name="20% - akcent 3 4 3 2 4 2 2" xfId="7261"/>
    <cellStyle name="20% - akcent 3 4 3 2 4 3" xfId="7262"/>
    <cellStyle name="20% - akcent 3 4 3 2 5" xfId="7263"/>
    <cellStyle name="20% - akcent 3 4 3 2 5 2" xfId="7264"/>
    <cellStyle name="20% - akcent 3 4 3 2 5 2 2" xfId="7265"/>
    <cellStyle name="20% - akcent 3 4 3 2 5 3" xfId="7266"/>
    <cellStyle name="20% - akcent 3 4 3 2 6" xfId="7267"/>
    <cellStyle name="20% - akcent 3 4 3 2 6 2" xfId="7268"/>
    <cellStyle name="20% - akcent 3 4 3 2 7" xfId="7269"/>
    <cellStyle name="20% - akcent 3 4 3 3" xfId="7270"/>
    <cellStyle name="20% - akcent 3 4 3 3 2" xfId="7271"/>
    <cellStyle name="20% - akcent 3 4 3 3 2 2" xfId="7272"/>
    <cellStyle name="20% - akcent 3 4 3 3 2 2 2" xfId="7273"/>
    <cellStyle name="20% - akcent 3 4 3 3 2 3" xfId="7274"/>
    <cellStyle name="20% - akcent 3 4 3 3 3" xfId="7275"/>
    <cellStyle name="20% - akcent 3 4 3 3 3 2" xfId="7276"/>
    <cellStyle name="20% - akcent 3 4 3 3 3 2 2" xfId="7277"/>
    <cellStyle name="20% - akcent 3 4 3 3 3 3" xfId="7278"/>
    <cellStyle name="20% - akcent 3 4 3 3 4" xfId="7279"/>
    <cellStyle name="20% - akcent 3 4 3 3 4 2" xfId="7280"/>
    <cellStyle name="20% - akcent 3 4 3 3 4 2 2" xfId="7281"/>
    <cellStyle name="20% - akcent 3 4 3 3 4 3" xfId="7282"/>
    <cellStyle name="20% - akcent 3 4 3 3 5" xfId="7283"/>
    <cellStyle name="20% - akcent 3 4 3 3 5 2" xfId="7284"/>
    <cellStyle name="20% - akcent 3 4 3 3 6" xfId="7285"/>
    <cellStyle name="20% - akcent 3 4 3 4" xfId="7286"/>
    <cellStyle name="20% - akcent 3 4 3 4 2" xfId="7287"/>
    <cellStyle name="20% - akcent 3 4 3 4 2 2" xfId="7288"/>
    <cellStyle name="20% - akcent 3 4 3 4 2 2 2" xfId="7289"/>
    <cellStyle name="20% - akcent 3 4 3 4 2 3" xfId="7290"/>
    <cellStyle name="20% - akcent 3 4 3 4 3" xfId="7291"/>
    <cellStyle name="20% - akcent 3 4 3 4 3 2" xfId="7292"/>
    <cellStyle name="20% - akcent 3 4 3 4 3 2 2" xfId="7293"/>
    <cellStyle name="20% - akcent 3 4 3 4 3 3" xfId="7294"/>
    <cellStyle name="20% - akcent 3 4 3 4 4" xfId="7295"/>
    <cellStyle name="20% - akcent 3 4 3 4 4 2" xfId="7296"/>
    <cellStyle name="20% - akcent 3 4 3 4 4 2 2" xfId="7297"/>
    <cellStyle name="20% - akcent 3 4 3 4 4 3" xfId="7298"/>
    <cellStyle name="20% - akcent 3 4 3 4 5" xfId="7299"/>
    <cellStyle name="20% - akcent 3 4 3 4 5 2" xfId="7300"/>
    <cellStyle name="20% - akcent 3 4 3 4 6" xfId="7301"/>
    <cellStyle name="20% - akcent 3 4 3 5" xfId="7302"/>
    <cellStyle name="20% - akcent 3 4 3 5 2" xfId="7303"/>
    <cellStyle name="20% - akcent 3 4 3 5 2 2" xfId="7304"/>
    <cellStyle name="20% - akcent 3 4 3 5 2 2 2" xfId="7305"/>
    <cellStyle name="20% - akcent 3 4 3 5 2 3" xfId="7306"/>
    <cellStyle name="20% - akcent 3 4 3 5 3" xfId="7307"/>
    <cellStyle name="20% - akcent 3 4 3 5 3 2" xfId="7308"/>
    <cellStyle name="20% - akcent 3 4 3 5 3 2 2" xfId="7309"/>
    <cellStyle name="20% - akcent 3 4 3 5 3 3" xfId="7310"/>
    <cellStyle name="20% - akcent 3 4 3 5 4" xfId="7311"/>
    <cellStyle name="20% - akcent 3 4 3 5 4 2" xfId="7312"/>
    <cellStyle name="20% - akcent 3 4 3 5 4 2 2" xfId="7313"/>
    <cellStyle name="20% - akcent 3 4 3 5 4 3" xfId="7314"/>
    <cellStyle name="20% - akcent 3 4 3 5 5" xfId="7315"/>
    <cellStyle name="20% - akcent 3 4 3 5 5 2" xfId="7316"/>
    <cellStyle name="20% - akcent 3 4 3 5 6" xfId="7317"/>
    <cellStyle name="20% - akcent 3 4 4" xfId="7318"/>
    <cellStyle name="20% - akcent 3 4 4 2" xfId="7319"/>
    <cellStyle name="20% - akcent 3 4 4 2 2" xfId="7320"/>
    <cellStyle name="20% - akcent 3 4 4 2 2 2" xfId="7321"/>
    <cellStyle name="20% - akcent 3 4 4 2 2 2 2" xfId="7322"/>
    <cellStyle name="20% - akcent 3 4 4 2 2 3" xfId="7323"/>
    <cellStyle name="20% - akcent 3 4 4 2 3" xfId="7324"/>
    <cellStyle name="20% - akcent 3 4 4 2 3 2" xfId="7325"/>
    <cellStyle name="20% - akcent 3 4 4 2 3 2 2" xfId="7326"/>
    <cellStyle name="20% - akcent 3 4 4 2 3 3" xfId="7327"/>
    <cellStyle name="20% - akcent 3 4 4 2 4" xfId="7328"/>
    <cellStyle name="20% - akcent 3 4 4 2 4 2" xfId="7329"/>
    <cellStyle name="20% - akcent 3 4 4 2 4 2 2" xfId="7330"/>
    <cellStyle name="20% - akcent 3 4 4 2 4 3" xfId="7331"/>
    <cellStyle name="20% - akcent 3 4 4 2 5" xfId="7332"/>
    <cellStyle name="20% - akcent 3 4 4 2 5 2" xfId="7333"/>
    <cellStyle name="20% - akcent 3 4 4 2 6" xfId="7334"/>
    <cellStyle name="20% - akcent 3 4 4 3" xfId="7335"/>
    <cellStyle name="20% - akcent 3 4 4 3 2" xfId="7336"/>
    <cellStyle name="20% - akcent 3 4 4 3 2 2" xfId="7337"/>
    <cellStyle name="20% - akcent 3 4 4 3 2 2 2" xfId="7338"/>
    <cellStyle name="20% - akcent 3 4 4 3 2 3" xfId="7339"/>
    <cellStyle name="20% - akcent 3 4 4 3 3" xfId="7340"/>
    <cellStyle name="20% - akcent 3 4 4 3 3 2" xfId="7341"/>
    <cellStyle name="20% - akcent 3 4 4 3 3 2 2" xfId="7342"/>
    <cellStyle name="20% - akcent 3 4 4 3 3 3" xfId="7343"/>
    <cellStyle name="20% - akcent 3 4 4 3 4" xfId="7344"/>
    <cellStyle name="20% - akcent 3 4 4 3 4 2" xfId="7345"/>
    <cellStyle name="20% - akcent 3 4 4 3 4 2 2" xfId="7346"/>
    <cellStyle name="20% - akcent 3 4 4 3 4 3" xfId="7347"/>
    <cellStyle name="20% - akcent 3 4 4 3 5" xfId="7348"/>
    <cellStyle name="20% - akcent 3 4 4 3 5 2" xfId="7349"/>
    <cellStyle name="20% - akcent 3 4 4 3 6" xfId="7350"/>
    <cellStyle name="20% - akcent 3 4 5" xfId="7351"/>
    <cellStyle name="20% - akcent 3 4 5 2" xfId="7352"/>
    <cellStyle name="20% - akcent 3 4 5 2 2" xfId="7353"/>
    <cellStyle name="20% - akcent 3 4 5 2 2 2" xfId="7354"/>
    <cellStyle name="20% - akcent 3 4 5 2 3" xfId="7355"/>
    <cellStyle name="20% - akcent 3 4 5 3" xfId="7356"/>
    <cellStyle name="20% - akcent 3 4 5 3 2" xfId="7357"/>
    <cellStyle name="20% - akcent 3 4 5 3 2 2" xfId="7358"/>
    <cellStyle name="20% - akcent 3 4 5 3 3" xfId="7359"/>
    <cellStyle name="20% - akcent 3 4 5 4" xfId="7360"/>
    <cellStyle name="20% - akcent 3 4 5 4 2" xfId="7361"/>
    <cellStyle name="20% - akcent 3 4 5 4 2 2" xfId="7362"/>
    <cellStyle name="20% - akcent 3 4 5 4 3" xfId="7363"/>
    <cellStyle name="20% - akcent 3 4 5 5" xfId="7364"/>
    <cellStyle name="20% - akcent 3 4 5 5 2" xfId="7365"/>
    <cellStyle name="20% - akcent 3 4 5 6" xfId="7366"/>
    <cellStyle name="20% - akcent 3 4 6" xfId="7367"/>
    <cellStyle name="20% - akcent 3 4 6 2" xfId="7368"/>
    <cellStyle name="20% - akcent 3 4 6 2 2" xfId="7369"/>
    <cellStyle name="20% - akcent 3 4 6 2 2 2" xfId="7370"/>
    <cellStyle name="20% - akcent 3 4 6 2 3" xfId="7371"/>
    <cellStyle name="20% - akcent 3 4 6 3" xfId="7372"/>
    <cellStyle name="20% - akcent 3 4 6 3 2" xfId="7373"/>
    <cellStyle name="20% - akcent 3 4 6 3 2 2" xfId="7374"/>
    <cellStyle name="20% - akcent 3 4 6 3 3" xfId="7375"/>
    <cellStyle name="20% - akcent 3 4 6 4" xfId="7376"/>
    <cellStyle name="20% - akcent 3 4 6 4 2" xfId="7377"/>
    <cellStyle name="20% - akcent 3 4 6 4 2 2" xfId="7378"/>
    <cellStyle name="20% - akcent 3 4 6 4 3" xfId="7379"/>
    <cellStyle name="20% - akcent 3 4 6 5" xfId="7380"/>
    <cellStyle name="20% - akcent 3 4 6 5 2" xfId="7381"/>
    <cellStyle name="20% - akcent 3 4 6 6" xfId="7382"/>
    <cellStyle name="20% - akcent 3 4 7" xfId="7383"/>
    <cellStyle name="20% - akcent 3 4 7 2" xfId="7384"/>
    <cellStyle name="20% - akcent 3 4 7 2 2" xfId="7385"/>
    <cellStyle name="20% - akcent 3 4 7 2 2 2" xfId="7386"/>
    <cellStyle name="20% - akcent 3 4 7 2 3" xfId="7387"/>
    <cellStyle name="20% - akcent 3 4 7 3" xfId="7388"/>
    <cellStyle name="20% - akcent 3 4 7 3 2" xfId="7389"/>
    <cellStyle name="20% - akcent 3 4 7 3 2 2" xfId="7390"/>
    <cellStyle name="20% - akcent 3 4 7 3 3" xfId="7391"/>
    <cellStyle name="20% - akcent 3 4 7 4" xfId="7392"/>
    <cellStyle name="20% - akcent 3 4 7 4 2" xfId="7393"/>
    <cellStyle name="20% - akcent 3 4 7 4 2 2" xfId="7394"/>
    <cellStyle name="20% - akcent 3 4 7 4 3" xfId="7395"/>
    <cellStyle name="20% - akcent 3 4 7 5" xfId="7396"/>
    <cellStyle name="20% - akcent 3 4 7 5 2" xfId="7397"/>
    <cellStyle name="20% - akcent 3 4 7 6" xfId="7398"/>
    <cellStyle name="20% - akcent 3 4_2011'05 Raport PGE_DO-CO2" xfId="7399"/>
    <cellStyle name="20% - akcent 3 5" xfId="7400"/>
    <cellStyle name="20% - akcent 3 5 2" xfId="7401"/>
    <cellStyle name="20% - akcent 3 5 2 2" xfId="7402"/>
    <cellStyle name="20% - akcent 3 5 2 2 2" xfId="7403"/>
    <cellStyle name="20% - akcent 3 5 2 2 2 2" xfId="7404"/>
    <cellStyle name="20% - akcent 3 5 2 2 2 2 2" xfId="7405"/>
    <cellStyle name="20% - akcent 3 5 2 2 2 2 2 2" xfId="7406"/>
    <cellStyle name="20% - akcent 3 5 2 2 2 2 3" xfId="7407"/>
    <cellStyle name="20% - akcent 3 5 2 2 2 3" xfId="7408"/>
    <cellStyle name="20% - akcent 3 5 2 2 2 3 2" xfId="7409"/>
    <cellStyle name="20% - akcent 3 5 2 2 2 3 2 2" xfId="7410"/>
    <cellStyle name="20% - akcent 3 5 2 2 2 3 3" xfId="7411"/>
    <cellStyle name="20% - akcent 3 5 2 2 2 4" xfId="7412"/>
    <cellStyle name="20% - akcent 3 5 2 2 2 4 2" xfId="7413"/>
    <cellStyle name="20% - akcent 3 5 2 2 2 4 2 2" xfId="7414"/>
    <cellStyle name="20% - akcent 3 5 2 2 2 4 3" xfId="7415"/>
    <cellStyle name="20% - akcent 3 5 2 2 2 5" xfId="7416"/>
    <cellStyle name="20% - akcent 3 5 2 2 2 5 2" xfId="7417"/>
    <cellStyle name="20% - akcent 3 5 2 2 2 6" xfId="7418"/>
    <cellStyle name="20% - akcent 3 5 2 2 3" xfId="7419"/>
    <cellStyle name="20% - akcent 3 5 2 2 3 2" xfId="7420"/>
    <cellStyle name="20% - akcent 3 5 2 2 3 2 2" xfId="7421"/>
    <cellStyle name="20% - akcent 3 5 2 2 3 3" xfId="7422"/>
    <cellStyle name="20% - akcent 3 5 2 2 4" xfId="7423"/>
    <cellStyle name="20% - akcent 3 5 2 2 4 2" xfId="7424"/>
    <cellStyle name="20% - akcent 3 5 2 2 4 2 2" xfId="7425"/>
    <cellStyle name="20% - akcent 3 5 2 2 4 3" xfId="7426"/>
    <cellStyle name="20% - akcent 3 5 2 2 5" xfId="7427"/>
    <cellStyle name="20% - akcent 3 5 2 2 5 2" xfId="7428"/>
    <cellStyle name="20% - akcent 3 5 2 2 5 2 2" xfId="7429"/>
    <cellStyle name="20% - akcent 3 5 2 2 5 3" xfId="7430"/>
    <cellStyle name="20% - akcent 3 5 2 2 6" xfId="7431"/>
    <cellStyle name="20% - akcent 3 5 2 2 6 2" xfId="7432"/>
    <cellStyle name="20% - akcent 3 5 2 2 7" xfId="7433"/>
    <cellStyle name="20% - akcent 3 5 2 3" xfId="7434"/>
    <cellStyle name="20% - akcent 3 5 2 3 2" xfId="7435"/>
    <cellStyle name="20% - akcent 3 5 2 3 2 2" xfId="7436"/>
    <cellStyle name="20% - akcent 3 5 2 3 2 2 2" xfId="7437"/>
    <cellStyle name="20% - akcent 3 5 2 3 2 3" xfId="7438"/>
    <cellStyle name="20% - akcent 3 5 2 3 3" xfId="7439"/>
    <cellStyle name="20% - akcent 3 5 2 3 3 2" xfId="7440"/>
    <cellStyle name="20% - akcent 3 5 2 3 3 2 2" xfId="7441"/>
    <cellStyle name="20% - akcent 3 5 2 3 3 3" xfId="7442"/>
    <cellStyle name="20% - akcent 3 5 2 3 4" xfId="7443"/>
    <cellStyle name="20% - akcent 3 5 2 3 4 2" xfId="7444"/>
    <cellStyle name="20% - akcent 3 5 2 3 4 2 2" xfId="7445"/>
    <cellStyle name="20% - akcent 3 5 2 3 4 3" xfId="7446"/>
    <cellStyle name="20% - akcent 3 5 2 3 5" xfId="7447"/>
    <cellStyle name="20% - akcent 3 5 2 3 5 2" xfId="7448"/>
    <cellStyle name="20% - akcent 3 5 2 3 6" xfId="7449"/>
    <cellStyle name="20% - akcent 3 5 2 4" xfId="7450"/>
    <cellStyle name="20% - akcent 3 5 2 4 2" xfId="7451"/>
    <cellStyle name="20% - akcent 3 5 2 4 2 2" xfId="7452"/>
    <cellStyle name="20% - akcent 3 5 2 4 2 2 2" xfId="7453"/>
    <cellStyle name="20% - akcent 3 5 2 4 2 3" xfId="7454"/>
    <cellStyle name="20% - akcent 3 5 2 4 3" xfId="7455"/>
    <cellStyle name="20% - akcent 3 5 2 4 3 2" xfId="7456"/>
    <cellStyle name="20% - akcent 3 5 2 4 3 2 2" xfId="7457"/>
    <cellStyle name="20% - akcent 3 5 2 4 3 3" xfId="7458"/>
    <cellStyle name="20% - akcent 3 5 2 4 4" xfId="7459"/>
    <cellStyle name="20% - akcent 3 5 2 4 4 2" xfId="7460"/>
    <cellStyle name="20% - akcent 3 5 2 4 4 2 2" xfId="7461"/>
    <cellStyle name="20% - akcent 3 5 2 4 4 3" xfId="7462"/>
    <cellStyle name="20% - akcent 3 5 2 4 5" xfId="7463"/>
    <cellStyle name="20% - akcent 3 5 2 4 5 2" xfId="7464"/>
    <cellStyle name="20% - akcent 3 5 2 4 6" xfId="7465"/>
    <cellStyle name="20% - akcent 3 5 2 5" xfId="7466"/>
    <cellStyle name="20% - akcent 3 5 2 6" xfId="7467"/>
    <cellStyle name="20% - akcent 3 5 2 6 2" xfId="7468"/>
    <cellStyle name="20% - akcent 3 5 2 6 2 2" xfId="7469"/>
    <cellStyle name="20% - akcent 3 5 2 6 2 2 2" xfId="7470"/>
    <cellStyle name="20% - akcent 3 5 2 6 2 3" xfId="7471"/>
    <cellStyle name="20% - akcent 3 5 2 6 3" xfId="7472"/>
    <cellStyle name="20% - akcent 3 5 2 6 3 2" xfId="7473"/>
    <cellStyle name="20% - akcent 3 5 2 6 3 2 2" xfId="7474"/>
    <cellStyle name="20% - akcent 3 5 2 6 3 3" xfId="7475"/>
    <cellStyle name="20% - akcent 3 5 2 6 4" xfId="7476"/>
    <cellStyle name="20% - akcent 3 5 2 6 4 2" xfId="7477"/>
    <cellStyle name="20% - akcent 3 5 2 6 4 2 2" xfId="7478"/>
    <cellStyle name="20% - akcent 3 5 2 6 4 3" xfId="7479"/>
    <cellStyle name="20% - akcent 3 5 2 6 5" xfId="7480"/>
    <cellStyle name="20% - akcent 3 5 2 6 5 2" xfId="7481"/>
    <cellStyle name="20% - akcent 3 5 2 6 6" xfId="7482"/>
    <cellStyle name="20% - akcent 3 5 3" xfId="7483"/>
    <cellStyle name="20% - akcent 3 5 3 2" xfId="7484"/>
    <cellStyle name="20% - akcent 3 5 3 2 2" xfId="7485"/>
    <cellStyle name="20% - akcent 3 5 3 2 2 2" xfId="7486"/>
    <cellStyle name="20% - akcent 3 5 3 2 2 2 2" xfId="7487"/>
    <cellStyle name="20% - akcent 3 5 3 2 2 3" xfId="7488"/>
    <cellStyle name="20% - akcent 3 5 3 2 3" xfId="7489"/>
    <cellStyle name="20% - akcent 3 5 3 2 3 2" xfId="7490"/>
    <cellStyle name="20% - akcent 3 5 3 2 3 2 2" xfId="7491"/>
    <cellStyle name="20% - akcent 3 5 3 2 3 3" xfId="7492"/>
    <cellStyle name="20% - akcent 3 5 3 2 4" xfId="7493"/>
    <cellStyle name="20% - akcent 3 5 3 2 4 2" xfId="7494"/>
    <cellStyle name="20% - akcent 3 5 3 2 4 2 2" xfId="7495"/>
    <cellStyle name="20% - akcent 3 5 3 2 4 3" xfId="7496"/>
    <cellStyle name="20% - akcent 3 5 3 2 5" xfId="7497"/>
    <cellStyle name="20% - akcent 3 5 3 2 5 2" xfId="7498"/>
    <cellStyle name="20% - akcent 3 5 3 2 6" xfId="7499"/>
    <cellStyle name="20% - akcent 3 5 3 3" xfId="7500"/>
    <cellStyle name="20% - akcent 3 5 3 3 2" xfId="7501"/>
    <cellStyle name="20% - akcent 3 5 3 3 2 2" xfId="7502"/>
    <cellStyle name="20% - akcent 3 5 3 3 3" xfId="7503"/>
    <cellStyle name="20% - akcent 3 5 3 4" xfId="7504"/>
    <cellStyle name="20% - akcent 3 5 3 4 2" xfId="7505"/>
    <cellStyle name="20% - akcent 3 5 3 4 2 2" xfId="7506"/>
    <cellStyle name="20% - akcent 3 5 3 4 3" xfId="7507"/>
    <cellStyle name="20% - akcent 3 5 3 5" xfId="7508"/>
    <cellStyle name="20% - akcent 3 5 3 5 2" xfId="7509"/>
    <cellStyle name="20% - akcent 3 5 3 5 2 2" xfId="7510"/>
    <cellStyle name="20% - akcent 3 5 3 5 3" xfId="7511"/>
    <cellStyle name="20% - akcent 3 5 3 6" xfId="7512"/>
    <cellStyle name="20% - akcent 3 5 3 6 2" xfId="7513"/>
    <cellStyle name="20% - akcent 3 5 3 7" xfId="7514"/>
    <cellStyle name="20% - akcent 3 5 4" xfId="7515"/>
    <cellStyle name="20% - akcent 3 5 4 2" xfId="7516"/>
    <cellStyle name="20% - akcent 3 5 4 2 2" xfId="7517"/>
    <cellStyle name="20% - akcent 3 5 4 2 2 2" xfId="7518"/>
    <cellStyle name="20% - akcent 3 5 4 2 3" xfId="7519"/>
    <cellStyle name="20% - akcent 3 5 4 3" xfId="7520"/>
    <cellStyle name="20% - akcent 3 5 4 3 2" xfId="7521"/>
    <cellStyle name="20% - akcent 3 5 4 3 2 2" xfId="7522"/>
    <cellStyle name="20% - akcent 3 5 4 3 3" xfId="7523"/>
    <cellStyle name="20% - akcent 3 5 4 4" xfId="7524"/>
    <cellStyle name="20% - akcent 3 5 4 4 2" xfId="7525"/>
    <cellStyle name="20% - akcent 3 5 4 4 2 2" xfId="7526"/>
    <cellStyle name="20% - akcent 3 5 4 4 3" xfId="7527"/>
    <cellStyle name="20% - akcent 3 5 4 5" xfId="7528"/>
    <cellStyle name="20% - akcent 3 5 4 5 2" xfId="7529"/>
    <cellStyle name="20% - akcent 3 5 4 6" xfId="7530"/>
    <cellStyle name="20% - akcent 3 5 5" xfId="7531"/>
    <cellStyle name="20% - akcent 3 5 5 2" xfId="7532"/>
    <cellStyle name="20% - akcent 3 5 5 2 2" xfId="7533"/>
    <cellStyle name="20% - akcent 3 5 5 2 2 2" xfId="7534"/>
    <cellStyle name="20% - akcent 3 5 5 2 3" xfId="7535"/>
    <cellStyle name="20% - akcent 3 5 5 3" xfId="7536"/>
    <cellStyle name="20% - akcent 3 5 5 3 2" xfId="7537"/>
    <cellStyle name="20% - akcent 3 5 5 3 2 2" xfId="7538"/>
    <cellStyle name="20% - akcent 3 5 5 3 3" xfId="7539"/>
    <cellStyle name="20% - akcent 3 5 5 4" xfId="7540"/>
    <cellStyle name="20% - akcent 3 5 5 4 2" xfId="7541"/>
    <cellStyle name="20% - akcent 3 5 5 4 2 2" xfId="7542"/>
    <cellStyle name="20% - akcent 3 5 5 4 3" xfId="7543"/>
    <cellStyle name="20% - akcent 3 5 5 5" xfId="7544"/>
    <cellStyle name="20% - akcent 3 5 5 5 2" xfId="7545"/>
    <cellStyle name="20% - akcent 3 5 5 6" xfId="7546"/>
    <cellStyle name="20% - akcent 3 5 6" xfId="7547"/>
    <cellStyle name="20% - akcent 3 5 6 2" xfId="7548"/>
    <cellStyle name="20% - akcent 3 5 6 2 2" xfId="7549"/>
    <cellStyle name="20% - akcent 3 5 6 2 2 2" xfId="7550"/>
    <cellStyle name="20% - akcent 3 5 6 2 3" xfId="7551"/>
    <cellStyle name="20% - akcent 3 5 6 3" xfId="7552"/>
    <cellStyle name="20% - akcent 3 5 6 3 2" xfId="7553"/>
    <cellStyle name="20% - akcent 3 5 6 3 2 2" xfId="7554"/>
    <cellStyle name="20% - akcent 3 5 6 3 3" xfId="7555"/>
    <cellStyle name="20% - akcent 3 5 6 4" xfId="7556"/>
    <cellStyle name="20% - akcent 3 5 6 4 2" xfId="7557"/>
    <cellStyle name="20% - akcent 3 5 6 4 2 2" xfId="7558"/>
    <cellStyle name="20% - akcent 3 5 6 4 3" xfId="7559"/>
    <cellStyle name="20% - akcent 3 5 6 5" xfId="7560"/>
    <cellStyle name="20% - akcent 3 5 6 5 2" xfId="7561"/>
    <cellStyle name="20% - akcent 3 5 6 6" xfId="7562"/>
    <cellStyle name="20% - akcent 3 5 7" xfId="7563"/>
    <cellStyle name="20% - akcent 3 5 8" xfId="7564"/>
    <cellStyle name="20% - akcent 3 5_2011'05 Raport PGE_DO-CO2" xfId="7565"/>
    <cellStyle name="20% - akcent 3 6" xfId="7566"/>
    <cellStyle name="20% - akcent 3 6 2" xfId="7567"/>
    <cellStyle name="20% - akcent 3 6 2 10" xfId="7568"/>
    <cellStyle name="20% - akcent 3 6 2 2" xfId="7569"/>
    <cellStyle name="20% - akcent 3 6 2 2 2" xfId="7570"/>
    <cellStyle name="20% - akcent 3 6 2 2 2 2" xfId="7571"/>
    <cellStyle name="20% - akcent 3 6 2 2 2 2 2" xfId="7572"/>
    <cellStyle name="20% - akcent 3 6 2 2 2 2 2 2" xfId="7573"/>
    <cellStyle name="20% - akcent 3 6 2 2 2 2 3" xfId="7574"/>
    <cellStyle name="20% - akcent 3 6 2 2 2 3" xfId="7575"/>
    <cellStyle name="20% - akcent 3 6 2 2 2 3 2" xfId="7576"/>
    <cellStyle name="20% - akcent 3 6 2 2 2 3 2 2" xfId="7577"/>
    <cellStyle name="20% - akcent 3 6 2 2 2 3 3" xfId="7578"/>
    <cellStyle name="20% - akcent 3 6 2 2 2 4" xfId="7579"/>
    <cellStyle name="20% - akcent 3 6 2 2 2 4 2" xfId="7580"/>
    <cellStyle name="20% - akcent 3 6 2 2 2 4 2 2" xfId="7581"/>
    <cellStyle name="20% - akcent 3 6 2 2 2 4 3" xfId="7582"/>
    <cellStyle name="20% - akcent 3 6 2 2 2 5" xfId="7583"/>
    <cellStyle name="20% - akcent 3 6 2 2 2 5 2" xfId="7584"/>
    <cellStyle name="20% - akcent 3 6 2 2 2 6" xfId="7585"/>
    <cellStyle name="20% - akcent 3 6 2 2 3" xfId="7586"/>
    <cellStyle name="20% - akcent 3 6 2 2 3 2" xfId="7587"/>
    <cellStyle name="20% - akcent 3 6 2 2 3 2 2" xfId="7588"/>
    <cellStyle name="20% - akcent 3 6 2 2 3 3" xfId="7589"/>
    <cellStyle name="20% - akcent 3 6 2 2 4" xfId="7590"/>
    <cellStyle name="20% - akcent 3 6 2 2 4 2" xfId="7591"/>
    <cellStyle name="20% - akcent 3 6 2 2 4 2 2" xfId="7592"/>
    <cellStyle name="20% - akcent 3 6 2 2 4 3" xfId="7593"/>
    <cellStyle name="20% - akcent 3 6 2 2 5" xfId="7594"/>
    <cellStyle name="20% - akcent 3 6 2 2 5 2" xfId="7595"/>
    <cellStyle name="20% - akcent 3 6 2 2 5 2 2" xfId="7596"/>
    <cellStyle name="20% - akcent 3 6 2 2 5 3" xfId="7597"/>
    <cellStyle name="20% - akcent 3 6 2 2 6" xfId="7598"/>
    <cellStyle name="20% - akcent 3 6 2 2 6 2" xfId="7599"/>
    <cellStyle name="20% - akcent 3 6 2 2 7" xfId="7600"/>
    <cellStyle name="20% - akcent 3 6 2 3" xfId="7601"/>
    <cellStyle name="20% - akcent 3 6 2 3 2" xfId="7602"/>
    <cellStyle name="20% - akcent 3 6 2 3 2 2" xfId="7603"/>
    <cellStyle name="20% - akcent 3 6 2 3 2 2 2" xfId="7604"/>
    <cellStyle name="20% - akcent 3 6 2 3 2 3" xfId="7605"/>
    <cellStyle name="20% - akcent 3 6 2 3 3" xfId="7606"/>
    <cellStyle name="20% - akcent 3 6 2 3 3 2" xfId="7607"/>
    <cellStyle name="20% - akcent 3 6 2 3 3 2 2" xfId="7608"/>
    <cellStyle name="20% - akcent 3 6 2 3 3 3" xfId="7609"/>
    <cellStyle name="20% - akcent 3 6 2 3 4" xfId="7610"/>
    <cellStyle name="20% - akcent 3 6 2 3 4 2" xfId="7611"/>
    <cellStyle name="20% - akcent 3 6 2 3 4 2 2" xfId="7612"/>
    <cellStyle name="20% - akcent 3 6 2 3 4 3" xfId="7613"/>
    <cellStyle name="20% - akcent 3 6 2 3 5" xfId="7614"/>
    <cellStyle name="20% - akcent 3 6 2 3 5 2" xfId="7615"/>
    <cellStyle name="20% - akcent 3 6 2 3 6" xfId="7616"/>
    <cellStyle name="20% - akcent 3 6 2 4" xfId="7617"/>
    <cellStyle name="20% - akcent 3 6 2 4 2" xfId="7618"/>
    <cellStyle name="20% - akcent 3 6 2 4 2 2" xfId="7619"/>
    <cellStyle name="20% - akcent 3 6 2 4 2 2 2" xfId="7620"/>
    <cellStyle name="20% - akcent 3 6 2 4 2 3" xfId="7621"/>
    <cellStyle name="20% - akcent 3 6 2 4 3" xfId="7622"/>
    <cellStyle name="20% - akcent 3 6 2 4 3 2" xfId="7623"/>
    <cellStyle name="20% - akcent 3 6 2 4 3 2 2" xfId="7624"/>
    <cellStyle name="20% - akcent 3 6 2 4 3 3" xfId="7625"/>
    <cellStyle name="20% - akcent 3 6 2 4 4" xfId="7626"/>
    <cellStyle name="20% - akcent 3 6 2 4 4 2" xfId="7627"/>
    <cellStyle name="20% - akcent 3 6 2 4 4 2 2" xfId="7628"/>
    <cellStyle name="20% - akcent 3 6 2 4 4 3" xfId="7629"/>
    <cellStyle name="20% - akcent 3 6 2 4 5" xfId="7630"/>
    <cellStyle name="20% - akcent 3 6 2 4 5 2" xfId="7631"/>
    <cellStyle name="20% - akcent 3 6 2 4 6" xfId="7632"/>
    <cellStyle name="20% - akcent 3 6 2 5" xfId="7633"/>
    <cellStyle name="20% - akcent 3 6 2 6" xfId="7634"/>
    <cellStyle name="20% - akcent 3 6 2 6 2" xfId="7635"/>
    <cellStyle name="20% - akcent 3 6 2 6 2 2" xfId="7636"/>
    <cellStyle name="20% - akcent 3 6 2 6 3" xfId="7637"/>
    <cellStyle name="20% - akcent 3 6 2 7" xfId="7638"/>
    <cellStyle name="20% - akcent 3 6 2 7 2" xfId="7639"/>
    <cellStyle name="20% - akcent 3 6 2 7 2 2" xfId="7640"/>
    <cellStyle name="20% - akcent 3 6 2 7 3" xfId="7641"/>
    <cellStyle name="20% - akcent 3 6 2 8" xfId="7642"/>
    <cellStyle name="20% - akcent 3 6 2 8 2" xfId="7643"/>
    <cellStyle name="20% - akcent 3 6 2 8 2 2" xfId="7644"/>
    <cellStyle name="20% - akcent 3 6 2 8 3" xfId="7645"/>
    <cellStyle name="20% - akcent 3 6 2 9" xfId="7646"/>
    <cellStyle name="20% - akcent 3 6 2 9 2" xfId="7647"/>
    <cellStyle name="20% - akcent 3 6 3" xfId="7648"/>
    <cellStyle name="20% - akcent 3 6 3 2" xfId="7649"/>
    <cellStyle name="20% - akcent 3 6 3 2 2" xfId="7650"/>
    <cellStyle name="20% - akcent 3 6 3 2 2 2" xfId="7651"/>
    <cellStyle name="20% - akcent 3 6 3 2 2 2 2" xfId="7652"/>
    <cellStyle name="20% - akcent 3 6 3 2 2 3" xfId="7653"/>
    <cellStyle name="20% - akcent 3 6 3 2 3" xfId="7654"/>
    <cellStyle name="20% - akcent 3 6 3 2 3 2" xfId="7655"/>
    <cellStyle name="20% - akcent 3 6 3 2 3 2 2" xfId="7656"/>
    <cellStyle name="20% - akcent 3 6 3 2 3 3" xfId="7657"/>
    <cellStyle name="20% - akcent 3 6 3 2 4" xfId="7658"/>
    <cellStyle name="20% - akcent 3 6 3 2 4 2" xfId="7659"/>
    <cellStyle name="20% - akcent 3 6 3 2 4 2 2" xfId="7660"/>
    <cellStyle name="20% - akcent 3 6 3 2 4 3" xfId="7661"/>
    <cellStyle name="20% - akcent 3 6 3 2 5" xfId="7662"/>
    <cellStyle name="20% - akcent 3 6 3 2 5 2" xfId="7663"/>
    <cellStyle name="20% - akcent 3 6 3 2 6" xfId="7664"/>
    <cellStyle name="20% - akcent 3 6 3 3" xfId="7665"/>
    <cellStyle name="20% - akcent 3 6 3 3 2" xfId="7666"/>
    <cellStyle name="20% - akcent 3 6 3 3 2 2" xfId="7667"/>
    <cellStyle name="20% - akcent 3 6 3 3 3" xfId="7668"/>
    <cellStyle name="20% - akcent 3 6 3 4" xfId="7669"/>
    <cellStyle name="20% - akcent 3 6 3 4 2" xfId="7670"/>
    <cellStyle name="20% - akcent 3 6 3 4 2 2" xfId="7671"/>
    <cellStyle name="20% - akcent 3 6 3 4 3" xfId="7672"/>
    <cellStyle name="20% - akcent 3 6 3 5" xfId="7673"/>
    <cellStyle name="20% - akcent 3 6 3 5 2" xfId="7674"/>
    <cellStyle name="20% - akcent 3 6 3 5 2 2" xfId="7675"/>
    <cellStyle name="20% - akcent 3 6 3 5 3" xfId="7676"/>
    <cellStyle name="20% - akcent 3 6 3 6" xfId="7677"/>
    <cellStyle name="20% - akcent 3 6 3 6 2" xfId="7678"/>
    <cellStyle name="20% - akcent 3 6 3 7" xfId="7679"/>
    <cellStyle name="20% - akcent 3 6 4" xfId="7680"/>
    <cellStyle name="20% - akcent 3 6 4 2" xfId="7681"/>
    <cellStyle name="20% - akcent 3 6 4 2 2" xfId="7682"/>
    <cellStyle name="20% - akcent 3 6 4 2 2 2" xfId="7683"/>
    <cellStyle name="20% - akcent 3 6 4 2 3" xfId="7684"/>
    <cellStyle name="20% - akcent 3 6 4 3" xfId="7685"/>
    <cellStyle name="20% - akcent 3 6 4 3 2" xfId="7686"/>
    <cellStyle name="20% - akcent 3 6 4 3 2 2" xfId="7687"/>
    <cellStyle name="20% - akcent 3 6 4 3 3" xfId="7688"/>
    <cellStyle name="20% - akcent 3 6 4 4" xfId="7689"/>
    <cellStyle name="20% - akcent 3 6 4 4 2" xfId="7690"/>
    <cellStyle name="20% - akcent 3 6 4 4 2 2" xfId="7691"/>
    <cellStyle name="20% - akcent 3 6 4 4 3" xfId="7692"/>
    <cellStyle name="20% - akcent 3 6 4 5" xfId="7693"/>
    <cellStyle name="20% - akcent 3 6 4 5 2" xfId="7694"/>
    <cellStyle name="20% - akcent 3 6 4 6" xfId="7695"/>
    <cellStyle name="20% - akcent 3 6 5" xfId="7696"/>
    <cellStyle name="20% - akcent 3 6 5 2" xfId="7697"/>
    <cellStyle name="20% - akcent 3 6 5 2 2" xfId="7698"/>
    <cellStyle name="20% - akcent 3 6 5 2 2 2" xfId="7699"/>
    <cellStyle name="20% - akcent 3 6 5 2 3" xfId="7700"/>
    <cellStyle name="20% - akcent 3 6 5 3" xfId="7701"/>
    <cellStyle name="20% - akcent 3 6 5 3 2" xfId="7702"/>
    <cellStyle name="20% - akcent 3 6 5 3 2 2" xfId="7703"/>
    <cellStyle name="20% - akcent 3 6 5 3 3" xfId="7704"/>
    <cellStyle name="20% - akcent 3 6 5 4" xfId="7705"/>
    <cellStyle name="20% - akcent 3 6 5 4 2" xfId="7706"/>
    <cellStyle name="20% - akcent 3 6 5 4 2 2" xfId="7707"/>
    <cellStyle name="20% - akcent 3 6 5 4 3" xfId="7708"/>
    <cellStyle name="20% - akcent 3 6 5 5" xfId="7709"/>
    <cellStyle name="20% - akcent 3 6 5 5 2" xfId="7710"/>
    <cellStyle name="20% - akcent 3 6 5 6" xfId="7711"/>
    <cellStyle name="20% - akcent 3 6 6" xfId="7712"/>
    <cellStyle name="20% - akcent 3 6 7" xfId="7713"/>
    <cellStyle name="20% - akcent 3 6 7 2" xfId="7714"/>
    <cellStyle name="20% - akcent 3 6 7 2 2" xfId="7715"/>
    <cellStyle name="20% - akcent 3 6 7 2 2 2" xfId="7716"/>
    <cellStyle name="20% - akcent 3 6 7 2 3" xfId="7717"/>
    <cellStyle name="20% - akcent 3 6 7 3" xfId="7718"/>
    <cellStyle name="20% - akcent 3 6 7 3 2" xfId="7719"/>
    <cellStyle name="20% - akcent 3 6 7 3 2 2" xfId="7720"/>
    <cellStyle name="20% - akcent 3 6 7 3 3" xfId="7721"/>
    <cellStyle name="20% - akcent 3 6 7 4" xfId="7722"/>
    <cellStyle name="20% - akcent 3 6 7 4 2" xfId="7723"/>
    <cellStyle name="20% - akcent 3 6 7 4 2 2" xfId="7724"/>
    <cellStyle name="20% - akcent 3 6 7 4 3" xfId="7725"/>
    <cellStyle name="20% - akcent 3 6 7 5" xfId="7726"/>
    <cellStyle name="20% - akcent 3 6 7 5 2" xfId="7727"/>
    <cellStyle name="20% - akcent 3 6 7 6" xfId="7728"/>
    <cellStyle name="20% - akcent 3 6_Arkusz1" xfId="7729"/>
    <cellStyle name="20% - akcent 3 7" xfId="7730"/>
    <cellStyle name="20% - akcent 3 7 2" xfId="7731"/>
    <cellStyle name="20% - akcent 3 7 2 10" xfId="7732"/>
    <cellStyle name="20% - akcent 3 7 2 2" xfId="7733"/>
    <cellStyle name="20% - akcent 3 7 2 2 2" xfId="7734"/>
    <cellStyle name="20% - akcent 3 7 2 2 2 2" xfId="7735"/>
    <cellStyle name="20% - akcent 3 7 2 2 2 2 2" xfId="7736"/>
    <cellStyle name="20% - akcent 3 7 2 2 2 2 2 2" xfId="7737"/>
    <cellStyle name="20% - akcent 3 7 2 2 2 2 3" xfId="7738"/>
    <cellStyle name="20% - akcent 3 7 2 2 2 3" xfId="7739"/>
    <cellStyle name="20% - akcent 3 7 2 2 2 3 2" xfId="7740"/>
    <cellStyle name="20% - akcent 3 7 2 2 2 3 2 2" xfId="7741"/>
    <cellStyle name="20% - akcent 3 7 2 2 2 3 3" xfId="7742"/>
    <cellStyle name="20% - akcent 3 7 2 2 2 4" xfId="7743"/>
    <cellStyle name="20% - akcent 3 7 2 2 2 4 2" xfId="7744"/>
    <cellStyle name="20% - akcent 3 7 2 2 2 4 2 2" xfId="7745"/>
    <cellStyle name="20% - akcent 3 7 2 2 2 4 3" xfId="7746"/>
    <cellStyle name="20% - akcent 3 7 2 2 2 5" xfId="7747"/>
    <cellStyle name="20% - akcent 3 7 2 2 2 5 2" xfId="7748"/>
    <cellStyle name="20% - akcent 3 7 2 2 2 6" xfId="7749"/>
    <cellStyle name="20% - akcent 3 7 2 2 3" xfId="7750"/>
    <cellStyle name="20% - akcent 3 7 2 2 3 2" xfId="7751"/>
    <cellStyle name="20% - akcent 3 7 2 2 3 2 2" xfId="7752"/>
    <cellStyle name="20% - akcent 3 7 2 2 3 3" xfId="7753"/>
    <cellStyle name="20% - akcent 3 7 2 2 4" xfId="7754"/>
    <cellStyle name="20% - akcent 3 7 2 2 4 2" xfId="7755"/>
    <cellStyle name="20% - akcent 3 7 2 2 4 2 2" xfId="7756"/>
    <cellStyle name="20% - akcent 3 7 2 2 4 3" xfId="7757"/>
    <cellStyle name="20% - akcent 3 7 2 2 5" xfId="7758"/>
    <cellStyle name="20% - akcent 3 7 2 2 5 2" xfId="7759"/>
    <cellStyle name="20% - akcent 3 7 2 2 5 2 2" xfId="7760"/>
    <cellStyle name="20% - akcent 3 7 2 2 5 3" xfId="7761"/>
    <cellStyle name="20% - akcent 3 7 2 2 6" xfId="7762"/>
    <cellStyle name="20% - akcent 3 7 2 2 6 2" xfId="7763"/>
    <cellStyle name="20% - akcent 3 7 2 2 7" xfId="7764"/>
    <cellStyle name="20% - akcent 3 7 2 3" xfId="7765"/>
    <cellStyle name="20% - akcent 3 7 2 3 2" xfId="7766"/>
    <cellStyle name="20% - akcent 3 7 2 3 2 2" xfId="7767"/>
    <cellStyle name="20% - akcent 3 7 2 3 2 2 2" xfId="7768"/>
    <cellStyle name="20% - akcent 3 7 2 3 2 3" xfId="7769"/>
    <cellStyle name="20% - akcent 3 7 2 3 3" xfId="7770"/>
    <cellStyle name="20% - akcent 3 7 2 3 3 2" xfId="7771"/>
    <cellStyle name="20% - akcent 3 7 2 3 3 2 2" xfId="7772"/>
    <cellStyle name="20% - akcent 3 7 2 3 3 3" xfId="7773"/>
    <cellStyle name="20% - akcent 3 7 2 3 4" xfId="7774"/>
    <cellStyle name="20% - akcent 3 7 2 3 4 2" xfId="7775"/>
    <cellStyle name="20% - akcent 3 7 2 3 4 2 2" xfId="7776"/>
    <cellStyle name="20% - akcent 3 7 2 3 4 3" xfId="7777"/>
    <cellStyle name="20% - akcent 3 7 2 3 5" xfId="7778"/>
    <cellStyle name="20% - akcent 3 7 2 3 5 2" xfId="7779"/>
    <cellStyle name="20% - akcent 3 7 2 3 6" xfId="7780"/>
    <cellStyle name="20% - akcent 3 7 2 4" xfId="7781"/>
    <cellStyle name="20% - akcent 3 7 2 4 2" xfId="7782"/>
    <cellStyle name="20% - akcent 3 7 2 4 2 2" xfId="7783"/>
    <cellStyle name="20% - akcent 3 7 2 4 2 2 2" xfId="7784"/>
    <cellStyle name="20% - akcent 3 7 2 4 2 3" xfId="7785"/>
    <cellStyle name="20% - akcent 3 7 2 4 3" xfId="7786"/>
    <cellStyle name="20% - akcent 3 7 2 4 3 2" xfId="7787"/>
    <cellStyle name="20% - akcent 3 7 2 4 3 2 2" xfId="7788"/>
    <cellStyle name="20% - akcent 3 7 2 4 3 3" xfId="7789"/>
    <cellStyle name="20% - akcent 3 7 2 4 4" xfId="7790"/>
    <cellStyle name="20% - akcent 3 7 2 4 4 2" xfId="7791"/>
    <cellStyle name="20% - akcent 3 7 2 4 4 2 2" xfId="7792"/>
    <cellStyle name="20% - akcent 3 7 2 4 4 3" xfId="7793"/>
    <cellStyle name="20% - akcent 3 7 2 4 5" xfId="7794"/>
    <cellStyle name="20% - akcent 3 7 2 4 5 2" xfId="7795"/>
    <cellStyle name="20% - akcent 3 7 2 4 6" xfId="7796"/>
    <cellStyle name="20% - akcent 3 7 2 5" xfId="7797"/>
    <cellStyle name="20% - akcent 3 7 2 6" xfId="7798"/>
    <cellStyle name="20% - akcent 3 7 2 6 2" xfId="7799"/>
    <cellStyle name="20% - akcent 3 7 2 6 2 2" xfId="7800"/>
    <cellStyle name="20% - akcent 3 7 2 6 3" xfId="7801"/>
    <cellStyle name="20% - akcent 3 7 2 7" xfId="7802"/>
    <cellStyle name="20% - akcent 3 7 2 7 2" xfId="7803"/>
    <cellStyle name="20% - akcent 3 7 2 7 2 2" xfId="7804"/>
    <cellStyle name="20% - akcent 3 7 2 7 3" xfId="7805"/>
    <cellStyle name="20% - akcent 3 7 2 8" xfId="7806"/>
    <cellStyle name="20% - akcent 3 7 2 8 2" xfId="7807"/>
    <cellStyle name="20% - akcent 3 7 2 8 2 2" xfId="7808"/>
    <cellStyle name="20% - akcent 3 7 2 8 3" xfId="7809"/>
    <cellStyle name="20% - akcent 3 7 2 9" xfId="7810"/>
    <cellStyle name="20% - akcent 3 7 2 9 2" xfId="7811"/>
    <cellStyle name="20% - akcent 3 7 3" xfId="7812"/>
    <cellStyle name="20% - akcent 3 7 3 2" xfId="7813"/>
    <cellStyle name="20% - akcent 3 7 3 2 2" xfId="7814"/>
    <cellStyle name="20% - akcent 3 7 3 2 2 2" xfId="7815"/>
    <cellStyle name="20% - akcent 3 7 3 2 2 2 2" xfId="7816"/>
    <cellStyle name="20% - akcent 3 7 3 2 2 3" xfId="7817"/>
    <cellStyle name="20% - akcent 3 7 3 2 3" xfId="7818"/>
    <cellStyle name="20% - akcent 3 7 3 2 3 2" xfId="7819"/>
    <cellStyle name="20% - akcent 3 7 3 2 3 2 2" xfId="7820"/>
    <cellStyle name="20% - akcent 3 7 3 2 3 3" xfId="7821"/>
    <cellStyle name="20% - akcent 3 7 3 2 4" xfId="7822"/>
    <cellStyle name="20% - akcent 3 7 3 2 4 2" xfId="7823"/>
    <cellStyle name="20% - akcent 3 7 3 2 4 2 2" xfId="7824"/>
    <cellStyle name="20% - akcent 3 7 3 2 4 3" xfId="7825"/>
    <cellStyle name="20% - akcent 3 7 3 2 5" xfId="7826"/>
    <cellStyle name="20% - akcent 3 7 3 2 5 2" xfId="7827"/>
    <cellStyle name="20% - akcent 3 7 3 2 6" xfId="7828"/>
    <cellStyle name="20% - akcent 3 7 3 3" xfId="7829"/>
    <cellStyle name="20% - akcent 3 7 3 3 2" xfId="7830"/>
    <cellStyle name="20% - akcent 3 7 3 3 2 2" xfId="7831"/>
    <cellStyle name="20% - akcent 3 7 3 3 3" xfId="7832"/>
    <cellStyle name="20% - akcent 3 7 3 4" xfId="7833"/>
    <cellStyle name="20% - akcent 3 7 3 4 2" xfId="7834"/>
    <cellStyle name="20% - akcent 3 7 3 4 2 2" xfId="7835"/>
    <cellStyle name="20% - akcent 3 7 3 4 3" xfId="7836"/>
    <cellStyle name="20% - akcent 3 7 3 5" xfId="7837"/>
    <cellStyle name="20% - akcent 3 7 3 5 2" xfId="7838"/>
    <cellStyle name="20% - akcent 3 7 3 5 2 2" xfId="7839"/>
    <cellStyle name="20% - akcent 3 7 3 5 3" xfId="7840"/>
    <cellStyle name="20% - akcent 3 7 3 6" xfId="7841"/>
    <cellStyle name="20% - akcent 3 7 3 6 2" xfId="7842"/>
    <cellStyle name="20% - akcent 3 7 3 7" xfId="7843"/>
    <cellStyle name="20% - akcent 3 7 4" xfId="7844"/>
    <cellStyle name="20% - akcent 3 7 4 2" xfId="7845"/>
    <cellStyle name="20% - akcent 3 7 4 2 2" xfId="7846"/>
    <cellStyle name="20% - akcent 3 7 4 2 2 2" xfId="7847"/>
    <cellStyle name="20% - akcent 3 7 4 2 3" xfId="7848"/>
    <cellStyle name="20% - akcent 3 7 4 3" xfId="7849"/>
    <cellStyle name="20% - akcent 3 7 4 3 2" xfId="7850"/>
    <cellStyle name="20% - akcent 3 7 4 3 2 2" xfId="7851"/>
    <cellStyle name="20% - akcent 3 7 4 3 3" xfId="7852"/>
    <cellStyle name="20% - akcent 3 7 4 4" xfId="7853"/>
    <cellStyle name="20% - akcent 3 7 4 4 2" xfId="7854"/>
    <cellStyle name="20% - akcent 3 7 4 4 2 2" xfId="7855"/>
    <cellStyle name="20% - akcent 3 7 4 4 3" xfId="7856"/>
    <cellStyle name="20% - akcent 3 7 4 5" xfId="7857"/>
    <cellStyle name="20% - akcent 3 7 4 5 2" xfId="7858"/>
    <cellStyle name="20% - akcent 3 7 4 6" xfId="7859"/>
    <cellStyle name="20% - akcent 3 7 5" xfId="7860"/>
    <cellStyle name="20% - akcent 3 7 5 2" xfId="7861"/>
    <cellStyle name="20% - akcent 3 7 5 2 2" xfId="7862"/>
    <cellStyle name="20% - akcent 3 7 5 2 2 2" xfId="7863"/>
    <cellStyle name="20% - akcent 3 7 5 2 3" xfId="7864"/>
    <cellStyle name="20% - akcent 3 7 5 3" xfId="7865"/>
    <cellStyle name="20% - akcent 3 7 5 3 2" xfId="7866"/>
    <cellStyle name="20% - akcent 3 7 5 3 2 2" xfId="7867"/>
    <cellStyle name="20% - akcent 3 7 5 3 3" xfId="7868"/>
    <cellStyle name="20% - akcent 3 7 5 4" xfId="7869"/>
    <cellStyle name="20% - akcent 3 7 5 4 2" xfId="7870"/>
    <cellStyle name="20% - akcent 3 7 5 4 2 2" xfId="7871"/>
    <cellStyle name="20% - akcent 3 7 5 4 3" xfId="7872"/>
    <cellStyle name="20% - akcent 3 7 5 5" xfId="7873"/>
    <cellStyle name="20% - akcent 3 7 5 5 2" xfId="7874"/>
    <cellStyle name="20% - akcent 3 7 5 6" xfId="7875"/>
    <cellStyle name="20% - akcent 3 7 6" xfId="7876"/>
    <cellStyle name="20% - akcent 3 7 7" xfId="7877"/>
    <cellStyle name="20% - akcent 3 7 7 2" xfId="7878"/>
    <cellStyle name="20% - akcent 3 7 7 2 2" xfId="7879"/>
    <cellStyle name="20% - akcent 3 7 7 2 2 2" xfId="7880"/>
    <cellStyle name="20% - akcent 3 7 7 2 3" xfId="7881"/>
    <cellStyle name="20% - akcent 3 7 7 3" xfId="7882"/>
    <cellStyle name="20% - akcent 3 7 7 3 2" xfId="7883"/>
    <cellStyle name="20% - akcent 3 7 7 3 2 2" xfId="7884"/>
    <cellStyle name="20% - akcent 3 7 7 3 3" xfId="7885"/>
    <cellStyle name="20% - akcent 3 7 7 4" xfId="7886"/>
    <cellStyle name="20% - akcent 3 7 7 4 2" xfId="7887"/>
    <cellStyle name="20% - akcent 3 7 7 4 2 2" xfId="7888"/>
    <cellStyle name="20% - akcent 3 7 7 4 3" xfId="7889"/>
    <cellStyle name="20% - akcent 3 7 7 5" xfId="7890"/>
    <cellStyle name="20% - akcent 3 7 7 5 2" xfId="7891"/>
    <cellStyle name="20% - akcent 3 7 7 6" xfId="7892"/>
    <cellStyle name="20% - akcent 3 7_Arkusz1" xfId="7893"/>
    <cellStyle name="20% - akcent 3 8" xfId="7894"/>
    <cellStyle name="20% - akcent 3 8 2" xfId="7895"/>
    <cellStyle name="20% - akcent 3 8 3" xfId="7896"/>
    <cellStyle name="20% - akcent 3 8_Arkusz1" xfId="7897"/>
    <cellStyle name="20% - akcent 3 9" xfId="7898"/>
    <cellStyle name="20% - akcent 3 9 2" xfId="7899"/>
    <cellStyle name="20% - akcent 3 9_Arkusz1" xfId="7900"/>
    <cellStyle name="20% - akcent 4 10" xfId="7901"/>
    <cellStyle name="20% - akcent 4 10 2" xfId="7902"/>
    <cellStyle name="20% - akcent 4 10_Arkusz1" xfId="7903"/>
    <cellStyle name="20% - akcent 4 11" xfId="7904"/>
    <cellStyle name="20% - akcent 4 12" xfId="7905"/>
    <cellStyle name="20% - akcent 4 13" xfId="7906"/>
    <cellStyle name="20% - akcent 4 2" xfId="7907"/>
    <cellStyle name="20% - akcent 4 2 10" xfId="7908"/>
    <cellStyle name="20% - akcent 4 2 11" xfId="7909"/>
    <cellStyle name="20% - akcent 4 2 11 2" xfId="7910"/>
    <cellStyle name="20% - akcent 4 2 2" xfId="7911"/>
    <cellStyle name="20% - akcent 4 2 2 2" xfId="7912"/>
    <cellStyle name="20% - akcent 4 2 2 2 2" xfId="7913"/>
    <cellStyle name="20% - akcent 4 2 2 2 2 2" xfId="7914"/>
    <cellStyle name="20% - akcent 4 2 2 2 2 2 2" xfId="7915"/>
    <cellStyle name="20% - akcent 4 2 2 2 2 2 2 2" xfId="7916"/>
    <cellStyle name="20% - akcent 4 2 2 2 2 2 2 2 2" xfId="7917"/>
    <cellStyle name="20% - akcent 4 2 2 2 2 2 2 2 2 2" xfId="7918"/>
    <cellStyle name="20% - akcent 4 2 2 2 2 2 2 2 3" xfId="7919"/>
    <cellStyle name="20% - akcent 4 2 2 2 2 2 2 3" xfId="7920"/>
    <cellStyle name="20% - akcent 4 2 2 2 2 2 2 3 2" xfId="7921"/>
    <cellStyle name="20% - akcent 4 2 2 2 2 2 2 3 2 2" xfId="7922"/>
    <cellStyle name="20% - akcent 4 2 2 2 2 2 2 3 3" xfId="7923"/>
    <cellStyle name="20% - akcent 4 2 2 2 2 2 2 4" xfId="7924"/>
    <cellStyle name="20% - akcent 4 2 2 2 2 2 2 4 2" xfId="7925"/>
    <cellStyle name="20% - akcent 4 2 2 2 2 2 2 4 2 2" xfId="7926"/>
    <cellStyle name="20% - akcent 4 2 2 2 2 2 2 4 3" xfId="7927"/>
    <cellStyle name="20% - akcent 4 2 2 2 2 2 2 5" xfId="7928"/>
    <cellStyle name="20% - akcent 4 2 2 2 2 2 2 5 2" xfId="7929"/>
    <cellStyle name="20% - akcent 4 2 2 2 2 2 2 6" xfId="7930"/>
    <cellStyle name="20% - akcent 4 2 2 2 2 2 3" xfId="7931"/>
    <cellStyle name="20% - akcent 4 2 2 2 2 2 3 2" xfId="7932"/>
    <cellStyle name="20% - akcent 4 2 2 2 2 2 3 2 2" xfId="7933"/>
    <cellStyle name="20% - akcent 4 2 2 2 2 2 3 3" xfId="7934"/>
    <cellStyle name="20% - akcent 4 2 2 2 2 2 4" xfId="7935"/>
    <cellStyle name="20% - akcent 4 2 2 2 2 2 4 2" xfId="7936"/>
    <cellStyle name="20% - akcent 4 2 2 2 2 2 4 2 2" xfId="7937"/>
    <cellStyle name="20% - akcent 4 2 2 2 2 2 4 3" xfId="7938"/>
    <cellStyle name="20% - akcent 4 2 2 2 2 2 5" xfId="7939"/>
    <cellStyle name="20% - akcent 4 2 2 2 2 2 5 2" xfId="7940"/>
    <cellStyle name="20% - akcent 4 2 2 2 2 2 5 2 2" xfId="7941"/>
    <cellStyle name="20% - akcent 4 2 2 2 2 2 5 3" xfId="7942"/>
    <cellStyle name="20% - akcent 4 2 2 2 2 2 6" xfId="7943"/>
    <cellStyle name="20% - akcent 4 2 2 2 2 2 6 2" xfId="7944"/>
    <cellStyle name="20% - akcent 4 2 2 2 2 2 7" xfId="7945"/>
    <cellStyle name="20% - akcent 4 2 2 2 2 3" xfId="7946"/>
    <cellStyle name="20% - akcent 4 2 2 2 2 3 2" xfId="7947"/>
    <cellStyle name="20% - akcent 4 2 2 2 2 3 2 2" xfId="7948"/>
    <cellStyle name="20% - akcent 4 2 2 2 2 3 2 2 2" xfId="7949"/>
    <cellStyle name="20% - akcent 4 2 2 2 2 3 2 3" xfId="7950"/>
    <cellStyle name="20% - akcent 4 2 2 2 2 3 3" xfId="7951"/>
    <cellStyle name="20% - akcent 4 2 2 2 2 3 3 2" xfId="7952"/>
    <cellStyle name="20% - akcent 4 2 2 2 2 3 3 2 2" xfId="7953"/>
    <cellStyle name="20% - akcent 4 2 2 2 2 3 3 3" xfId="7954"/>
    <cellStyle name="20% - akcent 4 2 2 2 2 3 4" xfId="7955"/>
    <cellStyle name="20% - akcent 4 2 2 2 2 3 4 2" xfId="7956"/>
    <cellStyle name="20% - akcent 4 2 2 2 2 3 4 2 2" xfId="7957"/>
    <cellStyle name="20% - akcent 4 2 2 2 2 3 4 3" xfId="7958"/>
    <cellStyle name="20% - akcent 4 2 2 2 2 3 5" xfId="7959"/>
    <cellStyle name="20% - akcent 4 2 2 2 2 3 5 2" xfId="7960"/>
    <cellStyle name="20% - akcent 4 2 2 2 2 3 6" xfId="7961"/>
    <cellStyle name="20% - akcent 4 2 2 2 2 4" xfId="7962"/>
    <cellStyle name="20% - akcent 4 2 2 2 2 4 2" xfId="7963"/>
    <cellStyle name="20% - akcent 4 2 2 2 2 4 2 2" xfId="7964"/>
    <cellStyle name="20% - akcent 4 2 2 2 2 4 2 2 2" xfId="7965"/>
    <cellStyle name="20% - akcent 4 2 2 2 2 4 2 3" xfId="7966"/>
    <cellStyle name="20% - akcent 4 2 2 2 2 4 3" xfId="7967"/>
    <cellStyle name="20% - akcent 4 2 2 2 2 4 3 2" xfId="7968"/>
    <cellStyle name="20% - akcent 4 2 2 2 2 4 3 2 2" xfId="7969"/>
    <cellStyle name="20% - akcent 4 2 2 2 2 4 3 3" xfId="7970"/>
    <cellStyle name="20% - akcent 4 2 2 2 2 4 4" xfId="7971"/>
    <cellStyle name="20% - akcent 4 2 2 2 2 4 4 2" xfId="7972"/>
    <cellStyle name="20% - akcent 4 2 2 2 2 4 4 2 2" xfId="7973"/>
    <cellStyle name="20% - akcent 4 2 2 2 2 4 4 3" xfId="7974"/>
    <cellStyle name="20% - akcent 4 2 2 2 2 4 5" xfId="7975"/>
    <cellStyle name="20% - akcent 4 2 2 2 2 4 5 2" xfId="7976"/>
    <cellStyle name="20% - akcent 4 2 2 2 2 4 6" xfId="7977"/>
    <cellStyle name="20% - akcent 4 2 2 2 2 5" xfId="7978"/>
    <cellStyle name="20% - akcent 4 2 2 2 2 5 2" xfId="7979"/>
    <cellStyle name="20% - akcent 4 2 2 2 2 5 2 2" xfId="7980"/>
    <cellStyle name="20% - akcent 4 2 2 2 2 5 3" xfId="7981"/>
    <cellStyle name="20% - akcent 4 2 2 2 2 6" xfId="7982"/>
    <cellStyle name="20% - akcent 4 2 2 2 2 6 2" xfId="7983"/>
    <cellStyle name="20% - akcent 4 2 2 2 2 6 2 2" xfId="7984"/>
    <cellStyle name="20% - akcent 4 2 2 2 2 6 3" xfId="7985"/>
    <cellStyle name="20% - akcent 4 2 2 2 2 7" xfId="7986"/>
    <cellStyle name="20% - akcent 4 2 2 2 2 7 2" xfId="7987"/>
    <cellStyle name="20% - akcent 4 2 2 2 2 7 2 2" xfId="7988"/>
    <cellStyle name="20% - akcent 4 2 2 2 2 7 3" xfId="7989"/>
    <cellStyle name="20% - akcent 4 2 2 2 2 8" xfId="7990"/>
    <cellStyle name="20% - akcent 4 2 2 2 2 8 2" xfId="7991"/>
    <cellStyle name="20% - akcent 4 2 2 2 2 9" xfId="7992"/>
    <cellStyle name="20% - akcent 4 2 2 2 3" xfId="7993"/>
    <cellStyle name="20% - akcent 4 2 2 2 3 2" xfId="7994"/>
    <cellStyle name="20% - akcent 4 2 2 2 3 2 2" xfId="7995"/>
    <cellStyle name="20% - akcent 4 2 2 2 3 2 2 2" xfId="7996"/>
    <cellStyle name="20% - akcent 4 2 2 2 3 2 2 2 2" xfId="7997"/>
    <cellStyle name="20% - akcent 4 2 2 2 3 2 2 3" xfId="7998"/>
    <cellStyle name="20% - akcent 4 2 2 2 3 2 3" xfId="7999"/>
    <cellStyle name="20% - akcent 4 2 2 2 3 2 3 2" xfId="8000"/>
    <cellStyle name="20% - akcent 4 2 2 2 3 2 3 2 2" xfId="8001"/>
    <cellStyle name="20% - akcent 4 2 2 2 3 2 3 3" xfId="8002"/>
    <cellStyle name="20% - akcent 4 2 2 2 3 2 4" xfId="8003"/>
    <cellStyle name="20% - akcent 4 2 2 2 3 2 4 2" xfId="8004"/>
    <cellStyle name="20% - akcent 4 2 2 2 3 2 4 2 2" xfId="8005"/>
    <cellStyle name="20% - akcent 4 2 2 2 3 2 4 3" xfId="8006"/>
    <cellStyle name="20% - akcent 4 2 2 2 3 2 5" xfId="8007"/>
    <cellStyle name="20% - akcent 4 2 2 2 3 2 5 2" xfId="8008"/>
    <cellStyle name="20% - akcent 4 2 2 2 3 2 6" xfId="8009"/>
    <cellStyle name="20% - akcent 4 2 2 2 3 3" xfId="8010"/>
    <cellStyle name="20% - akcent 4 2 2 2 3 3 2" xfId="8011"/>
    <cellStyle name="20% - akcent 4 2 2 2 3 3 2 2" xfId="8012"/>
    <cellStyle name="20% - akcent 4 2 2 2 3 3 3" xfId="8013"/>
    <cellStyle name="20% - akcent 4 2 2 2 3 4" xfId="8014"/>
    <cellStyle name="20% - akcent 4 2 2 2 3 4 2" xfId="8015"/>
    <cellStyle name="20% - akcent 4 2 2 2 3 4 2 2" xfId="8016"/>
    <cellStyle name="20% - akcent 4 2 2 2 3 4 3" xfId="8017"/>
    <cellStyle name="20% - akcent 4 2 2 2 3 5" xfId="8018"/>
    <cellStyle name="20% - akcent 4 2 2 2 3 5 2" xfId="8019"/>
    <cellStyle name="20% - akcent 4 2 2 2 3 5 2 2" xfId="8020"/>
    <cellStyle name="20% - akcent 4 2 2 2 3 5 3" xfId="8021"/>
    <cellStyle name="20% - akcent 4 2 2 2 3 6" xfId="8022"/>
    <cellStyle name="20% - akcent 4 2 2 2 3 6 2" xfId="8023"/>
    <cellStyle name="20% - akcent 4 2 2 2 3 7" xfId="8024"/>
    <cellStyle name="20% - akcent 4 2 2 2 4" xfId="8025"/>
    <cellStyle name="20% - akcent 4 2 2 2 4 2" xfId="8026"/>
    <cellStyle name="20% - akcent 4 2 2 2 4 2 2" xfId="8027"/>
    <cellStyle name="20% - akcent 4 2 2 2 4 2 2 2" xfId="8028"/>
    <cellStyle name="20% - akcent 4 2 2 2 4 2 3" xfId="8029"/>
    <cellStyle name="20% - akcent 4 2 2 2 4 3" xfId="8030"/>
    <cellStyle name="20% - akcent 4 2 2 2 4 3 2" xfId="8031"/>
    <cellStyle name="20% - akcent 4 2 2 2 4 3 2 2" xfId="8032"/>
    <cellStyle name="20% - akcent 4 2 2 2 4 3 3" xfId="8033"/>
    <cellStyle name="20% - akcent 4 2 2 2 4 4" xfId="8034"/>
    <cellStyle name="20% - akcent 4 2 2 2 4 4 2" xfId="8035"/>
    <cellStyle name="20% - akcent 4 2 2 2 4 4 2 2" xfId="8036"/>
    <cellStyle name="20% - akcent 4 2 2 2 4 4 3" xfId="8037"/>
    <cellStyle name="20% - akcent 4 2 2 2 4 5" xfId="8038"/>
    <cellStyle name="20% - akcent 4 2 2 2 4 5 2" xfId="8039"/>
    <cellStyle name="20% - akcent 4 2 2 2 4 6" xfId="8040"/>
    <cellStyle name="20% - akcent 4 2 2 2 5" xfId="8041"/>
    <cellStyle name="20% - akcent 4 2 2 2 5 2" xfId="8042"/>
    <cellStyle name="20% - akcent 4 2 2 2 5 2 2" xfId="8043"/>
    <cellStyle name="20% - akcent 4 2 2 2 5 2 2 2" xfId="8044"/>
    <cellStyle name="20% - akcent 4 2 2 2 5 2 3" xfId="8045"/>
    <cellStyle name="20% - akcent 4 2 2 2 5 3" xfId="8046"/>
    <cellStyle name="20% - akcent 4 2 2 2 5 3 2" xfId="8047"/>
    <cellStyle name="20% - akcent 4 2 2 2 5 3 2 2" xfId="8048"/>
    <cellStyle name="20% - akcent 4 2 2 2 5 3 3" xfId="8049"/>
    <cellStyle name="20% - akcent 4 2 2 2 5 4" xfId="8050"/>
    <cellStyle name="20% - akcent 4 2 2 2 5 4 2" xfId="8051"/>
    <cellStyle name="20% - akcent 4 2 2 2 5 4 2 2" xfId="8052"/>
    <cellStyle name="20% - akcent 4 2 2 2 5 4 3" xfId="8053"/>
    <cellStyle name="20% - akcent 4 2 2 2 5 5" xfId="8054"/>
    <cellStyle name="20% - akcent 4 2 2 2 5 5 2" xfId="8055"/>
    <cellStyle name="20% - akcent 4 2 2 2 5 6" xfId="8056"/>
    <cellStyle name="20% - akcent 4 2 2 2 6" xfId="8057"/>
    <cellStyle name="20% - akcent 4 2 2 2 6 2" xfId="8058"/>
    <cellStyle name="20% - akcent 4 2 2 2 6 2 2" xfId="8059"/>
    <cellStyle name="20% - akcent 4 2 2 2 6 2 2 2" xfId="8060"/>
    <cellStyle name="20% - akcent 4 2 2 2 6 2 3" xfId="8061"/>
    <cellStyle name="20% - akcent 4 2 2 2 6 3" xfId="8062"/>
    <cellStyle name="20% - akcent 4 2 2 2 6 3 2" xfId="8063"/>
    <cellStyle name="20% - akcent 4 2 2 2 6 3 2 2" xfId="8064"/>
    <cellStyle name="20% - akcent 4 2 2 2 6 3 3" xfId="8065"/>
    <cellStyle name="20% - akcent 4 2 2 2 6 4" xfId="8066"/>
    <cellStyle name="20% - akcent 4 2 2 2 6 4 2" xfId="8067"/>
    <cellStyle name="20% - akcent 4 2 2 2 6 4 2 2" xfId="8068"/>
    <cellStyle name="20% - akcent 4 2 2 2 6 4 3" xfId="8069"/>
    <cellStyle name="20% - akcent 4 2 2 2 6 5" xfId="8070"/>
    <cellStyle name="20% - akcent 4 2 2 2 6 5 2" xfId="8071"/>
    <cellStyle name="20% - akcent 4 2 2 2 6 6" xfId="8072"/>
    <cellStyle name="20% - akcent 4 2 2 3" xfId="8073"/>
    <cellStyle name="20% - akcent 4 2 2 3 2" xfId="8074"/>
    <cellStyle name="20% - akcent 4 2 2 3 2 2" xfId="8075"/>
    <cellStyle name="20% - akcent 4 2 2 3 2 2 2" xfId="8076"/>
    <cellStyle name="20% - akcent 4 2 2 3 2 2 2 2" xfId="8077"/>
    <cellStyle name="20% - akcent 4 2 2 3 2 2 2 2 2" xfId="8078"/>
    <cellStyle name="20% - akcent 4 2 2 3 2 2 2 3" xfId="8079"/>
    <cellStyle name="20% - akcent 4 2 2 3 2 2 3" xfId="8080"/>
    <cellStyle name="20% - akcent 4 2 2 3 2 2 3 2" xfId="8081"/>
    <cellStyle name="20% - akcent 4 2 2 3 2 2 3 2 2" xfId="8082"/>
    <cellStyle name="20% - akcent 4 2 2 3 2 2 3 3" xfId="8083"/>
    <cellStyle name="20% - akcent 4 2 2 3 2 2 4" xfId="8084"/>
    <cellStyle name="20% - akcent 4 2 2 3 2 2 4 2" xfId="8085"/>
    <cellStyle name="20% - akcent 4 2 2 3 2 2 4 2 2" xfId="8086"/>
    <cellStyle name="20% - akcent 4 2 2 3 2 2 4 3" xfId="8087"/>
    <cellStyle name="20% - akcent 4 2 2 3 2 2 5" xfId="8088"/>
    <cellStyle name="20% - akcent 4 2 2 3 2 2 5 2" xfId="8089"/>
    <cellStyle name="20% - akcent 4 2 2 3 2 2 6" xfId="8090"/>
    <cellStyle name="20% - akcent 4 2 2 3 2 3" xfId="8091"/>
    <cellStyle name="20% - akcent 4 2 2 3 2 3 2" xfId="8092"/>
    <cellStyle name="20% - akcent 4 2 2 3 2 3 2 2" xfId="8093"/>
    <cellStyle name="20% - akcent 4 2 2 3 2 3 3" xfId="8094"/>
    <cellStyle name="20% - akcent 4 2 2 3 2 4" xfId="8095"/>
    <cellStyle name="20% - akcent 4 2 2 3 2 4 2" xfId="8096"/>
    <cellStyle name="20% - akcent 4 2 2 3 2 4 2 2" xfId="8097"/>
    <cellStyle name="20% - akcent 4 2 2 3 2 4 3" xfId="8098"/>
    <cellStyle name="20% - akcent 4 2 2 3 2 5" xfId="8099"/>
    <cellStyle name="20% - akcent 4 2 2 3 2 5 2" xfId="8100"/>
    <cellStyle name="20% - akcent 4 2 2 3 2 5 2 2" xfId="8101"/>
    <cellStyle name="20% - akcent 4 2 2 3 2 5 3" xfId="8102"/>
    <cellStyle name="20% - akcent 4 2 2 3 2 6" xfId="8103"/>
    <cellStyle name="20% - akcent 4 2 2 3 2 6 2" xfId="8104"/>
    <cellStyle name="20% - akcent 4 2 2 3 2 7" xfId="8105"/>
    <cellStyle name="20% - akcent 4 2 2 3 3" xfId="8106"/>
    <cellStyle name="20% - akcent 4 2 2 3 3 2" xfId="8107"/>
    <cellStyle name="20% - akcent 4 2 2 3 3 2 2" xfId="8108"/>
    <cellStyle name="20% - akcent 4 2 2 3 3 2 2 2" xfId="8109"/>
    <cellStyle name="20% - akcent 4 2 2 3 3 2 3" xfId="8110"/>
    <cellStyle name="20% - akcent 4 2 2 3 3 3" xfId="8111"/>
    <cellStyle name="20% - akcent 4 2 2 3 3 3 2" xfId="8112"/>
    <cellStyle name="20% - akcent 4 2 2 3 3 3 2 2" xfId="8113"/>
    <cellStyle name="20% - akcent 4 2 2 3 3 3 3" xfId="8114"/>
    <cellStyle name="20% - akcent 4 2 2 3 3 4" xfId="8115"/>
    <cellStyle name="20% - akcent 4 2 2 3 3 4 2" xfId="8116"/>
    <cellStyle name="20% - akcent 4 2 2 3 3 4 2 2" xfId="8117"/>
    <cellStyle name="20% - akcent 4 2 2 3 3 4 3" xfId="8118"/>
    <cellStyle name="20% - akcent 4 2 2 3 3 5" xfId="8119"/>
    <cellStyle name="20% - akcent 4 2 2 3 3 5 2" xfId="8120"/>
    <cellStyle name="20% - akcent 4 2 2 3 3 6" xfId="8121"/>
    <cellStyle name="20% - akcent 4 2 2 3 4" xfId="8122"/>
    <cellStyle name="20% - akcent 4 2 2 3 4 2" xfId="8123"/>
    <cellStyle name="20% - akcent 4 2 2 3 4 2 2" xfId="8124"/>
    <cellStyle name="20% - akcent 4 2 2 3 4 2 2 2" xfId="8125"/>
    <cellStyle name="20% - akcent 4 2 2 3 4 2 3" xfId="8126"/>
    <cellStyle name="20% - akcent 4 2 2 3 4 3" xfId="8127"/>
    <cellStyle name="20% - akcent 4 2 2 3 4 3 2" xfId="8128"/>
    <cellStyle name="20% - akcent 4 2 2 3 4 3 2 2" xfId="8129"/>
    <cellStyle name="20% - akcent 4 2 2 3 4 3 3" xfId="8130"/>
    <cellStyle name="20% - akcent 4 2 2 3 4 4" xfId="8131"/>
    <cellStyle name="20% - akcent 4 2 2 3 4 4 2" xfId="8132"/>
    <cellStyle name="20% - akcent 4 2 2 3 4 4 2 2" xfId="8133"/>
    <cellStyle name="20% - akcent 4 2 2 3 4 4 3" xfId="8134"/>
    <cellStyle name="20% - akcent 4 2 2 3 4 5" xfId="8135"/>
    <cellStyle name="20% - akcent 4 2 2 3 4 5 2" xfId="8136"/>
    <cellStyle name="20% - akcent 4 2 2 3 4 6" xfId="8137"/>
    <cellStyle name="20% - akcent 4 2 2 3 5" xfId="8138"/>
    <cellStyle name="20% - akcent 4 2 2 3 5 2" xfId="8139"/>
    <cellStyle name="20% - akcent 4 2 2 3 5 2 2" xfId="8140"/>
    <cellStyle name="20% - akcent 4 2 2 3 5 2 2 2" xfId="8141"/>
    <cellStyle name="20% - akcent 4 2 2 3 5 2 3" xfId="8142"/>
    <cellStyle name="20% - akcent 4 2 2 3 5 3" xfId="8143"/>
    <cellStyle name="20% - akcent 4 2 2 3 5 3 2" xfId="8144"/>
    <cellStyle name="20% - akcent 4 2 2 3 5 3 2 2" xfId="8145"/>
    <cellStyle name="20% - akcent 4 2 2 3 5 3 3" xfId="8146"/>
    <cellStyle name="20% - akcent 4 2 2 3 5 4" xfId="8147"/>
    <cellStyle name="20% - akcent 4 2 2 3 5 4 2" xfId="8148"/>
    <cellStyle name="20% - akcent 4 2 2 3 5 4 2 2" xfId="8149"/>
    <cellStyle name="20% - akcent 4 2 2 3 5 4 3" xfId="8150"/>
    <cellStyle name="20% - akcent 4 2 2 3 5 5" xfId="8151"/>
    <cellStyle name="20% - akcent 4 2 2 3 5 5 2" xfId="8152"/>
    <cellStyle name="20% - akcent 4 2 2 3 5 6" xfId="8153"/>
    <cellStyle name="20% - akcent 4 2 2 4" xfId="8154"/>
    <cellStyle name="20% - akcent 4 2 2 4 2" xfId="8155"/>
    <cellStyle name="20% - akcent 4 2 2 4 2 2" xfId="8156"/>
    <cellStyle name="20% - akcent 4 2 2 4 2 2 2" xfId="8157"/>
    <cellStyle name="20% - akcent 4 2 2 4 2 2 2 2" xfId="8158"/>
    <cellStyle name="20% - akcent 4 2 2 4 2 2 3" xfId="8159"/>
    <cellStyle name="20% - akcent 4 2 2 4 2 3" xfId="8160"/>
    <cellStyle name="20% - akcent 4 2 2 4 2 3 2" xfId="8161"/>
    <cellStyle name="20% - akcent 4 2 2 4 2 3 2 2" xfId="8162"/>
    <cellStyle name="20% - akcent 4 2 2 4 2 3 3" xfId="8163"/>
    <cellStyle name="20% - akcent 4 2 2 4 2 4" xfId="8164"/>
    <cellStyle name="20% - akcent 4 2 2 4 2 4 2" xfId="8165"/>
    <cellStyle name="20% - akcent 4 2 2 4 2 4 2 2" xfId="8166"/>
    <cellStyle name="20% - akcent 4 2 2 4 2 4 3" xfId="8167"/>
    <cellStyle name="20% - akcent 4 2 2 4 2 5" xfId="8168"/>
    <cellStyle name="20% - akcent 4 2 2 4 2 5 2" xfId="8169"/>
    <cellStyle name="20% - akcent 4 2 2 4 2 6" xfId="8170"/>
    <cellStyle name="20% - akcent 4 2 2 4 3" xfId="8171"/>
    <cellStyle name="20% - akcent 4 2 2 4 3 2" xfId="8172"/>
    <cellStyle name="20% - akcent 4 2 2 4 3 2 2" xfId="8173"/>
    <cellStyle name="20% - akcent 4 2 2 4 3 3" xfId="8174"/>
    <cellStyle name="20% - akcent 4 2 2 4 4" xfId="8175"/>
    <cellStyle name="20% - akcent 4 2 2 4 4 2" xfId="8176"/>
    <cellStyle name="20% - akcent 4 2 2 4 4 2 2" xfId="8177"/>
    <cellStyle name="20% - akcent 4 2 2 4 4 3" xfId="8178"/>
    <cellStyle name="20% - akcent 4 2 2 4 5" xfId="8179"/>
    <cellStyle name="20% - akcent 4 2 2 4 5 2" xfId="8180"/>
    <cellStyle name="20% - akcent 4 2 2 4 5 2 2" xfId="8181"/>
    <cellStyle name="20% - akcent 4 2 2 4 5 3" xfId="8182"/>
    <cellStyle name="20% - akcent 4 2 2 4 6" xfId="8183"/>
    <cellStyle name="20% - akcent 4 2 2 4 6 2" xfId="8184"/>
    <cellStyle name="20% - akcent 4 2 2 4 7" xfId="8185"/>
    <cellStyle name="20% - akcent 4 2 2 5" xfId="8186"/>
    <cellStyle name="20% - akcent 4 2 2 5 2" xfId="8187"/>
    <cellStyle name="20% - akcent 4 2 2 5 2 2" xfId="8188"/>
    <cellStyle name="20% - akcent 4 2 2 5 2 2 2" xfId="8189"/>
    <cellStyle name="20% - akcent 4 2 2 5 2 3" xfId="8190"/>
    <cellStyle name="20% - akcent 4 2 2 5 3" xfId="8191"/>
    <cellStyle name="20% - akcent 4 2 2 5 3 2" xfId="8192"/>
    <cellStyle name="20% - akcent 4 2 2 5 3 2 2" xfId="8193"/>
    <cellStyle name="20% - akcent 4 2 2 5 3 3" xfId="8194"/>
    <cellStyle name="20% - akcent 4 2 2 5 4" xfId="8195"/>
    <cellStyle name="20% - akcent 4 2 2 5 4 2" xfId="8196"/>
    <cellStyle name="20% - akcent 4 2 2 5 4 2 2" xfId="8197"/>
    <cellStyle name="20% - akcent 4 2 2 5 4 3" xfId="8198"/>
    <cellStyle name="20% - akcent 4 2 2 5 5" xfId="8199"/>
    <cellStyle name="20% - akcent 4 2 2 5 5 2" xfId="8200"/>
    <cellStyle name="20% - akcent 4 2 2 5 6" xfId="8201"/>
    <cellStyle name="20% - akcent 4 2 2 6" xfId="8202"/>
    <cellStyle name="20% - akcent 4 2 2 6 2" xfId="8203"/>
    <cellStyle name="20% - akcent 4 2 2 6 2 2" xfId="8204"/>
    <cellStyle name="20% - akcent 4 2 2 6 2 2 2" xfId="8205"/>
    <cellStyle name="20% - akcent 4 2 2 6 2 3" xfId="8206"/>
    <cellStyle name="20% - akcent 4 2 2 6 3" xfId="8207"/>
    <cellStyle name="20% - akcent 4 2 2 6 3 2" xfId="8208"/>
    <cellStyle name="20% - akcent 4 2 2 6 3 2 2" xfId="8209"/>
    <cellStyle name="20% - akcent 4 2 2 6 3 3" xfId="8210"/>
    <cellStyle name="20% - akcent 4 2 2 6 4" xfId="8211"/>
    <cellStyle name="20% - akcent 4 2 2 6 4 2" xfId="8212"/>
    <cellStyle name="20% - akcent 4 2 2 6 4 2 2" xfId="8213"/>
    <cellStyle name="20% - akcent 4 2 2 6 4 3" xfId="8214"/>
    <cellStyle name="20% - akcent 4 2 2 6 5" xfId="8215"/>
    <cellStyle name="20% - akcent 4 2 2 6 5 2" xfId="8216"/>
    <cellStyle name="20% - akcent 4 2 2 6 6" xfId="8217"/>
    <cellStyle name="20% - akcent 4 2 2 7" xfId="8218"/>
    <cellStyle name="20% - akcent 4 2 2 8" xfId="8219"/>
    <cellStyle name="20% - akcent 4 2 2 8 2" xfId="8220"/>
    <cellStyle name="20% - akcent 4 2 2 8 2 2" xfId="8221"/>
    <cellStyle name="20% - akcent 4 2 2 8 2 2 2" xfId="8222"/>
    <cellStyle name="20% - akcent 4 2 2 8 2 3" xfId="8223"/>
    <cellStyle name="20% - akcent 4 2 2 8 3" xfId="8224"/>
    <cellStyle name="20% - akcent 4 2 2 8 3 2" xfId="8225"/>
    <cellStyle name="20% - akcent 4 2 2 8 3 2 2" xfId="8226"/>
    <cellStyle name="20% - akcent 4 2 2 8 3 3" xfId="8227"/>
    <cellStyle name="20% - akcent 4 2 2 8 4" xfId="8228"/>
    <cellStyle name="20% - akcent 4 2 2 8 4 2" xfId="8229"/>
    <cellStyle name="20% - akcent 4 2 2 8 4 2 2" xfId="8230"/>
    <cellStyle name="20% - akcent 4 2 2 8 4 3" xfId="8231"/>
    <cellStyle name="20% - akcent 4 2 2 8 5" xfId="8232"/>
    <cellStyle name="20% - akcent 4 2 2 8 5 2" xfId="8233"/>
    <cellStyle name="20% - akcent 4 2 2 8 6" xfId="8234"/>
    <cellStyle name="20% - akcent 4 2 2_2011'05 Raport PGE_DO-CO2" xfId="8235"/>
    <cellStyle name="20% - akcent 4 2 3" xfId="8236"/>
    <cellStyle name="20% - akcent 4 2 3 2" xfId="8237"/>
    <cellStyle name="20% - akcent 4 2 3 2 2" xfId="8238"/>
    <cellStyle name="20% - akcent 4 2 3 2 2 2" xfId="8239"/>
    <cellStyle name="20% - akcent 4 2 3 2 2 2 2" xfId="8240"/>
    <cellStyle name="20% - akcent 4 2 3 2 2 2 2 2" xfId="8241"/>
    <cellStyle name="20% - akcent 4 2 3 2 2 2 2 2 2" xfId="8242"/>
    <cellStyle name="20% - akcent 4 2 3 2 2 2 2 3" xfId="8243"/>
    <cellStyle name="20% - akcent 4 2 3 2 2 2 3" xfId="8244"/>
    <cellStyle name="20% - akcent 4 2 3 2 2 2 3 2" xfId="8245"/>
    <cellStyle name="20% - akcent 4 2 3 2 2 2 3 2 2" xfId="8246"/>
    <cellStyle name="20% - akcent 4 2 3 2 2 2 3 3" xfId="8247"/>
    <cellStyle name="20% - akcent 4 2 3 2 2 2 4" xfId="8248"/>
    <cellStyle name="20% - akcent 4 2 3 2 2 2 4 2" xfId="8249"/>
    <cellStyle name="20% - akcent 4 2 3 2 2 2 4 2 2" xfId="8250"/>
    <cellStyle name="20% - akcent 4 2 3 2 2 2 4 3" xfId="8251"/>
    <cellStyle name="20% - akcent 4 2 3 2 2 2 5" xfId="8252"/>
    <cellStyle name="20% - akcent 4 2 3 2 2 2 5 2" xfId="8253"/>
    <cellStyle name="20% - akcent 4 2 3 2 2 2 6" xfId="8254"/>
    <cellStyle name="20% - akcent 4 2 3 2 2 3" xfId="8255"/>
    <cellStyle name="20% - akcent 4 2 3 2 2 3 2" xfId="8256"/>
    <cellStyle name="20% - akcent 4 2 3 2 2 3 2 2" xfId="8257"/>
    <cellStyle name="20% - akcent 4 2 3 2 2 3 3" xfId="8258"/>
    <cellStyle name="20% - akcent 4 2 3 2 2 4" xfId="8259"/>
    <cellStyle name="20% - akcent 4 2 3 2 2 4 2" xfId="8260"/>
    <cellStyle name="20% - akcent 4 2 3 2 2 4 2 2" xfId="8261"/>
    <cellStyle name="20% - akcent 4 2 3 2 2 4 3" xfId="8262"/>
    <cellStyle name="20% - akcent 4 2 3 2 2 5" xfId="8263"/>
    <cellStyle name="20% - akcent 4 2 3 2 2 5 2" xfId="8264"/>
    <cellStyle name="20% - akcent 4 2 3 2 2 5 2 2" xfId="8265"/>
    <cellStyle name="20% - akcent 4 2 3 2 2 5 3" xfId="8266"/>
    <cellStyle name="20% - akcent 4 2 3 2 2 6" xfId="8267"/>
    <cellStyle name="20% - akcent 4 2 3 2 2 6 2" xfId="8268"/>
    <cellStyle name="20% - akcent 4 2 3 2 2 7" xfId="8269"/>
    <cellStyle name="20% - akcent 4 2 3 2 3" xfId="8270"/>
    <cellStyle name="20% - akcent 4 2 3 2 3 2" xfId="8271"/>
    <cellStyle name="20% - akcent 4 2 3 2 3 2 2" xfId="8272"/>
    <cellStyle name="20% - akcent 4 2 3 2 3 2 2 2" xfId="8273"/>
    <cellStyle name="20% - akcent 4 2 3 2 3 2 3" xfId="8274"/>
    <cellStyle name="20% - akcent 4 2 3 2 3 3" xfId="8275"/>
    <cellStyle name="20% - akcent 4 2 3 2 3 3 2" xfId="8276"/>
    <cellStyle name="20% - akcent 4 2 3 2 3 3 2 2" xfId="8277"/>
    <cellStyle name="20% - akcent 4 2 3 2 3 3 3" xfId="8278"/>
    <cellStyle name="20% - akcent 4 2 3 2 3 4" xfId="8279"/>
    <cellStyle name="20% - akcent 4 2 3 2 3 4 2" xfId="8280"/>
    <cellStyle name="20% - akcent 4 2 3 2 3 4 2 2" xfId="8281"/>
    <cellStyle name="20% - akcent 4 2 3 2 3 4 3" xfId="8282"/>
    <cellStyle name="20% - akcent 4 2 3 2 3 5" xfId="8283"/>
    <cellStyle name="20% - akcent 4 2 3 2 3 5 2" xfId="8284"/>
    <cellStyle name="20% - akcent 4 2 3 2 3 6" xfId="8285"/>
    <cellStyle name="20% - akcent 4 2 3 2 4" xfId="8286"/>
    <cellStyle name="20% - akcent 4 2 3 2 4 2" xfId="8287"/>
    <cellStyle name="20% - akcent 4 2 3 2 4 2 2" xfId="8288"/>
    <cellStyle name="20% - akcent 4 2 3 2 4 2 2 2" xfId="8289"/>
    <cellStyle name="20% - akcent 4 2 3 2 4 2 3" xfId="8290"/>
    <cellStyle name="20% - akcent 4 2 3 2 4 3" xfId="8291"/>
    <cellStyle name="20% - akcent 4 2 3 2 4 3 2" xfId="8292"/>
    <cellStyle name="20% - akcent 4 2 3 2 4 3 2 2" xfId="8293"/>
    <cellStyle name="20% - akcent 4 2 3 2 4 3 3" xfId="8294"/>
    <cellStyle name="20% - akcent 4 2 3 2 4 4" xfId="8295"/>
    <cellStyle name="20% - akcent 4 2 3 2 4 4 2" xfId="8296"/>
    <cellStyle name="20% - akcent 4 2 3 2 4 4 2 2" xfId="8297"/>
    <cellStyle name="20% - akcent 4 2 3 2 4 4 3" xfId="8298"/>
    <cellStyle name="20% - akcent 4 2 3 2 4 5" xfId="8299"/>
    <cellStyle name="20% - akcent 4 2 3 2 4 5 2" xfId="8300"/>
    <cellStyle name="20% - akcent 4 2 3 2 4 6" xfId="8301"/>
    <cellStyle name="20% - akcent 4 2 3 2 5" xfId="8302"/>
    <cellStyle name="20% - akcent 4 2 3 2 5 2" xfId="8303"/>
    <cellStyle name="20% - akcent 4 2 3 2 5 2 2" xfId="8304"/>
    <cellStyle name="20% - akcent 4 2 3 2 5 2 2 2" xfId="8305"/>
    <cellStyle name="20% - akcent 4 2 3 2 5 2 3" xfId="8306"/>
    <cellStyle name="20% - akcent 4 2 3 2 5 3" xfId="8307"/>
    <cellStyle name="20% - akcent 4 2 3 2 5 3 2" xfId="8308"/>
    <cellStyle name="20% - akcent 4 2 3 2 5 3 2 2" xfId="8309"/>
    <cellStyle name="20% - akcent 4 2 3 2 5 3 3" xfId="8310"/>
    <cellStyle name="20% - akcent 4 2 3 2 5 4" xfId="8311"/>
    <cellStyle name="20% - akcent 4 2 3 2 5 4 2" xfId="8312"/>
    <cellStyle name="20% - akcent 4 2 3 2 5 4 2 2" xfId="8313"/>
    <cellStyle name="20% - akcent 4 2 3 2 5 4 3" xfId="8314"/>
    <cellStyle name="20% - akcent 4 2 3 2 5 5" xfId="8315"/>
    <cellStyle name="20% - akcent 4 2 3 2 5 5 2" xfId="8316"/>
    <cellStyle name="20% - akcent 4 2 3 2 5 6" xfId="8317"/>
    <cellStyle name="20% - akcent 4 2 3 3" xfId="8318"/>
    <cellStyle name="20% - akcent 4 2 3 3 2" xfId="8319"/>
    <cellStyle name="20% - akcent 4 2 3 3 2 2" xfId="8320"/>
    <cellStyle name="20% - akcent 4 2 3 3 2 2 2" xfId="8321"/>
    <cellStyle name="20% - akcent 4 2 3 3 2 2 2 2" xfId="8322"/>
    <cellStyle name="20% - akcent 4 2 3 3 2 2 3" xfId="8323"/>
    <cellStyle name="20% - akcent 4 2 3 3 2 3" xfId="8324"/>
    <cellStyle name="20% - akcent 4 2 3 3 2 3 2" xfId="8325"/>
    <cellStyle name="20% - akcent 4 2 3 3 2 3 2 2" xfId="8326"/>
    <cellStyle name="20% - akcent 4 2 3 3 2 3 3" xfId="8327"/>
    <cellStyle name="20% - akcent 4 2 3 3 2 4" xfId="8328"/>
    <cellStyle name="20% - akcent 4 2 3 3 2 4 2" xfId="8329"/>
    <cellStyle name="20% - akcent 4 2 3 3 2 4 2 2" xfId="8330"/>
    <cellStyle name="20% - akcent 4 2 3 3 2 4 3" xfId="8331"/>
    <cellStyle name="20% - akcent 4 2 3 3 2 5" xfId="8332"/>
    <cellStyle name="20% - akcent 4 2 3 3 2 5 2" xfId="8333"/>
    <cellStyle name="20% - akcent 4 2 3 3 2 6" xfId="8334"/>
    <cellStyle name="20% - akcent 4 2 3 3 3" xfId="8335"/>
    <cellStyle name="20% - akcent 4 2 3 3 3 2" xfId="8336"/>
    <cellStyle name="20% - akcent 4 2 3 3 3 2 2" xfId="8337"/>
    <cellStyle name="20% - akcent 4 2 3 3 3 3" xfId="8338"/>
    <cellStyle name="20% - akcent 4 2 3 3 4" xfId="8339"/>
    <cellStyle name="20% - akcent 4 2 3 3 4 2" xfId="8340"/>
    <cellStyle name="20% - akcent 4 2 3 3 4 2 2" xfId="8341"/>
    <cellStyle name="20% - akcent 4 2 3 3 4 3" xfId="8342"/>
    <cellStyle name="20% - akcent 4 2 3 3 5" xfId="8343"/>
    <cellStyle name="20% - akcent 4 2 3 3 5 2" xfId="8344"/>
    <cellStyle name="20% - akcent 4 2 3 3 5 2 2" xfId="8345"/>
    <cellStyle name="20% - akcent 4 2 3 3 5 3" xfId="8346"/>
    <cellStyle name="20% - akcent 4 2 3 3 6" xfId="8347"/>
    <cellStyle name="20% - akcent 4 2 3 3 6 2" xfId="8348"/>
    <cellStyle name="20% - akcent 4 2 3 3 7" xfId="8349"/>
    <cellStyle name="20% - akcent 4 2 3 4" xfId="8350"/>
    <cellStyle name="20% - akcent 4 2 3 4 2" xfId="8351"/>
    <cellStyle name="20% - akcent 4 2 3 4 2 2" xfId="8352"/>
    <cellStyle name="20% - akcent 4 2 3 4 2 2 2" xfId="8353"/>
    <cellStyle name="20% - akcent 4 2 3 4 2 3" xfId="8354"/>
    <cellStyle name="20% - akcent 4 2 3 4 3" xfId="8355"/>
    <cellStyle name="20% - akcent 4 2 3 4 3 2" xfId="8356"/>
    <cellStyle name="20% - akcent 4 2 3 4 3 2 2" xfId="8357"/>
    <cellStyle name="20% - akcent 4 2 3 4 3 3" xfId="8358"/>
    <cellStyle name="20% - akcent 4 2 3 4 4" xfId="8359"/>
    <cellStyle name="20% - akcent 4 2 3 4 4 2" xfId="8360"/>
    <cellStyle name="20% - akcent 4 2 3 4 4 2 2" xfId="8361"/>
    <cellStyle name="20% - akcent 4 2 3 4 4 3" xfId="8362"/>
    <cellStyle name="20% - akcent 4 2 3 4 5" xfId="8363"/>
    <cellStyle name="20% - akcent 4 2 3 4 5 2" xfId="8364"/>
    <cellStyle name="20% - akcent 4 2 3 4 6" xfId="8365"/>
    <cellStyle name="20% - akcent 4 2 3 5" xfId="8366"/>
    <cellStyle name="20% - akcent 4 2 3 5 2" xfId="8367"/>
    <cellStyle name="20% - akcent 4 2 3 5 2 2" xfId="8368"/>
    <cellStyle name="20% - akcent 4 2 3 5 2 2 2" xfId="8369"/>
    <cellStyle name="20% - akcent 4 2 3 5 2 3" xfId="8370"/>
    <cellStyle name="20% - akcent 4 2 3 5 3" xfId="8371"/>
    <cellStyle name="20% - akcent 4 2 3 5 3 2" xfId="8372"/>
    <cellStyle name="20% - akcent 4 2 3 5 3 2 2" xfId="8373"/>
    <cellStyle name="20% - akcent 4 2 3 5 3 3" xfId="8374"/>
    <cellStyle name="20% - akcent 4 2 3 5 4" xfId="8375"/>
    <cellStyle name="20% - akcent 4 2 3 5 4 2" xfId="8376"/>
    <cellStyle name="20% - akcent 4 2 3 5 4 2 2" xfId="8377"/>
    <cellStyle name="20% - akcent 4 2 3 5 4 3" xfId="8378"/>
    <cellStyle name="20% - akcent 4 2 3 5 5" xfId="8379"/>
    <cellStyle name="20% - akcent 4 2 3 5 5 2" xfId="8380"/>
    <cellStyle name="20% - akcent 4 2 3 5 6" xfId="8381"/>
    <cellStyle name="20% - akcent 4 2 3 6" xfId="8382"/>
    <cellStyle name="20% - akcent 4 2 3 6 2" xfId="8383"/>
    <cellStyle name="20% - akcent 4 2 3 6 2 2" xfId="8384"/>
    <cellStyle name="20% - akcent 4 2 3 6 2 2 2" xfId="8385"/>
    <cellStyle name="20% - akcent 4 2 3 6 2 3" xfId="8386"/>
    <cellStyle name="20% - akcent 4 2 3 6 3" xfId="8387"/>
    <cellStyle name="20% - akcent 4 2 3 6 3 2" xfId="8388"/>
    <cellStyle name="20% - akcent 4 2 3 6 3 2 2" xfId="8389"/>
    <cellStyle name="20% - akcent 4 2 3 6 3 3" xfId="8390"/>
    <cellStyle name="20% - akcent 4 2 3 6 4" xfId="8391"/>
    <cellStyle name="20% - akcent 4 2 3 6 4 2" xfId="8392"/>
    <cellStyle name="20% - akcent 4 2 3 6 4 2 2" xfId="8393"/>
    <cellStyle name="20% - akcent 4 2 3 6 4 3" xfId="8394"/>
    <cellStyle name="20% - akcent 4 2 3 6 5" xfId="8395"/>
    <cellStyle name="20% - akcent 4 2 3 6 5 2" xfId="8396"/>
    <cellStyle name="20% - akcent 4 2 3 6 6" xfId="8397"/>
    <cellStyle name="20% - akcent 4 2 3_2011'05 Raport PGE_DO-CO2" xfId="8398"/>
    <cellStyle name="20% - akcent 4 2 4" xfId="8399"/>
    <cellStyle name="20% - akcent 4 2 4 2" xfId="8400"/>
    <cellStyle name="20% - akcent 4 2 4 2 2" xfId="8401"/>
    <cellStyle name="20% - akcent 4 2 4 2 2 2" xfId="8402"/>
    <cellStyle name="20% - akcent 4 2 4 2 2 2 2" xfId="8403"/>
    <cellStyle name="20% - akcent 4 2 4 2 2 2 2 2" xfId="8404"/>
    <cellStyle name="20% - akcent 4 2 4 2 2 2 2 2 2" xfId="8405"/>
    <cellStyle name="20% - akcent 4 2 4 2 2 2 2 3" xfId="8406"/>
    <cellStyle name="20% - akcent 4 2 4 2 2 2 3" xfId="8407"/>
    <cellStyle name="20% - akcent 4 2 4 2 2 2 3 2" xfId="8408"/>
    <cellStyle name="20% - akcent 4 2 4 2 2 2 3 2 2" xfId="8409"/>
    <cellStyle name="20% - akcent 4 2 4 2 2 2 3 3" xfId="8410"/>
    <cellStyle name="20% - akcent 4 2 4 2 2 2 4" xfId="8411"/>
    <cellStyle name="20% - akcent 4 2 4 2 2 2 4 2" xfId="8412"/>
    <cellStyle name="20% - akcent 4 2 4 2 2 2 4 2 2" xfId="8413"/>
    <cellStyle name="20% - akcent 4 2 4 2 2 2 4 3" xfId="8414"/>
    <cellStyle name="20% - akcent 4 2 4 2 2 2 5" xfId="8415"/>
    <cellStyle name="20% - akcent 4 2 4 2 2 2 5 2" xfId="8416"/>
    <cellStyle name="20% - akcent 4 2 4 2 2 2 6" xfId="8417"/>
    <cellStyle name="20% - akcent 4 2 4 2 2 3" xfId="8418"/>
    <cellStyle name="20% - akcent 4 2 4 2 2 3 2" xfId="8419"/>
    <cellStyle name="20% - akcent 4 2 4 2 2 3 2 2" xfId="8420"/>
    <cellStyle name="20% - akcent 4 2 4 2 2 3 3" xfId="8421"/>
    <cellStyle name="20% - akcent 4 2 4 2 2 4" xfId="8422"/>
    <cellStyle name="20% - akcent 4 2 4 2 2 4 2" xfId="8423"/>
    <cellStyle name="20% - akcent 4 2 4 2 2 4 2 2" xfId="8424"/>
    <cellStyle name="20% - akcent 4 2 4 2 2 4 3" xfId="8425"/>
    <cellStyle name="20% - akcent 4 2 4 2 2 5" xfId="8426"/>
    <cellStyle name="20% - akcent 4 2 4 2 2 5 2" xfId="8427"/>
    <cellStyle name="20% - akcent 4 2 4 2 2 5 2 2" xfId="8428"/>
    <cellStyle name="20% - akcent 4 2 4 2 2 5 3" xfId="8429"/>
    <cellStyle name="20% - akcent 4 2 4 2 2 6" xfId="8430"/>
    <cellStyle name="20% - akcent 4 2 4 2 2 6 2" xfId="8431"/>
    <cellStyle name="20% - akcent 4 2 4 2 2 7" xfId="8432"/>
    <cellStyle name="20% - akcent 4 2 4 2 3" xfId="8433"/>
    <cellStyle name="20% - akcent 4 2 4 2 3 2" xfId="8434"/>
    <cellStyle name="20% - akcent 4 2 4 2 3 2 2" xfId="8435"/>
    <cellStyle name="20% - akcent 4 2 4 2 3 2 2 2" xfId="8436"/>
    <cellStyle name="20% - akcent 4 2 4 2 3 2 3" xfId="8437"/>
    <cellStyle name="20% - akcent 4 2 4 2 3 3" xfId="8438"/>
    <cellStyle name="20% - akcent 4 2 4 2 3 3 2" xfId="8439"/>
    <cellStyle name="20% - akcent 4 2 4 2 3 3 2 2" xfId="8440"/>
    <cellStyle name="20% - akcent 4 2 4 2 3 3 3" xfId="8441"/>
    <cellStyle name="20% - akcent 4 2 4 2 3 4" xfId="8442"/>
    <cellStyle name="20% - akcent 4 2 4 2 3 4 2" xfId="8443"/>
    <cellStyle name="20% - akcent 4 2 4 2 3 4 2 2" xfId="8444"/>
    <cellStyle name="20% - akcent 4 2 4 2 3 4 3" xfId="8445"/>
    <cellStyle name="20% - akcent 4 2 4 2 3 5" xfId="8446"/>
    <cellStyle name="20% - akcent 4 2 4 2 3 5 2" xfId="8447"/>
    <cellStyle name="20% - akcent 4 2 4 2 3 6" xfId="8448"/>
    <cellStyle name="20% - akcent 4 2 4 2 4" xfId="8449"/>
    <cellStyle name="20% - akcent 4 2 4 2 4 2" xfId="8450"/>
    <cellStyle name="20% - akcent 4 2 4 2 4 2 2" xfId="8451"/>
    <cellStyle name="20% - akcent 4 2 4 2 4 2 2 2" xfId="8452"/>
    <cellStyle name="20% - akcent 4 2 4 2 4 2 3" xfId="8453"/>
    <cellStyle name="20% - akcent 4 2 4 2 4 3" xfId="8454"/>
    <cellStyle name="20% - akcent 4 2 4 2 4 3 2" xfId="8455"/>
    <cellStyle name="20% - akcent 4 2 4 2 4 3 2 2" xfId="8456"/>
    <cellStyle name="20% - akcent 4 2 4 2 4 3 3" xfId="8457"/>
    <cellStyle name="20% - akcent 4 2 4 2 4 4" xfId="8458"/>
    <cellStyle name="20% - akcent 4 2 4 2 4 4 2" xfId="8459"/>
    <cellStyle name="20% - akcent 4 2 4 2 4 4 2 2" xfId="8460"/>
    <cellStyle name="20% - akcent 4 2 4 2 4 4 3" xfId="8461"/>
    <cellStyle name="20% - akcent 4 2 4 2 4 5" xfId="8462"/>
    <cellStyle name="20% - akcent 4 2 4 2 4 5 2" xfId="8463"/>
    <cellStyle name="20% - akcent 4 2 4 2 4 6" xfId="8464"/>
    <cellStyle name="20% - akcent 4 2 4 2 5" xfId="8465"/>
    <cellStyle name="20% - akcent 4 2 4 2 5 2" xfId="8466"/>
    <cellStyle name="20% - akcent 4 2 4 2 5 2 2" xfId="8467"/>
    <cellStyle name="20% - akcent 4 2 4 2 5 3" xfId="8468"/>
    <cellStyle name="20% - akcent 4 2 4 2 6" xfId="8469"/>
    <cellStyle name="20% - akcent 4 2 4 2 6 2" xfId="8470"/>
    <cellStyle name="20% - akcent 4 2 4 2 6 2 2" xfId="8471"/>
    <cellStyle name="20% - akcent 4 2 4 2 6 3" xfId="8472"/>
    <cellStyle name="20% - akcent 4 2 4 2 7" xfId="8473"/>
    <cellStyle name="20% - akcent 4 2 4 2 7 2" xfId="8474"/>
    <cellStyle name="20% - akcent 4 2 4 2 7 2 2" xfId="8475"/>
    <cellStyle name="20% - akcent 4 2 4 2 7 3" xfId="8476"/>
    <cellStyle name="20% - akcent 4 2 4 2 8" xfId="8477"/>
    <cellStyle name="20% - akcent 4 2 4 2 8 2" xfId="8478"/>
    <cellStyle name="20% - akcent 4 2 4 2 9" xfId="8479"/>
    <cellStyle name="20% - akcent 4 2 4 3" xfId="8480"/>
    <cellStyle name="20% - akcent 4 2 4 3 2" xfId="8481"/>
    <cellStyle name="20% - akcent 4 2 4 3 2 2" xfId="8482"/>
    <cellStyle name="20% - akcent 4 2 4 3 2 2 2" xfId="8483"/>
    <cellStyle name="20% - akcent 4 2 4 3 2 2 2 2" xfId="8484"/>
    <cellStyle name="20% - akcent 4 2 4 3 2 2 3" xfId="8485"/>
    <cellStyle name="20% - akcent 4 2 4 3 2 3" xfId="8486"/>
    <cellStyle name="20% - akcent 4 2 4 3 2 3 2" xfId="8487"/>
    <cellStyle name="20% - akcent 4 2 4 3 2 3 2 2" xfId="8488"/>
    <cellStyle name="20% - akcent 4 2 4 3 2 3 3" xfId="8489"/>
    <cellStyle name="20% - akcent 4 2 4 3 2 4" xfId="8490"/>
    <cellStyle name="20% - akcent 4 2 4 3 2 4 2" xfId="8491"/>
    <cellStyle name="20% - akcent 4 2 4 3 2 4 2 2" xfId="8492"/>
    <cellStyle name="20% - akcent 4 2 4 3 2 4 3" xfId="8493"/>
    <cellStyle name="20% - akcent 4 2 4 3 2 5" xfId="8494"/>
    <cellStyle name="20% - akcent 4 2 4 3 2 5 2" xfId="8495"/>
    <cellStyle name="20% - akcent 4 2 4 3 2 6" xfId="8496"/>
    <cellStyle name="20% - akcent 4 2 4 3 3" xfId="8497"/>
    <cellStyle name="20% - akcent 4 2 4 3 3 2" xfId="8498"/>
    <cellStyle name="20% - akcent 4 2 4 3 3 2 2" xfId="8499"/>
    <cellStyle name="20% - akcent 4 2 4 3 3 3" xfId="8500"/>
    <cellStyle name="20% - akcent 4 2 4 3 4" xfId="8501"/>
    <cellStyle name="20% - akcent 4 2 4 3 4 2" xfId="8502"/>
    <cellStyle name="20% - akcent 4 2 4 3 4 2 2" xfId="8503"/>
    <cellStyle name="20% - akcent 4 2 4 3 4 3" xfId="8504"/>
    <cellStyle name="20% - akcent 4 2 4 3 5" xfId="8505"/>
    <cellStyle name="20% - akcent 4 2 4 3 5 2" xfId="8506"/>
    <cellStyle name="20% - akcent 4 2 4 3 5 2 2" xfId="8507"/>
    <cellStyle name="20% - akcent 4 2 4 3 5 3" xfId="8508"/>
    <cellStyle name="20% - akcent 4 2 4 3 6" xfId="8509"/>
    <cellStyle name="20% - akcent 4 2 4 3 6 2" xfId="8510"/>
    <cellStyle name="20% - akcent 4 2 4 3 7" xfId="8511"/>
    <cellStyle name="20% - akcent 4 2 4 4" xfId="8512"/>
    <cellStyle name="20% - akcent 4 2 4 4 2" xfId="8513"/>
    <cellStyle name="20% - akcent 4 2 4 4 2 2" xfId="8514"/>
    <cellStyle name="20% - akcent 4 2 4 4 2 2 2" xfId="8515"/>
    <cellStyle name="20% - akcent 4 2 4 4 2 3" xfId="8516"/>
    <cellStyle name="20% - akcent 4 2 4 4 3" xfId="8517"/>
    <cellStyle name="20% - akcent 4 2 4 4 3 2" xfId="8518"/>
    <cellStyle name="20% - akcent 4 2 4 4 3 2 2" xfId="8519"/>
    <cellStyle name="20% - akcent 4 2 4 4 3 3" xfId="8520"/>
    <cellStyle name="20% - akcent 4 2 4 4 4" xfId="8521"/>
    <cellStyle name="20% - akcent 4 2 4 4 4 2" xfId="8522"/>
    <cellStyle name="20% - akcent 4 2 4 4 4 2 2" xfId="8523"/>
    <cellStyle name="20% - akcent 4 2 4 4 4 3" xfId="8524"/>
    <cellStyle name="20% - akcent 4 2 4 4 5" xfId="8525"/>
    <cellStyle name="20% - akcent 4 2 4 4 5 2" xfId="8526"/>
    <cellStyle name="20% - akcent 4 2 4 4 6" xfId="8527"/>
    <cellStyle name="20% - akcent 4 2 4 5" xfId="8528"/>
    <cellStyle name="20% - akcent 4 2 4 5 2" xfId="8529"/>
    <cellStyle name="20% - akcent 4 2 4 5 2 2" xfId="8530"/>
    <cellStyle name="20% - akcent 4 2 4 5 2 2 2" xfId="8531"/>
    <cellStyle name="20% - akcent 4 2 4 5 2 3" xfId="8532"/>
    <cellStyle name="20% - akcent 4 2 4 5 3" xfId="8533"/>
    <cellStyle name="20% - akcent 4 2 4 5 3 2" xfId="8534"/>
    <cellStyle name="20% - akcent 4 2 4 5 3 2 2" xfId="8535"/>
    <cellStyle name="20% - akcent 4 2 4 5 3 3" xfId="8536"/>
    <cellStyle name="20% - akcent 4 2 4 5 4" xfId="8537"/>
    <cellStyle name="20% - akcent 4 2 4 5 4 2" xfId="8538"/>
    <cellStyle name="20% - akcent 4 2 4 5 4 2 2" xfId="8539"/>
    <cellStyle name="20% - akcent 4 2 4 5 4 3" xfId="8540"/>
    <cellStyle name="20% - akcent 4 2 4 5 5" xfId="8541"/>
    <cellStyle name="20% - akcent 4 2 4 5 5 2" xfId="8542"/>
    <cellStyle name="20% - akcent 4 2 4 5 6" xfId="8543"/>
    <cellStyle name="20% - akcent 4 2 4 6" xfId="8544"/>
    <cellStyle name="20% - akcent 4 2 4 6 2" xfId="8545"/>
    <cellStyle name="20% - akcent 4 2 4 6 2 2" xfId="8546"/>
    <cellStyle name="20% - akcent 4 2 4 6 2 2 2" xfId="8547"/>
    <cellStyle name="20% - akcent 4 2 4 6 2 3" xfId="8548"/>
    <cellStyle name="20% - akcent 4 2 4 6 3" xfId="8549"/>
    <cellStyle name="20% - akcent 4 2 4 6 3 2" xfId="8550"/>
    <cellStyle name="20% - akcent 4 2 4 6 3 2 2" xfId="8551"/>
    <cellStyle name="20% - akcent 4 2 4 6 3 3" xfId="8552"/>
    <cellStyle name="20% - akcent 4 2 4 6 4" xfId="8553"/>
    <cellStyle name="20% - akcent 4 2 4 6 4 2" xfId="8554"/>
    <cellStyle name="20% - akcent 4 2 4 6 4 2 2" xfId="8555"/>
    <cellStyle name="20% - akcent 4 2 4 6 4 3" xfId="8556"/>
    <cellStyle name="20% - akcent 4 2 4 6 5" xfId="8557"/>
    <cellStyle name="20% - akcent 4 2 4 6 5 2" xfId="8558"/>
    <cellStyle name="20% - akcent 4 2 4 6 6" xfId="8559"/>
    <cellStyle name="20% - akcent 4 2 5" xfId="8560"/>
    <cellStyle name="20% - akcent 4 2 5 2" xfId="8561"/>
    <cellStyle name="20% - akcent 4 2 6" xfId="8562"/>
    <cellStyle name="20% - akcent 4 2 7" xfId="8563"/>
    <cellStyle name="20% - akcent 4 2 8" xfId="8564"/>
    <cellStyle name="20% - akcent 4 2 9" xfId="8565"/>
    <cellStyle name="20% - akcent 4 2_2011'05 Raport PGE_DO-CO2" xfId="8566"/>
    <cellStyle name="20% - akcent 4 3" xfId="8567"/>
    <cellStyle name="20% - akcent 4 3 10" xfId="8568"/>
    <cellStyle name="20% - akcent 4 3 10 2" xfId="8569"/>
    <cellStyle name="20% - akcent 4 3 10 2 2" xfId="8570"/>
    <cellStyle name="20% - akcent 4 3 10 2 2 2" xfId="8571"/>
    <cellStyle name="20% - akcent 4 3 10 2 3" xfId="8572"/>
    <cellStyle name="20% - akcent 4 3 10 3" xfId="8573"/>
    <cellStyle name="20% - akcent 4 3 10 3 2" xfId="8574"/>
    <cellStyle name="20% - akcent 4 3 10 3 2 2" xfId="8575"/>
    <cellStyle name="20% - akcent 4 3 10 3 3" xfId="8576"/>
    <cellStyle name="20% - akcent 4 3 10 4" xfId="8577"/>
    <cellStyle name="20% - akcent 4 3 10 4 2" xfId="8578"/>
    <cellStyle name="20% - akcent 4 3 10 4 2 2" xfId="8579"/>
    <cellStyle name="20% - akcent 4 3 10 4 3" xfId="8580"/>
    <cellStyle name="20% - akcent 4 3 10 5" xfId="8581"/>
    <cellStyle name="20% - akcent 4 3 10 5 2" xfId="8582"/>
    <cellStyle name="20% - akcent 4 3 10 6" xfId="8583"/>
    <cellStyle name="20% - akcent 4 3 2" xfId="8584"/>
    <cellStyle name="20% - akcent 4 3 2 2" xfId="8585"/>
    <cellStyle name="20% - akcent 4 3 2 2 10" xfId="8586"/>
    <cellStyle name="20% - akcent 4 3 2 2 2" xfId="8587"/>
    <cellStyle name="20% - akcent 4 3 2 2 2 2" xfId="8588"/>
    <cellStyle name="20% - akcent 4 3 2 2 2 2 2" xfId="8589"/>
    <cellStyle name="20% - akcent 4 3 2 2 2 2 2 2" xfId="8590"/>
    <cellStyle name="20% - akcent 4 3 2 2 2 2 2 2 2" xfId="8591"/>
    <cellStyle name="20% - akcent 4 3 2 2 2 2 2 2 2 2" xfId="8592"/>
    <cellStyle name="20% - akcent 4 3 2 2 2 2 2 2 3" xfId="8593"/>
    <cellStyle name="20% - akcent 4 3 2 2 2 2 2 3" xfId="8594"/>
    <cellStyle name="20% - akcent 4 3 2 2 2 2 2 3 2" xfId="8595"/>
    <cellStyle name="20% - akcent 4 3 2 2 2 2 2 3 2 2" xfId="8596"/>
    <cellStyle name="20% - akcent 4 3 2 2 2 2 2 3 3" xfId="8597"/>
    <cellStyle name="20% - akcent 4 3 2 2 2 2 2 4" xfId="8598"/>
    <cellStyle name="20% - akcent 4 3 2 2 2 2 2 4 2" xfId="8599"/>
    <cellStyle name="20% - akcent 4 3 2 2 2 2 2 4 2 2" xfId="8600"/>
    <cellStyle name="20% - akcent 4 3 2 2 2 2 2 4 3" xfId="8601"/>
    <cellStyle name="20% - akcent 4 3 2 2 2 2 2 5" xfId="8602"/>
    <cellStyle name="20% - akcent 4 3 2 2 2 2 2 5 2" xfId="8603"/>
    <cellStyle name="20% - akcent 4 3 2 2 2 2 2 6" xfId="8604"/>
    <cellStyle name="20% - akcent 4 3 2 2 2 2 3" xfId="8605"/>
    <cellStyle name="20% - akcent 4 3 2 2 2 2 3 2" xfId="8606"/>
    <cellStyle name="20% - akcent 4 3 2 2 2 2 3 2 2" xfId="8607"/>
    <cellStyle name="20% - akcent 4 3 2 2 2 2 3 3" xfId="8608"/>
    <cellStyle name="20% - akcent 4 3 2 2 2 2 4" xfId="8609"/>
    <cellStyle name="20% - akcent 4 3 2 2 2 2 4 2" xfId="8610"/>
    <cellStyle name="20% - akcent 4 3 2 2 2 2 4 2 2" xfId="8611"/>
    <cellStyle name="20% - akcent 4 3 2 2 2 2 4 3" xfId="8612"/>
    <cellStyle name="20% - akcent 4 3 2 2 2 2 5" xfId="8613"/>
    <cellStyle name="20% - akcent 4 3 2 2 2 2 5 2" xfId="8614"/>
    <cellStyle name="20% - akcent 4 3 2 2 2 2 5 2 2" xfId="8615"/>
    <cellStyle name="20% - akcent 4 3 2 2 2 2 5 3" xfId="8616"/>
    <cellStyle name="20% - akcent 4 3 2 2 2 2 6" xfId="8617"/>
    <cellStyle name="20% - akcent 4 3 2 2 2 2 6 2" xfId="8618"/>
    <cellStyle name="20% - akcent 4 3 2 2 2 2 7" xfId="8619"/>
    <cellStyle name="20% - akcent 4 3 2 2 2 3" xfId="8620"/>
    <cellStyle name="20% - akcent 4 3 2 2 2 3 2" xfId="8621"/>
    <cellStyle name="20% - akcent 4 3 2 2 2 3 2 2" xfId="8622"/>
    <cellStyle name="20% - akcent 4 3 2 2 2 3 2 2 2" xfId="8623"/>
    <cellStyle name="20% - akcent 4 3 2 2 2 3 2 3" xfId="8624"/>
    <cellStyle name="20% - akcent 4 3 2 2 2 3 3" xfId="8625"/>
    <cellStyle name="20% - akcent 4 3 2 2 2 3 3 2" xfId="8626"/>
    <cellStyle name="20% - akcent 4 3 2 2 2 3 3 2 2" xfId="8627"/>
    <cellStyle name="20% - akcent 4 3 2 2 2 3 3 3" xfId="8628"/>
    <cellStyle name="20% - akcent 4 3 2 2 2 3 4" xfId="8629"/>
    <cellStyle name="20% - akcent 4 3 2 2 2 3 4 2" xfId="8630"/>
    <cellStyle name="20% - akcent 4 3 2 2 2 3 4 2 2" xfId="8631"/>
    <cellStyle name="20% - akcent 4 3 2 2 2 3 4 3" xfId="8632"/>
    <cellStyle name="20% - akcent 4 3 2 2 2 3 5" xfId="8633"/>
    <cellStyle name="20% - akcent 4 3 2 2 2 3 5 2" xfId="8634"/>
    <cellStyle name="20% - akcent 4 3 2 2 2 3 6" xfId="8635"/>
    <cellStyle name="20% - akcent 4 3 2 2 2 4" xfId="8636"/>
    <cellStyle name="20% - akcent 4 3 2 2 2 4 2" xfId="8637"/>
    <cellStyle name="20% - akcent 4 3 2 2 2 4 2 2" xfId="8638"/>
    <cellStyle name="20% - akcent 4 3 2 2 2 4 2 2 2" xfId="8639"/>
    <cellStyle name="20% - akcent 4 3 2 2 2 4 2 3" xfId="8640"/>
    <cellStyle name="20% - akcent 4 3 2 2 2 4 3" xfId="8641"/>
    <cellStyle name="20% - akcent 4 3 2 2 2 4 3 2" xfId="8642"/>
    <cellStyle name="20% - akcent 4 3 2 2 2 4 3 2 2" xfId="8643"/>
    <cellStyle name="20% - akcent 4 3 2 2 2 4 3 3" xfId="8644"/>
    <cellStyle name="20% - akcent 4 3 2 2 2 4 4" xfId="8645"/>
    <cellStyle name="20% - akcent 4 3 2 2 2 4 4 2" xfId="8646"/>
    <cellStyle name="20% - akcent 4 3 2 2 2 4 4 2 2" xfId="8647"/>
    <cellStyle name="20% - akcent 4 3 2 2 2 4 4 3" xfId="8648"/>
    <cellStyle name="20% - akcent 4 3 2 2 2 4 5" xfId="8649"/>
    <cellStyle name="20% - akcent 4 3 2 2 2 4 5 2" xfId="8650"/>
    <cellStyle name="20% - akcent 4 3 2 2 2 4 6" xfId="8651"/>
    <cellStyle name="20% - akcent 4 3 2 2 2 5" xfId="8652"/>
    <cellStyle name="20% - akcent 4 3 2 2 2 5 2" xfId="8653"/>
    <cellStyle name="20% - akcent 4 3 2 2 2 5 2 2" xfId="8654"/>
    <cellStyle name="20% - akcent 4 3 2 2 2 5 3" xfId="8655"/>
    <cellStyle name="20% - akcent 4 3 2 2 2 6" xfId="8656"/>
    <cellStyle name="20% - akcent 4 3 2 2 2 6 2" xfId="8657"/>
    <cellStyle name="20% - akcent 4 3 2 2 2 6 2 2" xfId="8658"/>
    <cellStyle name="20% - akcent 4 3 2 2 2 6 3" xfId="8659"/>
    <cellStyle name="20% - akcent 4 3 2 2 2 7" xfId="8660"/>
    <cellStyle name="20% - akcent 4 3 2 2 2 7 2" xfId="8661"/>
    <cellStyle name="20% - akcent 4 3 2 2 2 7 2 2" xfId="8662"/>
    <cellStyle name="20% - akcent 4 3 2 2 2 7 3" xfId="8663"/>
    <cellStyle name="20% - akcent 4 3 2 2 2 8" xfId="8664"/>
    <cellStyle name="20% - akcent 4 3 2 2 2 8 2" xfId="8665"/>
    <cellStyle name="20% - akcent 4 3 2 2 2 9" xfId="8666"/>
    <cellStyle name="20% - akcent 4 3 2 2 3" xfId="8667"/>
    <cellStyle name="20% - akcent 4 3 2 2 3 2" xfId="8668"/>
    <cellStyle name="20% - akcent 4 3 2 2 3 2 2" xfId="8669"/>
    <cellStyle name="20% - akcent 4 3 2 2 3 2 2 2" xfId="8670"/>
    <cellStyle name="20% - akcent 4 3 2 2 3 2 2 2 2" xfId="8671"/>
    <cellStyle name="20% - akcent 4 3 2 2 3 2 2 3" xfId="8672"/>
    <cellStyle name="20% - akcent 4 3 2 2 3 2 3" xfId="8673"/>
    <cellStyle name="20% - akcent 4 3 2 2 3 2 3 2" xfId="8674"/>
    <cellStyle name="20% - akcent 4 3 2 2 3 2 3 2 2" xfId="8675"/>
    <cellStyle name="20% - akcent 4 3 2 2 3 2 3 3" xfId="8676"/>
    <cellStyle name="20% - akcent 4 3 2 2 3 2 4" xfId="8677"/>
    <cellStyle name="20% - akcent 4 3 2 2 3 2 4 2" xfId="8678"/>
    <cellStyle name="20% - akcent 4 3 2 2 3 2 4 2 2" xfId="8679"/>
    <cellStyle name="20% - akcent 4 3 2 2 3 2 4 3" xfId="8680"/>
    <cellStyle name="20% - akcent 4 3 2 2 3 2 5" xfId="8681"/>
    <cellStyle name="20% - akcent 4 3 2 2 3 2 5 2" xfId="8682"/>
    <cellStyle name="20% - akcent 4 3 2 2 3 2 6" xfId="8683"/>
    <cellStyle name="20% - akcent 4 3 2 2 3 3" xfId="8684"/>
    <cellStyle name="20% - akcent 4 3 2 2 3 3 2" xfId="8685"/>
    <cellStyle name="20% - akcent 4 3 2 2 3 3 2 2" xfId="8686"/>
    <cellStyle name="20% - akcent 4 3 2 2 3 3 3" xfId="8687"/>
    <cellStyle name="20% - akcent 4 3 2 2 3 4" xfId="8688"/>
    <cellStyle name="20% - akcent 4 3 2 2 3 4 2" xfId="8689"/>
    <cellStyle name="20% - akcent 4 3 2 2 3 4 2 2" xfId="8690"/>
    <cellStyle name="20% - akcent 4 3 2 2 3 4 3" xfId="8691"/>
    <cellStyle name="20% - akcent 4 3 2 2 3 5" xfId="8692"/>
    <cellStyle name="20% - akcent 4 3 2 2 3 5 2" xfId="8693"/>
    <cellStyle name="20% - akcent 4 3 2 2 3 5 2 2" xfId="8694"/>
    <cellStyle name="20% - akcent 4 3 2 2 3 5 3" xfId="8695"/>
    <cellStyle name="20% - akcent 4 3 2 2 3 6" xfId="8696"/>
    <cellStyle name="20% - akcent 4 3 2 2 3 6 2" xfId="8697"/>
    <cellStyle name="20% - akcent 4 3 2 2 3 7" xfId="8698"/>
    <cellStyle name="20% - akcent 4 3 2 2 4" xfId="8699"/>
    <cellStyle name="20% - akcent 4 3 2 2 4 2" xfId="8700"/>
    <cellStyle name="20% - akcent 4 3 2 2 4 2 2" xfId="8701"/>
    <cellStyle name="20% - akcent 4 3 2 2 4 2 2 2" xfId="8702"/>
    <cellStyle name="20% - akcent 4 3 2 2 4 2 3" xfId="8703"/>
    <cellStyle name="20% - akcent 4 3 2 2 4 3" xfId="8704"/>
    <cellStyle name="20% - akcent 4 3 2 2 4 3 2" xfId="8705"/>
    <cellStyle name="20% - akcent 4 3 2 2 4 3 2 2" xfId="8706"/>
    <cellStyle name="20% - akcent 4 3 2 2 4 3 3" xfId="8707"/>
    <cellStyle name="20% - akcent 4 3 2 2 4 4" xfId="8708"/>
    <cellStyle name="20% - akcent 4 3 2 2 4 4 2" xfId="8709"/>
    <cellStyle name="20% - akcent 4 3 2 2 4 4 2 2" xfId="8710"/>
    <cellStyle name="20% - akcent 4 3 2 2 4 4 3" xfId="8711"/>
    <cellStyle name="20% - akcent 4 3 2 2 4 5" xfId="8712"/>
    <cellStyle name="20% - akcent 4 3 2 2 4 5 2" xfId="8713"/>
    <cellStyle name="20% - akcent 4 3 2 2 4 6" xfId="8714"/>
    <cellStyle name="20% - akcent 4 3 2 2 5" xfId="8715"/>
    <cellStyle name="20% - akcent 4 3 2 2 5 2" xfId="8716"/>
    <cellStyle name="20% - akcent 4 3 2 2 5 2 2" xfId="8717"/>
    <cellStyle name="20% - akcent 4 3 2 2 5 2 2 2" xfId="8718"/>
    <cellStyle name="20% - akcent 4 3 2 2 5 2 3" xfId="8719"/>
    <cellStyle name="20% - akcent 4 3 2 2 5 3" xfId="8720"/>
    <cellStyle name="20% - akcent 4 3 2 2 5 3 2" xfId="8721"/>
    <cellStyle name="20% - akcent 4 3 2 2 5 3 2 2" xfId="8722"/>
    <cellStyle name="20% - akcent 4 3 2 2 5 3 3" xfId="8723"/>
    <cellStyle name="20% - akcent 4 3 2 2 5 4" xfId="8724"/>
    <cellStyle name="20% - akcent 4 3 2 2 5 4 2" xfId="8725"/>
    <cellStyle name="20% - akcent 4 3 2 2 5 4 2 2" xfId="8726"/>
    <cellStyle name="20% - akcent 4 3 2 2 5 4 3" xfId="8727"/>
    <cellStyle name="20% - akcent 4 3 2 2 5 5" xfId="8728"/>
    <cellStyle name="20% - akcent 4 3 2 2 5 5 2" xfId="8729"/>
    <cellStyle name="20% - akcent 4 3 2 2 5 6" xfId="8730"/>
    <cellStyle name="20% - akcent 4 3 2 2 6" xfId="8731"/>
    <cellStyle name="20% - akcent 4 3 2 2 6 2" xfId="8732"/>
    <cellStyle name="20% - akcent 4 3 2 2 6 2 2" xfId="8733"/>
    <cellStyle name="20% - akcent 4 3 2 2 6 3" xfId="8734"/>
    <cellStyle name="20% - akcent 4 3 2 2 7" xfId="8735"/>
    <cellStyle name="20% - akcent 4 3 2 2 7 2" xfId="8736"/>
    <cellStyle name="20% - akcent 4 3 2 2 7 2 2" xfId="8737"/>
    <cellStyle name="20% - akcent 4 3 2 2 7 3" xfId="8738"/>
    <cellStyle name="20% - akcent 4 3 2 2 8" xfId="8739"/>
    <cellStyle name="20% - akcent 4 3 2 2 8 2" xfId="8740"/>
    <cellStyle name="20% - akcent 4 3 2 2 8 2 2" xfId="8741"/>
    <cellStyle name="20% - akcent 4 3 2 2 8 3" xfId="8742"/>
    <cellStyle name="20% - akcent 4 3 2 2 9" xfId="8743"/>
    <cellStyle name="20% - akcent 4 3 2 2 9 2" xfId="8744"/>
    <cellStyle name="20% - akcent 4 3 2 3" xfId="8745"/>
    <cellStyle name="20% - akcent 4 3 2 3 2" xfId="8746"/>
    <cellStyle name="20% - akcent 4 3 2 3 2 2" xfId="8747"/>
    <cellStyle name="20% - akcent 4 3 2 3 2 2 2" xfId="8748"/>
    <cellStyle name="20% - akcent 4 3 2 3 2 2 2 2" xfId="8749"/>
    <cellStyle name="20% - akcent 4 3 2 3 2 2 2 2 2" xfId="8750"/>
    <cellStyle name="20% - akcent 4 3 2 3 2 2 2 3" xfId="8751"/>
    <cellStyle name="20% - akcent 4 3 2 3 2 2 3" xfId="8752"/>
    <cellStyle name="20% - akcent 4 3 2 3 2 2 3 2" xfId="8753"/>
    <cellStyle name="20% - akcent 4 3 2 3 2 2 3 2 2" xfId="8754"/>
    <cellStyle name="20% - akcent 4 3 2 3 2 2 3 3" xfId="8755"/>
    <cellStyle name="20% - akcent 4 3 2 3 2 2 4" xfId="8756"/>
    <cellStyle name="20% - akcent 4 3 2 3 2 2 4 2" xfId="8757"/>
    <cellStyle name="20% - akcent 4 3 2 3 2 2 4 2 2" xfId="8758"/>
    <cellStyle name="20% - akcent 4 3 2 3 2 2 4 3" xfId="8759"/>
    <cellStyle name="20% - akcent 4 3 2 3 2 2 5" xfId="8760"/>
    <cellStyle name="20% - akcent 4 3 2 3 2 2 5 2" xfId="8761"/>
    <cellStyle name="20% - akcent 4 3 2 3 2 2 6" xfId="8762"/>
    <cellStyle name="20% - akcent 4 3 2 3 2 3" xfId="8763"/>
    <cellStyle name="20% - akcent 4 3 2 3 2 3 2" xfId="8764"/>
    <cellStyle name="20% - akcent 4 3 2 3 2 3 2 2" xfId="8765"/>
    <cellStyle name="20% - akcent 4 3 2 3 2 3 3" xfId="8766"/>
    <cellStyle name="20% - akcent 4 3 2 3 2 4" xfId="8767"/>
    <cellStyle name="20% - akcent 4 3 2 3 2 4 2" xfId="8768"/>
    <cellStyle name="20% - akcent 4 3 2 3 2 4 2 2" xfId="8769"/>
    <cellStyle name="20% - akcent 4 3 2 3 2 4 3" xfId="8770"/>
    <cellStyle name="20% - akcent 4 3 2 3 2 5" xfId="8771"/>
    <cellStyle name="20% - akcent 4 3 2 3 2 5 2" xfId="8772"/>
    <cellStyle name="20% - akcent 4 3 2 3 2 5 2 2" xfId="8773"/>
    <cellStyle name="20% - akcent 4 3 2 3 2 5 3" xfId="8774"/>
    <cellStyle name="20% - akcent 4 3 2 3 2 6" xfId="8775"/>
    <cellStyle name="20% - akcent 4 3 2 3 2 6 2" xfId="8776"/>
    <cellStyle name="20% - akcent 4 3 2 3 2 7" xfId="8777"/>
    <cellStyle name="20% - akcent 4 3 2 3 3" xfId="8778"/>
    <cellStyle name="20% - akcent 4 3 2 3 3 2" xfId="8779"/>
    <cellStyle name="20% - akcent 4 3 2 3 3 2 2" xfId="8780"/>
    <cellStyle name="20% - akcent 4 3 2 3 3 2 2 2" xfId="8781"/>
    <cellStyle name="20% - akcent 4 3 2 3 3 2 3" xfId="8782"/>
    <cellStyle name="20% - akcent 4 3 2 3 3 3" xfId="8783"/>
    <cellStyle name="20% - akcent 4 3 2 3 3 3 2" xfId="8784"/>
    <cellStyle name="20% - akcent 4 3 2 3 3 3 2 2" xfId="8785"/>
    <cellStyle name="20% - akcent 4 3 2 3 3 3 3" xfId="8786"/>
    <cellStyle name="20% - akcent 4 3 2 3 3 4" xfId="8787"/>
    <cellStyle name="20% - akcent 4 3 2 3 3 4 2" xfId="8788"/>
    <cellStyle name="20% - akcent 4 3 2 3 3 4 2 2" xfId="8789"/>
    <cellStyle name="20% - akcent 4 3 2 3 3 4 3" xfId="8790"/>
    <cellStyle name="20% - akcent 4 3 2 3 3 5" xfId="8791"/>
    <cellStyle name="20% - akcent 4 3 2 3 3 5 2" xfId="8792"/>
    <cellStyle name="20% - akcent 4 3 2 3 3 6" xfId="8793"/>
    <cellStyle name="20% - akcent 4 3 2 3 4" xfId="8794"/>
    <cellStyle name="20% - akcent 4 3 2 3 4 2" xfId="8795"/>
    <cellStyle name="20% - akcent 4 3 2 3 4 2 2" xfId="8796"/>
    <cellStyle name="20% - akcent 4 3 2 3 4 2 2 2" xfId="8797"/>
    <cellStyle name="20% - akcent 4 3 2 3 4 2 3" xfId="8798"/>
    <cellStyle name="20% - akcent 4 3 2 3 4 3" xfId="8799"/>
    <cellStyle name="20% - akcent 4 3 2 3 4 3 2" xfId="8800"/>
    <cellStyle name="20% - akcent 4 3 2 3 4 3 2 2" xfId="8801"/>
    <cellStyle name="20% - akcent 4 3 2 3 4 3 3" xfId="8802"/>
    <cellStyle name="20% - akcent 4 3 2 3 4 4" xfId="8803"/>
    <cellStyle name="20% - akcent 4 3 2 3 4 4 2" xfId="8804"/>
    <cellStyle name="20% - akcent 4 3 2 3 4 4 2 2" xfId="8805"/>
    <cellStyle name="20% - akcent 4 3 2 3 4 4 3" xfId="8806"/>
    <cellStyle name="20% - akcent 4 3 2 3 4 5" xfId="8807"/>
    <cellStyle name="20% - akcent 4 3 2 3 4 5 2" xfId="8808"/>
    <cellStyle name="20% - akcent 4 3 2 3 4 6" xfId="8809"/>
    <cellStyle name="20% - akcent 4 3 2 3 5" xfId="8810"/>
    <cellStyle name="20% - akcent 4 3 2 3 5 2" xfId="8811"/>
    <cellStyle name="20% - akcent 4 3 2 3 5 2 2" xfId="8812"/>
    <cellStyle name="20% - akcent 4 3 2 3 5 3" xfId="8813"/>
    <cellStyle name="20% - akcent 4 3 2 3 6" xfId="8814"/>
    <cellStyle name="20% - akcent 4 3 2 3 6 2" xfId="8815"/>
    <cellStyle name="20% - akcent 4 3 2 3 6 2 2" xfId="8816"/>
    <cellStyle name="20% - akcent 4 3 2 3 6 3" xfId="8817"/>
    <cellStyle name="20% - akcent 4 3 2 3 7" xfId="8818"/>
    <cellStyle name="20% - akcent 4 3 2 3 7 2" xfId="8819"/>
    <cellStyle name="20% - akcent 4 3 2 3 7 2 2" xfId="8820"/>
    <cellStyle name="20% - akcent 4 3 2 3 7 3" xfId="8821"/>
    <cellStyle name="20% - akcent 4 3 2 3 8" xfId="8822"/>
    <cellStyle name="20% - akcent 4 3 2 3 8 2" xfId="8823"/>
    <cellStyle name="20% - akcent 4 3 2 3 9" xfId="8824"/>
    <cellStyle name="20% - akcent 4 3 2 4" xfId="8825"/>
    <cellStyle name="20% - akcent 4 3 2 4 2" xfId="8826"/>
    <cellStyle name="20% - akcent 4 3 2 4 2 2" xfId="8827"/>
    <cellStyle name="20% - akcent 4 3 2 4 2 2 2" xfId="8828"/>
    <cellStyle name="20% - akcent 4 3 2 4 2 2 2 2" xfId="8829"/>
    <cellStyle name="20% - akcent 4 3 2 4 2 2 3" xfId="8830"/>
    <cellStyle name="20% - akcent 4 3 2 4 2 3" xfId="8831"/>
    <cellStyle name="20% - akcent 4 3 2 4 2 3 2" xfId="8832"/>
    <cellStyle name="20% - akcent 4 3 2 4 2 3 2 2" xfId="8833"/>
    <cellStyle name="20% - akcent 4 3 2 4 2 3 3" xfId="8834"/>
    <cellStyle name="20% - akcent 4 3 2 4 2 4" xfId="8835"/>
    <cellStyle name="20% - akcent 4 3 2 4 2 4 2" xfId="8836"/>
    <cellStyle name="20% - akcent 4 3 2 4 2 4 2 2" xfId="8837"/>
    <cellStyle name="20% - akcent 4 3 2 4 2 4 3" xfId="8838"/>
    <cellStyle name="20% - akcent 4 3 2 4 2 5" xfId="8839"/>
    <cellStyle name="20% - akcent 4 3 2 4 2 5 2" xfId="8840"/>
    <cellStyle name="20% - akcent 4 3 2 4 2 6" xfId="8841"/>
    <cellStyle name="20% - akcent 4 3 2 4 3" xfId="8842"/>
    <cellStyle name="20% - akcent 4 3 2 4 3 2" xfId="8843"/>
    <cellStyle name="20% - akcent 4 3 2 4 3 2 2" xfId="8844"/>
    <cellStyle name="20% - akcent 4 3 2 4 3 3" xfId="8845"/>
    <cellStyle name="20% - akcent 4 3 2 4 4" xfId="8846"/>
    <cellStyle name="20% - akcent 4 3 2 4 4 2" xfId="8847"/>
    <cellStyle name="20% - akcent 4 3 2 4 4 2 2" xfId="8848"/>
    <cellStyle name="20% - akcent 4 3 2 4 4 3" xfId="8849"/>
    <cellStyle name="20% - akcent 4 3 2 4 5" xfId="8850"/>
    <cellStyle name="20% - akcent 4 3 2 4 5 2" xfId="8851"/>
    <cellStyle name="20% - akcent 4 3 2 4 5 2 2" xfId="8852"/>
    <cellStyle name="20% - akcent 4 3 2 4 5 3" xfId="8853"/>
    <cellStyle name="20% - akcent 4 3 2 4 6" xfId="8854"/>
    <cellStyle name="20% - akcent 4 3 2 4 6 2" xfId="8855"/>
    <cellStyle name="20% - akcent 4 3 2 4 7" xfId="8856"/>
    <cellStyle name="20% - akcent 4 3 2 5" xfId="8857"/>
    <cellStyle name="20% - akcent 4 3 2 5 2" xfId="8858"/>
    <cellStyle name="20% - akcent 4 3 2 5 2 2" xfId="8859"/>
    <cellStyle name="20% - akcent 4 3 2 5 2 2 2" xfId="8860"/>
    <cellStyle name="20% - akcent 4 3 2 5 2 3" xfId="8861"/>
    <cellStyle name="20% - akcent 4 3 2 5 3" xfId="8862"/>
    <cellStyle name="20% - akcent 4 3 2 5 3 2" xfId="8863"/>
    <cellStyle name="20% - akcent 4 3 2 5 3 2 2" xfId="8864"/>
    <cellStyle name="20% - akcent 4 3 2 5 3 3" xfId="8865"/>
    <cellStyle name="20% - akcent 4 3 2 5 4" xfId="8866"/>
    <cellStyle name="20% - akcent 4 3 2 5 4 2" xfId="8867"/>
    <cellStyle name="20% - akcent 4 3 2 5 4 2 2" xfId="8868"/>
    <cellStyle name="20% - akcent 4 3 2 5 4 3" xfId="8869"/>
    <cellStyle name="20% - akcent 4 3 2 5 5" xfId="8870"/>
    <cellStyle name="20% - akcent 4 3 2 5 5 2" xfId="8871"/>
    <cellStyle name="20% - akcent 4 3 2 5 6" xfId="8872"/>
    <cellStyle name="20% - akcent 4 3 2 6" xfId="8873"/>
    <cellStyle name="20% - akcent 4 3 2 6 2" xfId="8874"/>
    <cellStyle name="20% - akcent 4 3 2 6 2 2" xfId="8875"/>
    <cellStyle name="20% - akcent 4 3 2 6 2 2 2" xfId="8876"/>
    <cellStyle name="20% - akcent 4 3 2 6 2 3" xfId="8877"/>
    <cellStyle name="20% - akcent 4 3 2 6 3" xfId="8878"/>
    <cellStyle name="20% - akcent 4 3 2 6 3 2" xfId="8879"/>
    <cellStyle name="20% - akcent 4 3 2 6 3 2 2" xfId="8880"/>
    <cellStyle name="20% - akcent 4 3 2 6 3 3" xfId="8881"/>
    <cellStyle name="20% - akcent 4 3 2 6 4" xfId="8882"/>
    <cellStyle name="20% - akcent 4 3 2 6 4 2" xfId="8883"/>
    <cellStyle name="20% - akcent 4 3 2 6 4 2 2" xfId="8884"/>
    <cellStyle name="20% - akcent 4 3 2 6 4 3" xfId="8885"/>
    <cellStyle name="20% - akcent 4 3 2 6 5" xfId="8886"/>
    <cellStyle name="20% - akcent 4 3 2 6 5 2" xfId="8887"/>
    <cellStyle name="20% - akcent 4 3 2 6 6" xfId="8888"/>
    <cellStyle name="20% - akcent 4 3 2 7" xfId="8889"/>
    <cellStyle name="20% - akcent 4 3 2 8" xfId="8890"/>
    <cellStyle name="20% - akcent 4 3 2 8 2" xfId="8891"/>
    <cellStyle name="20% - akcent 4 3 2 8 2 2" xfId="8892"/>
    <cellStyle name="20% - akcent 4 3 2 8 2 2 2" xfId="8893"/>
    <cellStyle name="20% - akcent 4 3 2 8 2 3" xfId="8894"/>
    <cellStyle name="20% - akcent 4 3 2 8 3" xfId="8895"/>
    <cellStyle name="20% - akcent 4 3 2 8 3 2" xfId="8896"/>
    <cellStyle name="20% - akcent 4 3 2 8 3 2 2" xfId="8897"/>
    <cellStyle name="20% - akcent 4 3 2 8 3 3" xfId="8898"/>
    <cellStyle name="20% - akcent 4 3 2 8 4" xfId="8899"/>
    <cellStyle name="20% - akcent 4 3 2 8 4 2" xfId="8900"/>
    <cellStyle name="20% - akcent 4 3 2 8 4 2 2" xfId="8901"/>
    <cellStyle name="20% - akcent 4 3 2 8 4 3" xfId="8902"/>
    <cellStyle name="20% - akcent 4 3 2 8 5" xfId="8903"/>
    <cellStyle name="20% - akcent 4 3 2 8 5 2" xfId="8904"/>
    <cellStyle name="20% - akcent 4 3 2 8 6" xfId="8905"/>
    <cellStyle name="20% - akcent 4 3 3" xfId="8906"/>
    <cellStyle name="20% - akcent 4 3 3 2" xfId="8907"/>
    <cellStyle name="20% - akcent 4 3 3 2 2" xfId="8908"/>
    <cellStyle name="20% - akcent 4 3 3 2 2 2" xfId="8909"/>
    <cellStyle name="20% - akcent 4 3 3 2 2 2 2" xfId="8910"/>
    <cellStyle name="20% - akcent 4 3 3 2 2 2 2 2" xfId="8911"/>
    <cellStyle name="20% - akcent 4 3 3 2 2 2 2 2 2" xfId="8912"/>
    <cellStyle name="20% - akcent 4 3 3 2 2 2 2 3" xfId="8913"/>
    <cellStyle name="20% - akcent 4 3 3 2 2 2 3" xfId="8914"/>
    <cellStyle name="20% - akcent 4 3 3 2 2 2 3 2" xfId="8915"/>
    <cellStyle name="20% - akcent 4 3 3 2 2 2 3 2 2" xfId="8916"/>
    <cellStyle name="20% - akcent 4 3 3 2 2 2 3 3" xfId="8917"/>
    <cellStyle name="20% - akcent 4 3 3 2 2 2 4" xfId="8918"/>
    <cellStyle name="20% - akcent 4 3 3 2 2 2 4 2" xfId="8919"/>
    <cellStyle name="20% - akcent 4 3 3 2 2 2 4 2 2" xfId="8920"/>
    <cellStyle name="20% - akcent 4 3 3 2 2 2 4 3" xfId="8921"/>
    <cellStyle name="20% - akcent 4 3 3 2 2 2 5" xfId="8922"/>
    <cellStyle name="20% - akcent 4 3 3 2 2 2 5 2" xfId="8923"/>
    <cellStyle name="20% - akcent 4 3 3 2 2 2 6" xfId="8924"/>
    <cellStyle name="20% - akcent 4 3 3 2 2 3" xfId="8925"/>
    <cellStyle name="20% - akcent 4 3 3 2 2 3 2" xfId="8926"/>
    <cellStyle name="20% - akcent 4 3 3 2 2 3 2 2" xfId="8927"/>
    <cellStyle name="20% - akcent 4 3 3 2 2 3 3" xfId="8928"/>
    <cellStyle name="20% - akcent 4 3 3 2 2 4" xfId="8929"/>
    <cellStyle name="20% - akcent 4 3 3 2 2 4 2" xfId="8930"/>
    <cellStyle name="20% - akcent 4 3 3 2 2 4 2 2" xfId="8931"/>
    <cellStyle name="20% - akcent 4 3 3 2 2 4 3" xfId="8932"/>
    <cellStyle name="20% - akcent 4 3 3 2 2 5" xfId="8933"/>
    <cellStyle name="20% - akcent 4 3 3 2 2 5 2" xfId="8934"/>
    <cellStyle name="20% - akcent 4 3 3 2 2 5 2 2" xfId="8935"/>
    <cellStyle name="20% - akcent 4 3 3 2 2 5 3" xfId="8936"/>
    <cellStyle name="20% - akcent 4 3 3 2 2 6" xfId="8937"/>
    <cellStyle name="20% - akcent 4 3 3 2 2 6 2" xfId="8938"/>
    <cellStyle name="20% - akcent 4 3 3 2 2 7" xfId="8939"/>
    <cellStyle name="20% - akcent 4 3 3 2 3" xfId="8940"/>
    <cellStyle name="20% - akcent 4 3 3 2 3 2" xfId="8941"/>
    <cellStyle name="20% - akcent 4 3 3 2 3 2 2" xfId="8942"/>
    <cellStyle name="20% - akcent 4 3 3 2 3 2 2 2" xfId="8943"/>
    <cellStyle name="20% - akcent 4 3 3 2 3 2 3" xfId="8944"/>
    <cellStyle name="20% - akcent 4 3 3 2 3 3" xfId="8945"/>
    <cellStyle name="20% - akcent 4 3 3 2 3 3 2" xfId="8946"/>
    <cellStyle name="20% - akcent 4 3 3 2 3 3 2 2" xfId="8947"/>
    <cellStyle name="20% - akcent 4 3 3 2 3 3 3" xfId="8948"/>
    <cellStyle name="20% - akcent 4 3 3 2 3 4" xfId="8949"/>
    <cellStyle name="20% - akcent 4 3 3 2 3 4 2" xfId="8950"/>
    <cellStyle name="20% - akcent 4 3 3 2 3 4 2 2" xfId="8951"/>
    <cellStyle name="20% - akcent 4 3 3 2 3 4 3" xfId="8952"/>
    <cellStyle name="20% - akcent 4 3 3 2 3 5" xfId="8953"/>
    <cellStyle name="20% - akcent 4 3 3 2 3 5 2" xfId="8954"/>
    <cellStyle name="20% - akcent 4 3 3 2 3 6" xfId="8955"/>
    <cellStyle name="20% - akcent 4 3 3 2 4" xfId="8956"/>
    <cellStyle name="20% - akcent 4 3 3 2 4 2" xfId="8957"/>
    <cellStyle name="20% - akcent 4 3 3 2 4 2 2" xfId="8958"/>
    <cellStyle name="20% - akcent 4 3 3 2 4 2 2 2" xfId="8959"/>
    <cellStyle name="20% - akcent 4 3 3 2 4 2 3" xfId="8960"/>
    <cellStyle name="20% - akcent 4 3 3 2 4 3" xfId="8961"/>
    <cellStyle name="20% - akcent 4 3 3 2 4 3 2" xfId="8962"/>
    <cellStyle name="20% - akcent 4 3 3 2 4 3 2 2" xfId="8963"/>
    <cellStyle name="20% - akcent 4 3 3 2 4 3 3" xfId="8964"/>
    <cellStyle name="20% - akcent 4 3 3 2 4 4" xfId="8965"/>
    <cellStyle name="20% - akcent 4 3 3 2 4 4 2" xfId="8966"/>
    <cellStyle name="20% - akcent 4 3 3 2 4 4 2 2" xfId="8967"/>
    <cellStyle name="20% - akcent 4 3 3 2 4 4 3" xfId="8968"/>
    <cellStyle name="20% - akcent 4 3 3 2 4 5" xfId="8969"/>
    <cellStyle name="20% - akcent 4 3 3 2 4 5 2" xfId="8970"/>
    <cellStyle name="20% - akcent 4 3 3 2 4 6" xfId="8971"/>
    <cellStyle name="20% - akcent 4 3 3 2 5" xfId="8972"/>
    <cellStyle name="20% - akcent 4 3 3 2 5 2" xfId="8973"/>
    <cellStyle name="20% - akcent 4 3 3 2 5 2 2" xfId="8974"/>
    <cellStyle name="20% - akcent 4 3 3 2 5 3" xfId="8975"/>
    <cellStyle name="20% - akcent 4 3 3 2 6" xfId="8976"/>
    <cellStyle name="20% - akcent 4 3 3 2 6 2" xfId="8977"/>
    <cellStyle name="20% - akcent 4 3 3 2 6 2 2" xfId="8978"/>
    <cellStyle name="20% - akcent 4 3 3 2 6 3" xfId="8979"/>
    <cellStyle name="20% - akcent 4 3 3 2 7" xfId="8980"/>
    <cellStyle name="20% - akcent 4 3 3 2 7 2" xfId="8981"/>
    <cellStyle name="20% - akcent 4 3 3 2 7 2 2" xfId="8982"/>
    <cellStyle name="20% - akcent 4 3 3 2 7 3" xfId="8983"/>
    <cellStyle name="20% - akcent 4 3 3 2 8" xfId="8984"/>
    <cellStyle name="20% - akcent 4 3 3 2 8 2" xfId="8985"/>
    <cellStyle name="20% - akcent 4 3 3 2 9" xfId="8986"/>
    <cellStyle name="20% - akcent 4 3 3 3" xfId="8987"/>
    <cellStyle name="20% - akcent 4 3 3 3 2" xfId="8988"/>
    <cellStyle name="20% - akcent 4 3 3 3 2 2" xfId="8989"/>
    <cellStyle name="20% - akcent 4 3 3 3 2 2 2" xfId="8990"/>
    <cellStyle name="20% - akcent 4 3 3 3 2 2 2 2" xfId="8991"/>
    <cellStyle name="20% - akcent 4 3 3 3 2 2 3" xfId="8992"/>
    <cellStyle name="20% - akcent 4 3 3 3 2 3" xfId="8993"/>
    <cellStyle name="20% - akcent 4 3 3 3 2 3 2" xfId="8994"/>
    <cellStyle name="20% - akcent 4 3 3 3 2 3 2 2" xfId="8995"/>
    <cellStyle name="20% - akcent 4 3 3 3 2 3 3" xfId="8996"/>
    <cellStyle name="20% - akcent 4 3 3 3 2 4" xfId="8997"/>
    <cellStyle name="20% - akcent 4 3 3 3 2 4 2" xfId="8998"/>
    <cellStyle name="20% - akcent 4 3 3 3 2 4 2 2" xfId="8999"/>
    <cellStyle name="20% - akcent 4 3 3 3 2 4 3" xfId="9000"/>
    <cellStyle name="20% - akcent 4 3 3 3 2 5" xfId="9001"/>
    <cellStyle name="20% - akcent 4 3 3 3 2 5 2" xfId="9002"/>
    <cellStyle name="20% - akcent 4 3 3 3 2 6" xfId="9003"/>
    <cellStyle name="20% - akcent 4 3 3 3 3" xfId="9004"/>
    <cellStyle name="20% - akcent 4 3 3 3 3 2" xfId="9005"/>
    <cellStyle name="20% - akcent 4 3 3 3 3 2 2" xfId="9006"/>
    <cellStyle name="20% - akcent 4 3 3 3 3 3" xfId="9007"/>
    <cellStyle name="20% - akcent 4 3 3 3 4" xfId="9008"/>
    <cellStyle name="20% - akcent 4 3 3 3 4 2" xfId="9009"/>
    <cellStyle name="20% - akcent 4 3 3 3 4 2 2" xfId="9010"/>
    <cellStyle name="20% - akcent 4 3 3 3 4 3" xfId="9011"/>
    <cellStyle name="20% - akcent 4 3 3 3 5" xfId="9012"/>
    <cellStyle name="20% - akcent 4 3 3 3 5 2" xfId="9013"/>
    <cellStyle name="20% - akcent 4 3 3 3 5 2 2" xfId="9014"/>
    <cellStyle name="20% - akcent 4 3 3 3 5 3" xfId="9015"/>
    <cellStyle name="20% - akcent 4 3 3 3 6" xfId="9016"/>
    <cellStyle name="20% - akcent 4 3 3 3 6 2" xfId="9017"/>
    <cellStyle name="20% - akcent 4 3 3 3 7" xfId="9018"/>
    <cellStyle name="20% - akcent 4 3 3 4" xfId="9019"/>
    <cellStyle name="20% - akcent 4 3 3 4 2" xfId="9020"/>
    <cellStyle name="20% - akcent 4 3 3 4 2 2" xfId="9021"/>
    <cellStyle name="20% - akcent 4 3 3 4 2 2 2" xfId="9022"/>
    <cellStyle name="20% - akcent 4 3 3 4 2 3" xfId="9023"/>
    <cellStyle name="20% - akcent 4 3 3 4 3" xfId="9024"/>
    <cellStyle name="20% - akcent 4 3 3 4 3 2" xfId="9025"/>
    <cellStyle name="20% - akcent 4 3 3 4 3 2 2" xfId="9026"/>
    <cellStyle name="20% - akcent 4 3 3 4 3 3" xfId="9027"/>
    <cellStyle name="20% - akcent 4 3 3 4 4" xfId="9028"/>
    <cellStyle name="20% - akcent 4 3 3 4 4 2" xfId="9029"/>
    <cellStyle name="20% - akcent 4 3 3 4 4 2 2" xfId="9030"/>
    <cellStyle name="20% - akcent 4 3 3 4 4 3" xfId="9031"/>
    <cellStyle name="20% - akcent 4 3 3 4 5" xfId="9032"/>
    <cellStyle name="20% - akcent 4 3 3 4 5 2" xfId="9033"/>
    <cellStyle name="20% - akcent 4 3 3 4 6" xfId="9034"/>
    <cellStyle name="20% - akcent 4 3 3 5" xfId="9035"/>
    <cellStyle name="20% - akcent 4 3 3 5 2" xfId="9036"/>
    <cellStyle name="20% - akcent 4 3 3 5 2 2" xfId="9037"/>
    <cellStyle name="20% - akcent 4 3 3 5 2 2 2" xfId="9038"/>
    <cellStyle name="20% - akcent 4 3 3 5 2 3" xfId="9039"/>
    <cellStyle name="20% - akcent 4 3 3 5 3" xfId="9040"/>
    <cellStyle name="20% - akcent 4 3 3 5 3 2" xfId="9041"/>
    <cellStyle name="20% - akcent 4 3 3 5 3 2 2" xfId="9042"/>
    <cellStyle name="20% - akcent 4 3 3 5 3 3" xfId="9043"/>
    <cellStyle name="20% - akcent 4 3 3 5 4" xfId="9044"/>
    <cellStyle name="20% - akcent 4 3 3 5 4 2" xfId="9045"/>
    <cellStyle name="20% - akcent 4 3 3 5 4 2 2" xfId="9046"/>
    <cellStyle name="20% - akcent 4 3 3 5 4 3" xfId="9047"/>
    <cellStyle name="20% - akcent 4 3 3 5 5" xfId="9048"/>
    <cellStyle name="20% - akcent 4 3 3 5 5 2" xfId="9049"/>
    <cellStyle name="20% - akcent 4 3 3 5 6" xfId="9050"/>
    <cellStyle name="20% - akcent 4 3 3 6" xfId="9051"/>
    <cellStyle name="20% - akcent 4 3 3 6 2" xfId="9052"/>
    <cellStyle name="20% - akcent 4 3 3 6 2 2" xfId="9053"/>
    <cellStyle name="20% - akcent 4 3 3 6 2 2 2" xfId="9054"/>
    <cellStyle name="20% - akcent 4 3 3 6 2 3" xfId="9055"/>
    <cellStyle name="20% - akcent 4 3 3 6 3" xfId="9056"/>
    <cellStyle name="20% - akcent 4 3 3 6 3 2" xfId="9057"/>
    <cellStyle name="20% - akcent 4 3 3 6 3 2 2" xfId="9058"/>
    <cellStyle name="20% - akcent 4 3 3 6 3 3" xfId="9059"/>
    <cellStyle name="20% - akcent 4 3 3 6 4" xfId="9060"/>
    <cellStyle name="20% - akcent 4 3 3 6 4 2" xfId="9061"/>
    <cellStyle name="20% - akcent 4 3 3 6 4 2 2" xfId="9062"/>
    <cellStyle name="20% - akcent 4 3 3 6 4 3" xfId="9063"/>
    <cellStyle name="20% - akcent 4 3 3 6 5" xfId="9064"/>
    <cellStyle name="20% - akcent 4 3 3 6 5 2" xfId="9065"/>
    <cellStyle name="20% - akcent 4 3 3 6 6" xfId="9066"/>
    <cellStyle name="20% - akcent 4 3 4" xfId="9067"/>
    <cellStyle name="20% - akcent 4 3 4 10" xfId="9068"/>
    <cellStyle name="20% - akcent 4 3 4 2" xfId="9069"/>
    <cellStyle name="20% - akcent 4 3 4 2 2" xfId="9070"/>
    <cellStyle name="20% - akcent 4 3 4 2 2 2" xfId="9071"/>
    <cellStyle name="20% - akcent 4 3 4 2 2 2 2" xfId="9072"/>
    <cellStyle name="20% - akcent 4 3 4 2 2 2 2 2" xfId="9073"/>
    <cellStyle name="20% - akcent 4 3 4 2 2 2 2 2 2" xfId="9074"/>
    <cellStyle name="20% - akcent 4 3 4 2 2 2 2 3" xfId="9075"/>
    <cellStyle name="20% - akcent 4 3 4 2 2 2 3" xfId="9076"/>
    <cellStyle name="20% - akcent 4 3 4 2 2 2 3 2" xfId="9077"/>
    <cellStyle name="20% - akcent 4 3 4 2 2 2 3 2 2" xfId="9078"/>
    <cellStyle name="20% - akcent 4 3 4 2 2 2 3 3" xfId="9079"/>
    <cellStyle name="20% - akcent 4 3 4 2 2 2 4" xfId="9080"/>
    <cellStyle name="20% - akcent 4 3 4 2 2 2 4 2" xfId="9081"/>
    <cellStyle name="20% - akcent 4 3 4 2 2 2 4 2 2" xfId="9082"/>
    <cellStyle name="20% - akcent 4 3 4 2 2 2 4 3" xfId="9083"/>
    <cellStyle name="20% - akcent 4 3 4 2 2 2 5" xfId="9084"/>
    <cellStyle name="20% - akcent 4 3 4 2 2 2 5 2" xfId="9085"/>
    <cellStyle name="20% - akcent 4 3 4 2 2 2 6" xfId="9086"/>
    <cellStyle name="20% - akcent 4 3 4 2 2 3" xfId="9087"/>
    <cellStyle name="20% - akcent 4 3 4 2 2 3 2" xfId="9088"/>
    <cellStyle name="20% - akcent 4 3 4 2 2 3 2 2" xfId="9089"/>
    <cellStyle name="20% - akcent 4 3 4 2 2 3 3" xfId="9090"/>
    <cellStyle name="20% - akcent 4 3 4 2 2 4" xfId="9091"/>
    <cellStyle name="20% - akcent 4 3 4 2 2 4 2" xfId="9092"/>
    <cellStyle name="20% - akcent 4 3 4 2 2 4 2 2" xfId="9093"/>
    <cellStyle name="20% - akcent 4 3 4 2 2 4 3" xfId="9094"/>
    <cellStyle name="20% - akcent 4 3 4 2 2 5" xfId="9095"/>
    <cellStyle name="20% - akcent 4 3 4 2 2 5 2" xfId="9096"/>
    <cellStyle name="20% - akcent 4 3 4 2 2 5 2 2" xfId="9097"/>
    <cellStyle name="20% - akcent 4 3 4 2 2 5 3" xfId="9098"/>
    <cellStyle name="20% - akcent 4 3 4 2 2 6" xfId="9099"/>
    <cellStyle name="20% - akcent 4 3 4 2 2 6 2" xfId="9100"/>
    <cellStyle name="20% - akcent 4 3 4 2 2 7" xfId="9101"/>
    <cellStyle name="20% - akcent 4 3 4 2 3" xfId="9102"/>
    <cellStyle name="20% - akcent 4 3 4 2 3 2" xfId="9103"/>
    <cellStyle name="20% - akcent 4 3 4 2 3 2 2" xfId="9104"/>
    <cellStyle name="20% - akcent 4 3 4 2 3 2 2 2" xfId="9105"/>
    <cellStyle name="20% - akcent 4 3 4 2 3 2 3" xfId="9106"/>
    <cellStyle name="20% - akcent 4 3 4 2 3 3" xfId="9107"/>
    <cellStyle name="20% - akcent 4 3 4 2 3 3 2" xfId="9108"/>
    <cellStyle name="20% - akcent 4 3 4 2 3 3 2 2" xfId="9109"/>
    <cellStyle name="20% - akcent 4 3 4 2 3 3 3" xfId="9110"/>
    <cellStyle name="20% - akcent 4 3 4 2 3 4" xfId="9111"/>
    <cellStyle name="20% - akcent 4 3 4 2 3 4 2" xfId="9112"/>
    <cellStyle name="20% - akcent 4 3 4 2 3 4 2 2" xfId="9113"/>
    <cellStyle name="20% - akcent 4 3 4 2 3 4 3" xfId="9114"/>
    <cellStyle name="20% - akcent 4 3 4 2 3 5" xfId="9115"/>
    <cellStyle name="20% - akcent 4 3 4 2 3 5 2" xfId="9116"/>
    <cellStyle name="20% - akcent 4 3 4 2 3 6" xfId="9117"/>
    <cellStyle name="20% - akcent 4 3 4 2 4" xfId="9118"/>
    <cellStyle name="20% - akcent 4 3 4 2 4 2" xfId="9119"/>
    <cellStyle name="20% - akcent 4 3 4 2 4 2 2" xfId="9120"/>
    <cellStyle name="20% - akcent 4 3 4 2 4 2 2 2" xfId="9121"/>
    <cellStyle name="20% - akcent 4 3 4 2 4 2 3" xfId="9122"/>
    <cellStyle name="20% - akcent 4 3 4 2 4 3" xfId="9123"/>
    <cellStyle name="20% - akcent 4 3 4 2 4 3 2" xfId="9124"/>
    <cellStyle name="20% - akcent 4 3 4 2 4 3 2 2" xfId="9125"/>
    <cellStyle name="20% - akcent 4 3 4 2 4 3 3" xfId="9126"/>
    <cellStyle name="20% - akcent 4 3 4 2 4 4" xfId="9127"/>
    <cellStyle name="20% - akcent 4 3 4 2 4 4 2" xfId="9128"/>
    <cellStyle name="20% - akcent 4 3 4 2 4 4 2 2" xfId="9129"/>
    <cellStyle name="20% - akcent 4 3 4 2 4 4 3" xfId="9130"/>
    <cellStyle name="20% - akcent 4 3 4 2 4 5" xfId="9131"/>
    <cellStyle name="20% - akcent 4 3 4 2 4 5 2" xfId="9132"/>
    <cellStyle name="20% - akcent 4 3 4 2 4 6" xfId="9133"/>
    <cellStyle name="20% - akcent 4 3 4 2 5" xfId="9134"/>
    <cellStyle name="20% - akcent 4 3 4 2 5 2" xfId="9135"/>
    <cellStyle name="20% - akcent 4 3 4 2 5 2 2" xfId="9136"/>
    <cellStyle name="20% - akcent 4 3 4 2 5 3" xfId="9137"/>
    <cellStyle name="20% - akcent 4 3 4 2 6" xfId="9138"/>
    <cellStyle name="20% - akcent 4 3 4 2 6 2" xfId="9139"/>
    <cellStyle name="20% - akcent 4 3 4 2 6 2 2" xfId="9140"/>
    <cellStyle name="20% - akcent 4 3 4 2 6 3" xfId="9141"/>
    <cellStyle name="20% - akcent 4 3 4 2 7" xfId="9142"/>
    <cellStyle name="20% - akcent 4 3 4 2 7 2" xfId="9143"/>
    <cellStyle name="20% - akcent 4 3 4 2 7 2 2" xfId="9144"/>
    <cellStyle name="20% - akcent 4 3 4 2 7 3" xfId="9145"/>
    <cellStyle name="20% - akcent 4 3 4 2 8" xfId="9146"/>
    <cellStyle name="20% - akcent 4 3 4 2 8 2" xfId="9147"/>
    <cellStyle name="20% - akcent 4 3 4 2 9" xfId="9148"/>
    <cellStyle name="20% - akcent 4 3 4 3" xfId="9149"/>
    <cellStyle name="20% - akcent 4 3 4 3 2" xfId="9150"/>
    <cellStyle name="20% - akcent 4 3 4 3 2 2" xfId="9151"/>
    <cellStyle name="20% - akcent 4 3 4 3 2 2 2" xfId="9152"/>
    <cellStyle name="20% - akcent 4 3 4 3 2 2 2 2" xfId="9153"/>
    <cellStyle name="20% - akcent 4 3 4 3 2 2 3" xfId="9154"/>
    <cellStyle name="20% - akcent 4 3 4 3 2 3" xfId="9155"/>
    <cellStyle name="20% - akcent 4 3 4 3 2 3 2" xfId="9156"/>
    <cellStyle name="20% - akcent 4 3 4 3 2 3 2 2" xfId="9157"/>
    <cellStyle name="20% - akcent 4 3 4 3 2 3 3" xfId="9158"/>
    <cellStyle name="20% - akcent 4 3 4 3 2 4" xfId="9159"/>
    <cellStyle name="20% - akcent 4 3 4 3 2 4 2" xfId="9160"/>
    <cellStyle name="20% - akcent 4 3 4 3 2 4 2 2" xfId="9161"/>
    <cellStyle name="20% - akcent 4 3 4 3 2 4 3" xfId="9162"/>
    <cellStyle name="20% - akcent 4 3 4 3 2 5" xfId="9163"/>
    <cellStyle name="20% - akcent 4 3 4 3 2 5 2" xfId="9164"/>
    <cellStyle name="20% - akcent 4 3 4 3 2 6" xfId="9165"/>
    <cellStyle name="20% - akcent 4 3 4 3 3" xfId="9166"/>
    <cellStyle name="20% - akcent 4 3 4 3 3 2" xfId="9167"/>
    <cellStyle name="20% - akcent 4 3 4 3 3 2 2" xfId="9168"/>
    <cellStyle name="20% - akcent 4 3 4 3 3 3" xfId="9169"/>
    <cellStyle name="20% - akcent 4 3 4 3 4" xfId="9170"/>
    <cellStyle name="20% - akcent 4 3 4 3 4 2" xfId="9171"/>
    <cellStyle name="20% - akcent 4 3 4 3 4 2 2" xfId="9172"/>
    <cellStyle name="20% - akcent 4 3 4 3 4 3" xfId="9173"/>
    <cellStyle name="20% - akcent 4 3 4 3 5" xfId="9174"/>
    <cellStyle name="20% - akcent 4 3 4 3 5 2" xfId="9175"/>
    <cellStyle name="20% - akcent 4 3 4 3 5 2 2" xfId="9176"/>
    <cellStyle name="20% - akcent 4 3 4 3 5 3" xfId="9177"/>
    <cellStyle name="20% - akcent 4 3 4 3 6" xfId="9178"/>
    <cellStyle name="20% - akcent 4 3 4 3 6 2" xfId="9179"/>
    <cellStyle name="20% - akcent 4 3 4 3 7" xfId="9180"/>
    <cellStyle name="20% - akcent 4 3 4 4" xfId="9181"/>
    <cellStyle name="20% - akcent 4 3 4 4 2" xfId="9182"/>
    <cellStyle name="20% - akcent 4 3 4 4 2 2" xfId="9183"/>
    <cellStyle name="20% - akcent 4 3 4 4 2 2 2" xfId="9184"/>
    <cellStyle name="20% - akcent 4 3 4 4 2 3" xfId="9185"/>
    <cellStyle name="20% - akcent 4 3 4 4 3" xfId="9186"/>
    <cellStyle name="20% - akcent 4 3 4 4 3 2" xfId="9187"/>
    <cellStyle name="20% - akcent 4 3 4 4 3 2 2" xfId="9188"/>
    <cellStyle name="20% - akcent 4 3 4 4 3 3" xfId="9189"/>
    <cellStyle name="20% - akcent 4 3 4 4 4" xfId="9190"/>
    <cellStyle name="20% - akcent 4 3 4 4 4 2" xfId="9191"/>
    <cellStyle name="20% - akcent 4 3 4 4 4 2 2" xfId="9192"/>
    <cellStyle name="20% - akcent 4 3 4 4 4 3" xfId="9193"/>
    <cellStyle name="20% - akcent 4 3 4 4 5" xfId="9194"/>
    <cellStyle name="20% - akcent 4 3 4 4 5 2" xfId="9195"/>
    <cellStyle name="20% - akcent 4 3 4 4 6" xfId="9196"/>
    <cellStyle name="20% - akcent 4 3 4 5" xfId="9197"/>
    <cellStyle name="20% - akcent 4 3 4 5 2" xfId="9198"/>
    <cellStyle name="20% - akcent 4 3 4 5 2 2" xfId="9199"/>
    <cellStyle name="20% - akcent 4 3 4 5 2 2 2" xfId="9200"/>
    <cellStyle name="20% - akcent 4 3 4 5 2 3" xfId="9201"/>
    <cellStyle name="20% - akcent 4 3 4 5 3" xfId="9202"/>
    <cellStyle name="20% - akcent 4 3 4 5 3 2" xfId="9203"/>
    <cellStyle name="20% - akcent 4 3 4 5 3 2 2" xfId="9204"/>
    <cellStyle name="20% - akcent 4 3 4 5 3 3" xfId="9205"/>
    <cellStyle name="20% - akcent 4 3 4 5 4" xfId="9206"/>
    <cellStyle name="20% - akcent 4 3 4 5 4 2" xfId="9207"/>
    <cellStyle name="20% - akcent 4 3 4 5 4 2 2" xfId="9208"/>
    <cellStyle name="20% - akcent 4 3 4 5 4 3" xfId="9209"/>
    <cellStyle name="20% - akcent 4 3 4 5 5" xfId="9210"/>
    <cellStyle name="20% - akcent 4 3 4 5 5 2" xfId="9211"/>
    <cellStyle name="20% - akcent 4 3 4 5 6" xfId="9212"/>
    <cellStyle name="20% - akcent 4 3 4 6" xfId="9213"/>
    <cellStyle name="20% - akcent 4 3 4 6 2" xfId="9214"/>
    <cellStyle name="20% - akcent 4 3 4 6 2 2" xfId="9215"/>
    <cellStyle name="20% - akcent 4 3 4 6 3" xfId="9216"/>
    <cellStyle name="20% - akcent 4 3 4 7" xfId="9217"/>
    <cellStyle name="20% - akcent 4 3 4 7 2" xfId="9218"/>
    <cellStyle name="20% - akcent 4 3 4 7 2 2" xfId="9219"/>
    <cellStyle name="20% - akcent 4 3 4 7 3" xfId="9220"/>
    <cellStyle name="20% - akcent 4 3 4 8" xfId="9221"/>
    <cellStyle name="20% - akcent 4 3 4 8 2" xfId="9222"/>
    <cellStyle name="20% - akcent 4 3 4 8 2 2" xfId="9223"/>
    <cellStyle name="20% - akcent 4 3 4 8 3" xfId="9224"/>
    <cellStyle name="20% - akcent 4 3 4 9" xfId="9225"/>
    <cellStyle name="20% - akcent 4 3 4 9 2" xfId="9226"/>
    <cellStyle name="20% - akcent 4 3 5" xfId="9227"/>
    <cellStyle name="20% - akcent 4 3 5 2" xfId="9228"/>
    <cellStyle name="20% - akcent 4 3 5 2 2" xfId="9229"/>
    <cellStyle name="20% - akcent 4 3 5 2 2 2" xfId="9230"/>
    <cellStyle name="20% - akcent 4 3 5 2 2 2 2" xfId="9231"/>
    <cellStyle name="20% - akcent 4 3 5 2 2 2 2 2" xfId="9232"/>
    <cellStyle name="20% - akcent 4 3 5 2 2 2 3" xfId="9233"/>
    <cellStyle name="20% - akcent 4 3 5 2 2 3" xfId="9234"/>
    <cellStyle name="20% - akcent 4 3 5 2 2 3 2" xfId="9235"/>
    <cellStyle name="20% - akcent 4 3 5 2 2 3 2 2" xfId="9236"/>
    <cellStyle name="20% - akcent 4 3 5 2 2 3 3" xfId="9237"/>
    <cellStyle name="20% - akcent 4 3 5 2 2 4" xfId="9238"/>
    <cellStyle name="20% - akcent 4 3 5 2 2 4 2" xfId="9239"/>
    <cellStyle name="20% - akcent 4 3 5 2 2 4 2 2" xfId="9240"/>
    <cellStyle name="20% - akcent 4 3 5 2 2 4 3" xfId="9241"/>
    <cellStyle name="20% - akcent 4 3 5 2 2 5" xfId="9242"/>
    <cellStyle name="20% - akcent 4 3 5 2 2 5 2" xfId="9243"/>
    <cellStyle name="20% - akcent 4 3 5 2 2 6" xfId="9244"/>
    <cellStyle name="20% - akcent 4 3 5 2 3" xfId="9245"/>
    <cellStyle name="20% - akcent 4 3 5 2 3 2" xfId="9246"/>
    <cellStyle name="20% - akcent 4 3 5 2 3 2 2" xfId="9247"/>
    <cellStyle name="20% - akcent 4 3 5 2 3 3" xfId="9248"/>
    <cellStyle name="20% - akcent 4 3 5 2 4" xfId="9249"/>
    <cellStyle name="20% - akcent 4 3 5 2 4 2" xfId="9250"/>
    <cellStyle name="20% - akcent 4 3 5 2 4 2 2" xfId="9251"/>
    <cellStyle name="20% - akcent 4 3 5 2 4 3" xfId="9252"/>
    <cellStyle name="20% - akcent 4 3 5 2 5" xfId="9253"/>
    <cellStyle name="20% - akcent 4 3 5 2 5 2" xfId="9254"/>
    <cellStyle name="20% - akcent 4 3 5 2 5 2 2" xfId="9255"/>
    <cellStyle name="20% - akcent 4 3 5 2 5 3" xfId="9256"/>
    <cellStyle name="20% - akcent 4 3 5 2 6" xfId="9257"/>
    <cellStyle name="20% - akcent 4 3 5 2 6 2" xfId="9258"/>
    <cellStyle name="20% - akcent 4 3 5 2 7" xfId="9259"/>
    <cellStyle name="20% - akcent 4 3 5 3" xfId="9260"/>
    <cellStyle name="20% - akcent 4 3 5 3 2" xfId="9261"/>
    <cellStyle name="20% - akcent 4 3 5 3 2 2" xfId="9262"/>
    <cellStyle name="20% - akcent 4 3 5 3 2 2 2" xfId="9263"/>
    <cellStyle name="20% - akcent 4 3 5 3 2 3" xfId="9264"/>
    <cellStyle name="20% - akcent 4 3 5 3 3" xfId="9265"/>
    <cellStyle name="20% - akcent 4 3 5 3 3 2" xfId="9266"/>
    <cellStyle name="20% - akcent 4 3 5 3 3 2 2" xfId="9267"/>
    <cellStyle name="20% - akcent 4 3 5 3 3 3" xfId="9268"/>
    <cellStyle name="20% - akcent 4 3 5 3 4" xfId="9269"/>
    <cellStyle name="20% - akcent 4 3 5 3 4 2" xfId="9270"/>
    <cellStyle name="20% - akcent 4 3 5 3 4 2 2" xfId="9271"/>
    <cellStyle name="20% - akcent 4 3 5 3 4 3" xfId="9272"/>
    <cellStyle name="20% - akcent 4 3 5 3 5" xfId="9273"/>
    <cellStyle name="20% - akcent 4 3 5 3 5 2" xfId="9274"/>
    <cellStyle name="20% - akcent 4 3 5 3 6" xfId="9275"/>
    <cellStyle name="20% - akcent 4 3 5 4" xfId="9276"/>
    <cellStyle name="20% - akcent 4 3 5 4 2" xfId="9277"/>
    <cellStyle name="20% - akcent 4 3 5 4 2 2" xfId="9278"/>
    <cellStyle name="20% - akcent 4 3 5 4 2 2 2" xfId="9279"/>
    <cellStyle name="20% - akcent 4 3 5 4 2 3" xfId="9280"/>
    <cellStyle name="20% - akcent 4 3 5 4 3" xfId="9281"/>
    <cellStyle name="20% - akcent 4 3 5 4 3 2" xfId="9282"/>
    <cellStyle name="20% - akcent 4 3 5 4 3 2 2" xfId="9283"/>
    <cellStyle name="20% - akcent 4 3 5 4 3 3" xfId="9284"/>
    <cellStyle name="20% - akcent 4 3 5 4 4" xfId="9285"/>
    <cellStyle name="20% - akcent 4 3 5 4 4 2" xfId="9286"/>
    <cellStyle name="20% - akcent 4 3 5 4 4 2 2" xfId="9287"/>
    <cellStyle name="20% - akcent 4 3 5 4 4 3" xfId="9288"/>
    <cellStyle name="20% - akcent 4 3 5 4 5" xfId="9289"/>
    <cellStyle name="20% - akcent 4 3 5 4 5 2" xfId="9290"/>
    <cellStyle name="20% - akcent 4 3 5 4 6" xfId="9291"/>
    <cellStyle name="20% - akcent 4 3 5 5" xfId="9292"/>
    <cellStyle name="20% - akcent 4 3 5 5 2" xfId="9293"/>
    <cellStyle name="20% - akcent 4 3 5 5 2 2" xfId="9294"/>
    <cellStyle name="20% - akcent 4 3 5 5 3" xfId="9295"/>
    <cellStyle name="20% - akcent 4 3 5 6" xfId="9296"/>
    <cellStyle name="20% - akcent 4 3 5 6 2" xfId="9297"/>
    <cellStyle name="20% - akcent 4 3 5 6 2 2" xfId="9298"/>
    <cellStyle name="20% - akcent 4 3 5 6 3" xfId="9299"/>
    <cellStyle name="20% - akcent 4 3 5 7" xfId="9300"/>
    <cellStyle name="20% - akcent 4 3 5 7 2" xfId="9301"/>
    <cellStyle name="20% - akcent 4 3 5 7 2 2" xfId="9302"/>
    <cellStyle name="20% - akcent 4 3 5 7 3" xfId="9303"/>
    <cellStyle name="20% - akcent 4 3 5 8" xfId="9304"/>
    <cellStyle name="20% - akcent 4 3 5 8 2" xfId="9305"/>
    <cellStyle name="20% - akcent 4 3 5 9" xfId="9306"/>
    <cellStyle name="20% - akcent 4 3 6" xfId="9307"/>
    <cellStyle name="20% - akcent 4 3 6 2" xfId="9308"/>
    <cellStyle name="20% - akcent 4 3 6 2 2" xfId="9309"/>
    <cellStyle name="20% - akcent 4 3 6 2 2 2" xfId="9310"/>
    <cellStyle name="20% - akcent 4 3 6 2 2 2 2" xfId="9311"/>
    <cellStyle name="20% - akcent 4 3 6 2 2 2 2 2" xfId="9312"/>
    <cellStyle name="20% - akcent 4 3 6 2 2 2 3" xfId="9313"/>
    <cellStyle name="20% - akcent 4 3 6 2 2 3" xfId="9314"/>
    <cellStyle name="20% - akcent 4 3 6 2 2 3 2" xfId="9315"/>
    <cellStyle name="20% - akcent 4 3 6 2 2 3 2 2" xfId="9316"/>
    <cellStyle name="20% - akcent 4 3 6 2 2 3 3" xfId="9317"/>
    <cellStyle name="20% - akcent 4 3 6 2 2 4" xfId="9318"/>
    <cellStyle name="20% - akcent 4 3 6 2 2 4 2" xfId="9319"/>
    <cellStyle name="20% - akcent 4 3 6 2 2 4 2 2" xfId="9320"/>
    <cellStyle name="20% - akcent 4 3 6 2 2 4 3" xfId="9321"/>
    <cellStyle name="20% - akcent 4 3 6 2 2 5" xfId="9322"/>
    <cellStyle name="20% - akcent 4 3 6 2 2 5 2" xfId="9323"/>
    <cellStyle name="20% - akcent 4 3 6 2 2 6" xfId="9324"/>
    <cellStyle name="20% - akcent 4 3 6 2 3" xfId="9325"/>
    <cellStyle name="20% - akcent 4 3 6 2 3 2" xfId="9326"/>
    <cellStyle name="20% - akcent 4 3 6 2 3 2 2" xfId="9327"/>
    <cellStyle name="20% - akcent 4 3 6 2 3 3" xfId="9328"/>
    <cellStyle name="20% - akcent 4 3 6 2 4" xfId="9329"/>
    <cellStyle name="20% - akcent 4 3 6 2 4 2" xfId="9330"/>
    <cellStyle name="20% - akcent 4 3 6 2 4 2 2" xfId="9331"/>
    <cellStyle name="20% - akcent 4 3 6 2 4 3" xfId="9332"/>
    <cellStyle name="20% - akcent 4 3 6 2 5" xfId="9333"/>
    <cellStyle name="20% - akcent 4 3 6 2 5 2" xfId="9334"/>
    <cellStyle name="20% - akcent 4 3 6 2 5 2 2" xfId="9335"/>
    <cellStyle name="20% - akcent 4 3 6 2 5 3" xfId="9336"/>
    <cellStyle name="20% - akcent 4 3 6 2 6" xfId="9337"/>
    <cellStyle name="20% - akcent 4 3 6 2 6 2" xfId="9338"/>
    <cellStyle name="20% - akcent 4 3 6 2 7" xfId="9339"/>
    <cellStyle name="20% - akcent 4 3 6 3" xfId="9340"/>
    <cellStyle name="20% - akcent 4 3 6 3 2" xfId="9341"/>
    <cellStyle name="20% - akcent 4 3 6 3 2 2" xfId="9342"/>
    <cellStyle name="20% - akcent 4 3 6 3 2 2 2" xfId="9343"/>
    <cellStyle name="20% - akcent 4 3 6 3 2 3" xfId="9344"/>
    <cellStyle name="20% - akcent 4 3 6 3 3" xfId="9345"/>
    <cellStyle name="20% - akcent 4 3 6 3 3 2" xfId="9346"/>
    <cellStyle name="20% - akcent 4 3 6 3 3 2 2" xfId="9347"/>
    <cellStyle name="20% - akcent 4 3 6 3 3 3" xfId="9348"/>
    <cellStyle name="20% - akcent 4 3 6 3 4" xfId="9349"/>
    <cellStyle name="20% - akcent 4 3 6 3 4 2" xfId="9350"/>
    <cellStyle name="20% - akcent 4 3 6 3 4 2 2" xfId="9351"/>
    <cellStyle name="20% - akcent 4 3 6 3 4 3" xfId="9352"/>
    <cellStyle name="20% - akcent 4 3 6 3 5" xfId="9353"/>
    <cellStyle name="20% - akcent 4 3 6 3 5 2" xfId="9354"/>
    <cellStyle name="20% - akcent 4 3 6 3 6" xfId="9355"/>
    <cellStyle name="20% - akcent 4 3 6 4" xfId="9356"/>
    <cellStyle name="20% - akcent 4 3 6 4 2" xfId="9357"/>
    <cellStyle name="20% - akcent 4 3 6 4 2 2" xfId="9358"/>
    <cellStyle name="20% - akcent 4 3 6 4 2 2 2" xfId="9359"/>
    <cellStyle name="20% - akcent 4 3 6 4 2 3" xfId="9360"/>
    <cellStyle name="20% - akcent 4 3 6 4 3" xfId="9361"/>
    <cellStyle name="20% - akcent 4 3 6 4 3 2" xfId="9362"/>
    <cellStyle name="20% - akcent 4 3 6 4 3 2 2" xfId="9363"/>
    <cellStyle name="20% - akcent 4 3 6 4 3 3" xfId="9364"/>
    <cellStyle name="20% - akcent 4 3 6 4 4" xfId="9365"/>
    <cellStyle name="20% - akcent 4 3 6 4 4 2" xfId="9366"/>
    <cellStyle name="20% - akcent 4 3 6 4 4 2 2" xfId="9367"/>
    <cellStyle name="20% - akcent 4 3 6 4 4 3" xfId="9368"/>
    <cellStyle name="20% - akcent 4 3 6 4 5" xfId="9369"/>
    <cellStyle name="20% - akcent 4 3 6 4 5 2" xfId="9370"/>
    <cellStyle name="20% - akcent 4 3 6 4 6" xfId="9371"/>
    <cellStyle name="20% - akcent 4 3 6 5" xfId="9372"/>
    <cellStyle name="20% - akcent 4 3 6 5 2" xfId="9373"/>
    <cellStyle name="20% - akcent 4 3 6 5 2 2" xfId="9374"/>
    <cellStyle name="20% - akcent 4 3 6 5 3" xfId="9375"/>
    <cellStyle name="20% - akcent 4 3 6 6" xfId="9376"/>
    <cellStyle name="20% - akcent 4 3 6 6 2" xfId="9377"/>
    <cellStyle name="20% - akcent 4 3 6 6 2 2" xfId="9378"/>
    <cellStyle name="20% - akcent 4 3 6 6 3" xfId="9379"/>
    <cellStyle name="20% - akcent 4 3 6 7" xfId="9380"/>
    <cellStyle name="20% - akcent 4 3 6 7 2" xfId="9381"/>
    <cellStyle name="20% - akcent 4 3 6 7 2 2" xfId="9382"/>
    <cellStyle name="20% - akcent 4 3 6 7 3" xfId="9383"/>
    <cellStyle name="20% - akcent 4 3 6 8" xfId="9384"/>
    <cellStyle name="20% - akcent 4 3 6 8 2" xfId="9385"/>
    <cellStyle name="20% - akcent 4 3 6 9" xfId="9386"/>
    <cellStyle name="20% - akcent 4 3 7" xfId="9387"/>
    <cellStyle name="20% - akcent 4 3 7 2" xfId="9388"/>
    <cellStyle name="20% - akcent 4 3 7 2 2" xfId="9389"/>
    <cellStyle name="20% - akcent 4 3 7 2 2 2" xfId="9390"/>
    <cellStyle name="20% - akcent 4 3 7 2 2 2 2" xfId="9391"/>
    <cellStyle name="20% - akcent 4 3 7 2 2 3" xfId="9392"/>
    <cellStyle name="20% - akcent 4 3 7 2 3" xfId="9393"/>
    <cellStyle name="20% - akcent 4 3 7 2 3 2" xfId="9394"/>
    <cellStyle name="20% - akcent 4 3 7 2 3 2 2" xfId="9395"/>
    <cellStyle name="20% - akcent 4 3 7 2 3 3" xfId="9396"/>
    <cellStyle name="20% - akcent 4 3 7 2 4" xfId="9397"/>
    <cellStyle name="20% - akcent 4 3 7 2 4 2" xfId="9398"/>
    <cellStyle name="20% - akcent 4 3 7 2 4 2 2" xfId="9399"/>
    <cellStyle name="20% - akcent 4 3 7 2 4 3" xfId="9400"/>
    <cellStyle name="20% - akcent 4 3 7 2 5" xfId="9401"/>
    <cellStyle name="20% - akcent 4 3 7 2 5 2" xfId="9402"/>
    <cellStyle name="20% - akcent 4 3 7 2 6" xfId="9403"/>
    <cellStyle name="20% - akcent 4 3 7 3" xfId="9404"/>
    <cellStyle name="20% - akcent 4 3 7 3 2" xfId="9405"/>
    <cellStyle name="20% - akcent 4 3 7 3 2 2" xfId="9406"/>
    <cellStyle name="20% - akcent 4 3 7 3 3" xfId="9407"/>
    <cellStyle name="20% - akcent 4 3 7 4" xfId="9408"/>
    <cellStyle name="20% - akcent 4 3 7 4 2" xfId="9409"/>
    <cellStyle name="20% - akcent 4 3 7 4 2 2" xfId="9410"/>
    <cellStyle name="20% - akcent 4 3 7 4 3" xfId="9411"/>
    <cellStyle name="20% - akcent 4 3 7 5" xfId="9412"/>
    <cellStyle name="20% - akcent 4 3 7 5 2" xfId="9413"/>
    <cellStyle name="20% - akcent 4 3 7 5 2 2" xfId="9414"/>
    <cellStyle name="20% - akcent 4 3 7 5 3" xfId="9415"/>
    <cellStyle name="20% - akcent 4 3 7 6" xfId="9416"/>
    <cellStyle name="20% - akcent 4 3 7 6 2" xfId="9417"/>
    <cellStyle name="20% - akcent 4 3 7 7" xfId="9418"/>
    <cellStyle name="20% - akcent 4 3 8" xfId="9419"/>
    <cellStyle name="20% - akcent 4 3 8 2" xfId="9420"/>
    <cellStyle name="20% - akcent 4 3 8 2 2" xfId="9421"/>
    <cellStyle name="20% - akcent 4 3 8 2 2 2" xfId="9422"/>
    <cellStyle name="20% - akcent 4 3 8 2 3" xfId="9423"/>
    <cellStyle name="20% - akcent 4 3 8 3" xfId="9424"/>
    <cellStyle name="20% - akcent 4 3 8 3 2" xfId="9425"/>
    <cellStyle name="20% - akcent 4 3 8 3 2 2" xfId="9426"/>
    <cellStyle name="20% - akcent 4 3 8 3 3" xfId="9427"/>
    <cellStyle name="20% - akcent 4 3 8 4" xfId="9428"/>
    <cellStyle name="20% - akcent 4 3 8 4 2" xfId="9429"/>
    <cellStyle name="20% - akcent 4 3 8 4 2 2" xfId="9430"/>
    <cellStyle name="20% - akcent 4 3 8 4 3" xfId="9431"/>
    <cellStyle name="20% - akcent 4 3 8 5" xfId="9432"/>
    <cellStyle name="20% - akcent 4 3 8 5 2" xfId="9433"/>
    <cellStyle name="20% - akcent 4 3 8 6" xfId="9434"/>
    <cellStyle name="20% - akcent 4 3 9" xfId="9435"/>
    <cellStyle name="20% - akcent 4 3 9 2" xfId="9436"/>
    <cellStyle name="20% - akcent 4 3 9 2 2" xfId="9437"/>
    <cellStyle name="20% - akcent 4 3 9 2 2 2" xfId="9438"/>
    <cellStyle name="20% - akcent 4 3 9 2 3" xfId="9439"/>
    <cellStyle name="20% - akcent 4 3 9 3" xfId="9440"/>
    <cellStyle name="20% - akcent 4 3 9 3 2" xfId="9441"/>
    <cellStyle name="20% - akcent 4 3 9 3 2 2" xfId="9442"/>
    <cellStyle name="20% - akcent 4 3 9 3 3" xfId="9443"/>
    <cellStyle name="20% - akcent 4 3 9 4" xfId="9444"/>
    <cellStyle name="20% - akcent 4 3 9 4 2" xfId="9445"/>
    <cellStyle name="20% - akcent 4 3 9 4 2 2" xfId="9446"/>
    <cellStyle name="20% - akcent 4 3 9 4 3" xfId="9447"/>
    <cellStyle name="20% - akcent 4 3 9 5" xfId="9448"/>
    <cellStyle name="20% - akcent 4 3 9 5 2" xfId="9449"/>
    <cellStyle name="20% - akcent 4 3 9 6" xfId="9450"/>
    <cellStyle name="20% - akcent 4 3_2011'05 Raport PGE_DO-CO2" xfId="9451"/>
    <cellStyle name="20% - akcent 4 4" xfId="9452"/>
    <cellStyle name="20% - akcent 4 4 2" xfId="9453"/>
    <cellStyle name="20% - akcent 4 4 2 2" xfId="9454"/>
    <cellStyle name="20% - akcent 4 4 2 2 2" xfId="9455"/>
    <cellStyle name="20% - akcent 4 4 2 2 2 2" xfId="9456"/>
    <cellStyle name="20% - akcent 4 4 2 2 2 2 2" xfId="9457"/>
    <cellStyle name="20% - akcent 4 4 2 2 2 2 2 2" xfId="9458"/>
    <cellStyle name="20% - akcent 4 4 2 2 2 2 2 2 2" xfId="9459"/>
    <cellStyle name="20% - akcent 4 4 2 2 2 2 2 3" xfId="9460"/>
    <cellStyle name="20% - akcent 4 4 2 2 2 2 3" xfId="9461"/>
    <cellStyle name="20% - akcent 4 4 2 2 2 2 3 2" xfId="9462"/>
    <cellStyle name="20% - akcent 4 4 2 2 2 2 3 2 2" xfId="9463"/>
    <cellStyle name="20% - akcent 4 4 2 2 2 2 3 3" xfId="9464"/>
    <cellStyle name="20% - akcent 4 4 2 2 2 2 4" xfId="9465"/>
    <cellStyle name="20% - akcent 4 4 2 2 2 2 4 2" xfId="9466"/>
    <cellStyle name="20% - akcent 4 4 2 2 2 2 4 2 2" xfId="9467"/>
    <cellStyle name="20% - akcent 4 4 2 2 2 2 4 3" xfId="9468"/>
    <cellStyle name="20% - akcent 4 4 2 2 2 2 5" xfId="9469"/>
    <cellStyle name="20% - akcent 4 4 2 2 2 2 5 2" xfId="9470"/>
    <cellStyle name="20% - akcent 4 4 2 2 2 2 6" xfId="9471"/>
    <cellStyle name="20% - akcent 4 4 2 2 2 3" xfId="9472"/>
    <cellStyle name="20% - akcent 4 4 2 2 2 3 2" xfId="9473"/>
    <cellStyle name="20% - akcent 4 4 2 2 2 3 2 2" xfId="9474"/>
    <cellStyle name="20% - akcent 4 4 2 2 2 3 3" xfId="9475"/>
    <cellStyle name="20% - akcent 4 4 2 2 2 4" xfId="9476"/>
    <cellStyle name="20% - akcent 4 4 2 2 2 4 2" xfId="9477"/>
    <cellStyle name="20% - akcent 4 4 2 2 2 4 2 2" xfId="9478"/>
    <cellStyle name="20% - akcent 4 4 2 2 2 4 3" xfId="9479"/>
    <cellStyle name="20% - akcent 4 4 2 2 2 5" xfId="9480"/>
    <cellStyle name="20% - akcent 4 4 2 2 2 5 2" xfId="9481"/>
    <cellStyle name="20% - akcent 4 4 2 2 2 5 2 2" xfId="9482"/>
    <cellStyle name="20% - akcent 4 4 2 2 2 5 3" xfId="9483"/>
    <cellStyle name="20% - akcent 4 4 2 2 2 6" xfId="9484"/>
    <cellStyle name="20% - akcent 4 4 2 2 2 6 2" xfId="9485"/>
    <cellStyle name="20% - akcent 4 4 2 2 2 7" xfId="9486"/>
    <cellStyle name="20% - akcent 4 4 2 2 3" xfId="9487"/>
    <cellStyle name="20% - akcent 4 4 2 2 3 2" xfId="9488"/>
    <cellStyle name="20% - akcent 4 4 2 2 3 2 2" xfId="9489"/>
    <cellStyle name="20% - akcent 4 4 2 2 3 2 2 2" xfId="9490"/>
    <cellStyle name="20% - akcent 4 4 2 2 3 2 3" xfId="9491"/>
    <cellStyle name="20% - akcent 4 4 2 2 3 3" xfId="9492"/>
    <cellStyle name="20% - akcent 4 4 2 2 3 3 2" xfId="9493"/>
    <cellStyle name="20% - akcent 4 4 2 2 3 3 2 2" xfId="9494"/>
    <cellStyle name="20% - akcent 4 4 2 2 3 3 3" xfId="9495"/>
    <cellStyle name="20% - akcent 4 4 2 2 3 4" xfId="9496"/>
    <cellStyle name="20% - akcent 4 4 2 2 3 4 2" xfId="9497"/>
    <cellStyle name="20% - akcent 4 4 2 2 3 4 2 2" xfId="9498"/>
    <cellStyle name="20% - akcent 4 4 2 2 3 4 3" xfId="9499"/>
    <cellStyle name="20% - akcent 4 4 2 2 3 5" xfId="9500"/>
    <cellStyle name="20% - akcent 4 4 2 2 3 5 2" xfId="9501"/>
    <cellStyle name="20% - akcent 4 4 2 2 3 6" xfId="9502"/>
    <cellStyle name="20% - akcent 4 4 2 2 4" xfId="9503"/>
    <cellStyle name="20% - akcent 4 4 2 2 4 2" xfId="9504"/>
    <cellStyle name="20% - akcent 4 4 2 2 4 2 2" xfId="9505"/>
    <cellStyle name="20% - akcent 4 4 2 2 4 2 2 2" xfId="9506"/>
    <cellStyle name="20% - akcent 4 4 2 2 4 2 3" xfId="9507"/>
    <cellStyle name="20% - akcent 4 4 2 2 4 3" xfId="9508"/>
    <cellStyle name="20% - akcent 4 4 2 2 4 3 2" xfId="9509"/>
    <cellStyle name="20% - akcent 4 4 2 2 4 3 2 2" xfId="9510"/>
    <cellStyle name="20% - akcent 4 4 2 2 4 3 3" xfId="9511"/>
    <cellStyle name="20% - akcent 4 4 2 2 4 4" xfId="9512"/>
    <cellStyle name="20% - akcent 4 4 2 2 4 4 2" xfId="9513"/>
    <cellStyle name="20% - akcent 4 4 2 2 4 4 2 2" xfId="9514"/>
    <cellStyle name="20% - akcent 4 4 2 2 4 4 3" xfId="9515"/>
    <cellStyle name="20% - akcent 4 4 2 2 4 5" xfId="9516"/>
    <cellStyle name="20% - akcent 4 4 2 2 4 5 2" xfId="9517"/>
    <cellStyle name="20% - akcent 4 4 2 2 4 6" xfId="9518"/>
    <cellStyle name="20% - akcent 4 4 2 2 5" xfId="9519"/>
    <cellStyle name="20% - akcent 4 4 2 2 5 2" xfId="9520"/>
    <cellStyle name="20% - akcent 4 4 2 2 5 2 2" xfId="9521"/>
    <cellStyle name="20% - akcent 4 4 2 2 5 3" xfId="9522"/>
    <cellStyle name="20% - akcent 4 4 2 2 6" xfId="9523"/>
    <cellStyle name="20% - akcent 4 4 2 2 6 2" xfId="9524"/>
    <cellStyle name="20% - akcent 4 4 2 2 6 2 2" xfId="9525"/>
    <cellStyle name="20% - akcent 4 4 2 2 6 3" xfId="9526"/>
    <cellStyle name="20% - akcent 4 4 2 2 7" xfId="9527"/>
    <cellStyle name="20% - akcent 4 4 2 2 7 2" xfId="9528"/>
    <cellStyle name="20% - akcent 4 4 2 2 7 2 2" xfId="9529"/>
    <cellStyle name="20% - akcent 4 4 2 2 7 3" xfId="9530"/>
    <cellStyle name="20% - akcent 4 4 2 2 8" xfId="9531"/>
    <cellStyle name="20% - akcent 4 4 2 2 8 2" xfId="9532"/>
    <cellStyle name="20% - akcent 4 4 2 2 9" xfId="9533"/>
    <cellStyle name="20% - akcent 4 4 2 3" xfId="9534"/>
    <cellStyle name="20% - akcent 4 4 2 3 2" xfId="9535"/>
    <cellStyle name="20% - akcent 4 4 2 3 2 2" xfId="9536"/>
    <cellStyle name="20% - akcent 4 4 2 3 2 2 2" xfId="9537"/>
    <cellStyle name="20% - akcent 4 4 2 3 2 2 2 2" xfId="9538"/>
    <cellStyle name="20% - akcent 4 4 2 3 2 2 3" xfId="9539"/>
    <cellStyle name="20% - akcent 4 4 2 3 2 3" xfId="9540"/>
    <cellStyle name="20% - akcent 4 4 2 3 2 3 2" xfId="9541"/>
    <cellStyle name="20% - akcent 4 4 2 3 2 3 2 2" xfId="9542"/>
    <cellStyle name="20% - akcent 4 4 2 3 2 3 3" xfId="9543"/>
    <cellStyle name="20% - akcent 4 4 2 3 2 4" xfId="9544"/>
    <cellStyle name="20% - akcent 4 4 2 3 2 4 2" xfId="9545"/>
    <cellStyle name="20% - akcent 4 4 2 3 2 4 2 2" xfId="9546"/>
    <cellStyle name="20% - akcent 4 4 2 3 2 4 3" xfId="9547"/>
    <cellStyle name="20% - akcent 4 4 2 3 2 5" xfId="9548"/>
    <cellStyle name="20% - akcent 4 4 2 3 2 5 2" xfId="9549"/>
    <cellStyle name="20% - akcent 4 4 2 3 2 6" xfId="9550"/>
    <cellStyle name="20% - akcent 4 4 2 3 3" xfId="9551"/>
    <cellStyle name="20% - akcent 4 4 2 3 3 2" xfId="9552"/>
    <cellStyle name="20% - akcent 4 4 2 3 3 2 2" xfId="9553"/>
    <cellStyle name="20% - akcent 4 4 2 3 3 3" xfId="9554"/>
    <cellStyle name="20% - akcent 4 4 2 3 4" xfId="9555"/>
    <cellStyle name="20% - akcent 4 4 2 3 4 2" xfId="9556"/>
    <cellStyle name="20% - akcent 4 4 2 3 4 2 2" xfId="9557"/>
    <cellStyle name="20% - akcent 4 4 2 3 4 3" xfId="9558"/>
    <cellStyle name="20% - akcent 4 4 2 3 5" xfId="9559"/>
    <cellStyle name="20% - akcent 4 4 2 3 5 2" xfId="9560"/>
    <cellStyle name="20% - akcent 4 4 2 3 5 2 2" xfId="9561"/>
    <cellStyle name="20% - akcent 4 4 2 3 5 3" xfId="9562"/>
    <cellStyle name="20% - akcent 4 4 2 3 6" xfId="9563"/>
    <cellStyle name="20% - akcent 4 4 2 3 6 2" xfId="9564"/>
    <cellStyle name="20% - akcent 4 4 2 3 7" xfId="9565"/>
    <cellStyle name="20% - akcent 4 4 2 4" xfId="9566"/>
    <cellStyle name="20% - akcent 4 4 2 4 2" xfId="9567"/>
    <cellStyle name="20% - akcent 4 4 2 4 2 2" xfId="9568"/>
    <cellStyle name="20% - akcent 4 4 2 4 2 2 2" xfId="9569"/>
    <cellStyle name="20% - akcent 4 4 2 4 2 3" xfId="9570"/>
    <cellStyle name="20% - akcent 4 4 2 4 3" xfId="9571"/>
    <cellStyle name="20% - akcent 4 4 2 4 3 2" xfId="9572"/>
    <cellStyle name="20% - akcent 4 4 2 4 3 2 2" xfId="9573"/>
    <cellStyle name="20% - akcent 4 4 2 4 3 3" xfId="9574"/>
    <cellStyle name="20% - akcent 4 4 2 4 4" xfId="9575"/>
    <cellStyle name="20% - akcent 4 4 2 4 4 2" xfId="9576"/>
    <cellStyle name="20% - akcent 4 4 2 4 4 2 2" xfId="9577"/>
    <cellStyle name="20% - akcent 4 4 2 4 4 3" xfId="9578"/>
    <cellStyle name="20% - akcent 4 4 2 4 5" xfId="9579"/>
    <cellStyle name="20% - akcent 4 4 2 4 5 2" xfId="9580"/>
    <cellStyle name="20% - akcent 4 4 2 4 6" xfId="9581"/>
    <cellStyle name="20% - akcent 4 4 2 5" xfId="9582"/>
    <cellStyle name="20% - akcent 4 4 2 5 2" xfId="9583"/>
    <cellStyle name="20% - akcent 4 4 2 5 2 2" xfId="9584"/>
    <cellStyle name="20% - akcent 4 4 2 5 2 2 2" xfId="9585"/>
    <cellStyle name="20% - akcent 4 4 2 5 2 3" xfId="9586"/>
    <cellStyle name="20% - akcent 4 4 2 5 3" xfId="9587"/>
    <cellStyle name="20% - akcent 4 4 2 5 3 2" xfId="9588"/>
    <cellStyle name="20% - akcent 4 4 2 5 3 2 2" xfId="9589"/>
    <cellStyle name="20% - akcent 4 4 2 5 3 3" xfId="9590"/>
    <cellStyle name="20% - akcent 4 4 2 5 4" xfId="9591"/>
    <cellStyle name="20% - akcent 4 4 2 5 4 2" xfId="9592"/>
    <cellStyle name="20% - akcent 4 4 2 5 4 2 2" xfId="9593"/>
    <cellStyle name="20% - akcent 4 4 2 5 4 3" xfId="9594"/>
    <cellStyle name="20% - akcent 4 4 2 5 5" xfId="9595"/>
    <cellStyle name="20% - akcent 4 4 2 5 5 2" xfId="9596"/>
    <cellStyle name="20% - akcent 4 4 2 5 6" xfId="9597"/>
    <cellStyle name="20% - akcent 4 4 2 6" xfId="9598"/>
    <cellStyle name="20% - akcent 4 4 2 7" xfId="9599"/>
    <cellStyle name="20% - akcent 4 4 2 7 2" xfId="9600"/>
    <cellStyle name="20% - akcent 4 4 2 7 2 2" xfId="9601"/>
    <cellStyle name="20% - akcent 4 4 2 7 2 2 2" xfId="9602"/>
    <cellStyle name="20% - akcent 4 4 2 7 2 3" xfId="9603"/>
    <cellStyle name="20% - akcent 4 4 2 7 3" xfId="9604"/>
    <cellStyle name="20% - akcent 4 4 2 7 3 2" xfId="9605"/>
    <cellStyle name="20% - akcent 4 4 2 7 3 2 2" xfId="9606"/>
    <cellStyle name="20% - akcent 4 4 2 7 3 3" xfId="9607"/>
    <cellStyle name="20% - akcent 4 4 2 7 4" xfId="9608"/>
    <cellStyle name="20% - akcent 4 4 2 7 4 2" xfId="9609"/>
    <cellStyle name="20% - akcent 4 4 2 7 4 2 2" xfId="9610"/>
    <cellStyle name="20% - akcent 4 4 2 7 4 3" xfId="9611"/>
    <cellStyle name="20% - akcent 4 4 2 7 5" xfId="9612"/>
    <cellStyle name="20% - akcent 4 4 2 7 5 2" xfId="9613"/>
    <cellStyle name="20% - akcent 4 4 2 7 6" xfId="9614"/>
    <cellStyle name="20% - akcent 4 4 3" xfId="9615"/>
    <cellStyle name="20% - akcent 4 4 3 2" xfId="9616"/>
    <cellStyle name="20% - akcent 4 4 3 2 2" xfId="9617"/>
    <cellStyle name="20% - akcent 4 4 3 2 2 2" xfId="9618"/>
    <cellStyle name="20% - akcent 4 4 3 2 2 2 2" xfId="9619"/>
    <cellStyle name="20% - akcent 4 4 3 2 2 2 2 2" xfId="9620"/>
    <cellStyle name="20% - akcent 4 4 3 2 2 2 3" xfId="9621"/>
    <cellStyle name="20% - akcent 4 4 3 2 2 3" xfId="9622"/>
    <cellStyle name="20% - akcent 4 4 3 2 2 3 2" xfId="9623"/>
    <cellStyle name="20% - akcent 4 4 3 2 2 3 2 2" xfId="9624"/>
    <cellStyle name="20% - akcent 4 4 3 2 2 3 3" xfId="9625"/>
    <cellStyle name="20% - akcent 4 4 3 2 2 4" xfId="9626"/>
    <cellStyle name="20% - akcent 4 4 3 2 2 4 2" xfId="9627"/>
    <cellStyle name="20% - akcent 4 4 3 2 2 4 2 2" xfId="9628"/>
    <cellStyle name="20% - akcent 4 4 3 2 2 4 3" xfId="9629"/>
    <cellStyle name="20% - akcent 4 4 3 2 2 5" xfId="9630"/>
    <cellStyle name="20% - akcent 4 4 3 2 2 5 2" xfId="9631"/>
    <cellStyle name="20% - akcent 4 4 3 2 2 6" xfId="9632"/>
    <cellStyle name="20% - akcent 4 4 3 2 3" xfId="9633"/>
    <cellStyle name="20% - akcent 4 4 3 2 3 2" xfId="9634"/>
    <cellStyle name="20% - akcent 4 4 3 2 3 2 2" xfId="9635"/>
    <cellStyle name="20% - akcent 4 4 3 2 3 3" xfId="9636"/>
    <cellStyle name="20% - akcent 4 4 3 2 4" xfId="9637"/>
    <cellStyle name="20% - akcent 4 4 3 2 4 2" xfId="9638"/>
    <cellStyle name="20% - akcent 4 4 3 2 4 2 2" xfId="9639"/>
    <cellStyle name="20% - akcent 4 4 3 2 4 3" xfId="9640"/>
    <cellStyle name="20% - akcent 4 4 3 2 5" xfId="9641"/>
    <cellStyle name="20% - akcent 4 4 3 2 5 2" xfId="9642"/>
    <cellStyle name="20% - akcent 4 4 3 2 5 2 2" xfId="9643"/>
    <cellStyle name="20% - akcent 4 4 3 2 5 3" xfId="9644"/>
    <cellStyle name="20% - akcent 4 4 3 2 6" xfId="9645"/>
    <cellStyle name="20% - akcent 4 4 3 2 6 2" xfId="9646"/>
    <cellStyle name="20% - akcent 4 4 3 2 7" xfId="9647"/>
    <cellStyle name="20% - akcent 4 4 3 3" xfId="9648"/>
    <cellStyle name="20% - akcent 4 4 3 3 2" xfId="9649"/>
    <cellStyle name="20% - akcent 4 4 3 3 2 2" xfId="9650"/>
    <cellStyle name="20% - akcent 4 4 3 3 2 2 2" xfId="9651"/>
    <cellStyle name="20% - akcent 4 4 3 3 2 3" xfId="9652"/>
    <cellStyle name="20% - akcent 4 4 3 3 3" xfId="9653"/>
    <cellStyle name="20% - akcent 4 4 3 3 3 2" xfId="9654"/>
    <cellStyle name="20% - akcent 4 4 3 3 3 2 2" xfId="9655"/>
    <cellStyle name="20% - akcent 4 4 3 3 3 3" xfId="9656"/>
    <cellStyle name="20% - akcent 4 4 3 3 4" xfId="9657"/>
    <cellStyle name="20% - akcent 4 4 3 3 4 2" xfId="9658"/>
    <cellStyle name="20% - akcent 4 4 3 3 4 2 2" xfId="9659"/>
    <cellStyle name="20% - akcent 4 4 3 3 4 3" xfId="9660"/>
    <cellStyle name="20% - akcent 4 4 3 3 5" xfId="9661"/>
    <cellStyle name="20% - akcent 4 4 3 3 5 2" xfId="9662"/>
    <cellStyle name="20% - akcent 4 4 3 3 6" xfId="9663"/>
    <cellStyle name="20% - akcent 4 4 3 4" xfId="9664"/>
    <cellStyle name="20% - akcent 4 4 3 4 2" xfId="9665"/>
    <cellStyle name="20% - akcent 4 4 3 4 2 2" xfId="9666"/>
    <cellStyle name="20% - akcent 4 4 3 4 2 2 2" xfId="9667"/>
    <cellStyle name="20% - akcent 4 4 3 4 2 3" xfId="9668"/>
    <cellStyle name="20% - akcent 4 4 3 4 3" xfId="9669"/>
    <cellStyle name="20% - akcent 4 4 3 4 3 2" xfId="9670"/>
    <cellStyle name="20% - akcent 4 4 3 4 3 2 2" xfId="9671"/>
    <cellStyle name="20% - akcent 4 4 3 4 3 3" xfId="9672"/>
    <cellStyle name="20% - akcent 4 4 3 4 4" xfId="9673"/>
    <cellStyle name="20% - akcent 4 4 3 4 4 2" xfId="9674"/>
    <cellStyle name="20% - akcent 4 4 3 4 4 2 2" xfId="9675"/>
    <cellStyle name="20% - akcent 4 4 3 4 4 3" xfId="9676"/>
    <cellStyle name="20% - akcent 4 4 3 4 5" xfId="9677"/>
    <cellStyle name="20% - akcent 4 4 3 4 5 2" xfId="9678"/>
    <cellStyle name="20% - akcent 4 4 3 4 6" xfId="9679"/>
    <cellStyle name="20% - akcent 4 4 3 5" xfId="9680"/>
    <cellStyle name="20% - akcent 4 4 3 5 2" xfId="9681"/>
    <cellStyle name="20% - akcent 4 4 3 5 2 2" xfId="9682"/>
    <cellStyle name="20% - akcent 4 4 3 5 2 2 2" xfId="9683"/>
    <cellStyle name="20% - akcent 4 4 3 5 2 3" xfId="9684"/>
    <cellStyle name="20% - akcent 4 4 3 5 3" xfId="9685"/>
    <cellStyle name="20% - akcent 4 4 3 5 3 2" xfId="9686"/>
    <cellStyle name="20% - akcent 4 4 3 5 3 2 2" xfId="9687"/>
    <cellStyle name="20% - akcent 4 4 3 5 3 3" xfId="9688"/>
    <cellStyle name="20% - akcent 4 4 3 5 4" xfId="9689"/>
    <cellStyle name="20% - akcent 4 4 3 5 4 2" xfId="9690"/>
    <cellStyle name="20% - akcent 4 4 3 5 4 2 2" xfId="9691"/>
    <cellStyle name="20% - akcent 4 4 3 5 4 3" xfId="9692"/>
    <cellStyle name="20% - akcent 4 4 3 5 5" xfId="9693"/>
    <cellStyle name="20% - akcent 4 4 3 5 5 2" xfId="9694"/>
    <cellStyle name="20% - akcent 4 4 3 5 6" xfId="9695"/>
    <cellStyle name="20% - akcent 4 4 4" xfId="9696"/>
    <cellStyle name="20% - akcent 4 4 4 2" xfId="9697"/>
    <cellStyle name="20% - akcent 4 4 4 2 2" xfId="9698"/>
    <cellStyle name="20% - akcent 4 4 4 2 2 2" xfId="9699"/>
    <cellStyle name="20% - akcent 4 4 4 2 2 2 2" xfId="9700"/>
    <cellStyle name="20% - akcent 4 4 4 2 2 3" xfId="9701"/>
    <cellStyle name="20% - akcent 4 4 4 2 3" xfId="9702"/>
    <cellStyle name="20% - akcent 4 4 4 2 3 2" xfId="9703"/>
    <cellStyle name="20% - akcent 4 4 4 2 3 2 2" xfId="9704"/>
    <cellStyle name="20% - akcent 4 4 4 2 3 3" xfId="9705"/>
    <cellStyle name="20% - akcent 4 4 4 2 4" xfId="9706"/>
    <cellStyle name="20% - akcent 4 4 4 2 4 2" xfId="9707"/>
    <cellStyle name="20% - akcent 4 4 4 2 4 2 2" xfId="9708"/>
    <cellStyle name="20% - akcent 4 4 4 2 4 3" xfId="9709"/>
    <cellStyle name="20% - akcent 4 4 4 2 5" xfId="9710"/>
    <cellStyle name="20% - akcent 4 4 4 2 5 2" xfId="9711"/>
    <cellStyle name="20% - akcent 4 4 4 2 6" xfId="9712"/>
    <cellStyle name="20% - akcent 4 4 4 3" xfId="9713"/>
    <cellStyle name="20% - akcent 4 4 4 3 2" xfId="9714"/>
    <cellStyle name="20% - akcent 4 4 4 3 2 2" xfId="9715"/>
    <cellStyle name="20% - akcent 4 4 4 3 2 2 2" xfId="9716"/>
    <cellStyle name="20% - akcent 4 4 4 3 2 3" xfId="9717"/>
    <cellStyle name="20% - akcent 4 4 4 3 3" xfId="9718"/>
    <cellStyle name="20% - akcent 4 4 4 3 3 2" xfId="9719"/>
    <cellStyle name="20% - akcent 4 4 4 3 3 2 2" xfId="9720"/>
    <cellStyle name="20% - akcent 4 4 4 3 3 3" xfId="9721"/>
    <cellStyle name="20% - akcent 4 4 4 3 4" xfId="9722"/>
    <cellStyle name="20% - akcent 4 4 4 3 4 2" xfId="9723"/>
    <cellStyle name="20% - akcent 4 4 4 3 4 2 2" xfId="9724"/>
    <cellStyle name="20% - akcent 4 4 4 3 4 3" xfId="9725"/>
    <cellStyle name="20% - akcent 4 4 4 3 5" xfId="9726"/>
    <cellStyle name="20% - akcent 4 4 4 3 5 2" xfId="9727"/>
    <cellStyle name="20% - akcent 4 4 4 3 6" xfId="9728"/>
    <cellStyle name="20% - akcent 4 4 5" xfId="9729"/>
    <cellStyle name="20% - akcent 4 4 5 2" xfId="9730"/>
    <cellStyle name="20% - akcent 4 4 5 2 2" xfId="9731"/>
    <cellStyle name="20% - akcent 4 4 5 2 2 2" xfId="9732"/>
    <cellStyle name="20% - akcent 4 4 5 2 3" xfId="9733"/>
    <cellStyle name="20% - akcent 4 4 5 3" xfId="9734"/>
    <cellStyle name="20% - akcent 4 4 5 3 2" xfId="9735"/>
    <cellStyle name="20% - akcent 4 4 5 3 2 2" xfId="9736"/>
    <cellStyle name="20% - akcent 4 4 5 3 3" xfId="9737"/>
    <cellStyle name="20% - akcent 4 4 5 4" xfId="9738"/>
    <cellStyle name="20% - akcent 4 4 5 4 2" xfId="9739"/>
    <cellStyle name="20% - akcent 4 4 5 4 2 2" xfId="9740"/>
    <cellStyle name="20% - akcent 4 4 5 4 3" xfId="9741"/>
    <cellStyle name="20% - akcent 4 4 5 5" xfId="9742"/>
    <cellStyle name="20% - akcent 4 4 5 5 2" xfId="9743"/>
    <cellStyle name="20% - akcent 4 4 5 6" xfId="9744"/>
    <cellStyle name="20% - akcent 4 4 6" xfId="9745"/>
    <cellStyle name="20% - akcent 4 4 6 2" xfId="9746"/>
    <cellStyle name="20% - akcent 4 4 6 2 2" xfId="9747"/>
    <cellStyle name="20% - akcent 4 4 6 2 2 2" xfId="9748"/>
    <cellStyle name="20% - akcent 4 4 6 2 3" xfId="9749"/>
    <cellStyle name="20% - akcent 4 4 6 3" xfId="9750"/>
    <cellStyle name="20% - akcent 4 4 6 3 2" xfId="9751"/>
    <cellStyle name="20% - akcent 4 4 6 3 2 2" xfId="9752"/>
    <cellStyle name="20% - akcent 4 4 6 3 3" xfId="9753"/>
    <cellStyle name="20% - akcent 4 4 6 4" xfId="9754"/>
    <cellStyle name="20% - akcent 4 4 6 4 2" xfId="9755"/>
    <cellStyle name="20% - akcent 4 4 6 4 2 2" xfId="9756"/>
    <cellStyle name="20% - akcent 4 4 6 4 3" xfId="9757"/>
    <cellStyle name="20% - akcent 4 4 6 5" xfId="9758"/>
    <cellStyle name="20% - akcent 4 4 6 5 2" xfId="9759"/>
    <cellStyle name="20% - akcent 4 4 6 6" xfId="9760"/>
    <cellStyle name="20% - akcent 4 4 7" xfId="9761"/>
    <cellStyle name="20% - akcent 4 4 7 2" xfId="9762"/>
    <cellStyle name="20% - akcent 4 4 7 2 2" xfId="9763"/>
    <cellStyle name="20% - akcent 4 4 7 2 2 2" xfId="9764"/>
    <cellStyle name="20% - akcent 4 4 7 2 3" xfId="9765"/>
    <cellStyle name="20% - akcent 4 4 7 3" xfId="9766"/>
    <cellStyle name="20% - akcent 4 4 7 3 2" xfId="9767"/>
    <cellStyle name="20% - akcent 4 4 7 3 2 2" xfId="9768"/>
    <cellStyle name="20% - akcent 4 4 7 3 3" xfId="9769"/>
    <cellStyle name="20% - akcent 4 4 7 4" xfId="9770"/>
    <cellStyle name="20% - akcent 4 4 7 4 2" xfId="9771"/>
    <cellStyle name="20% - akcent 4 4 7 4 2 2" xfId="9772"/>
    <cellStyle name="20% - akcent 4 4 7 4 3" xfId="9773"/>
    <cellStyle name="20% - akcent 4 4 7 5" xfId="9774"/>
    <cellStyle name="20% - akcent 4 4 7 5 2" xfId="9775"/>
    <cellStyle name="20% - akcent 4 4 7 6" xfId="9776"/>
    <cellStyle name="20% - akcent 4 4_2011'05 Raport PGE_DO-CO2" xfId="9777"/>
    <cellStyle name="20% - akcent 4 5" xfId="9778"/>
    <cellStyle name="20% - akcent 4 5 2" xfId="9779"/>
    <cellStyle name="20% - akcent 4 5 2 2" xfId="9780"/>
    <cellStyle name="20% - akcent 4 5 2 2 2" xfId="9781"/>
    <cellStyle name="20% - akcent 4 5 2 2 2 2" xfId="9782"/>
    <cellStyle name="20% - akcent 4 5 2 2 2 2 2" xfId="9783"/>
    <cellStyle name="20% - akcent 4 5 2 2 2 2 2 2" xfId="9784"/>
    <cellStyle name="20% - akcent 4 5 2 2 2 2 3" xfId="9785"/>
    <cellStyle name="20% - akcent 4 5 2 2 2 3" xfId="9786"/>
    <cellStyle name="20% - akcent 4 5 2 2 2 3 2" xfId="9787"/>
    <cellStyle name="20% - akcent 4 5 2 2 2 3 2 2" xfId="9788"/>
    <cellStyle name="20% - akcent 4 5 2 2 2 3 3" xfId="9789"/>
    <cellStyle name="20% - akcent 4 5 2 2 2 4" xfId="9790"/>
    <cellStyle name="20% - akcent 4 5 2 2 2 4 2" xfId="9791"/>
    <cellStyle name="20% - akcent 4 5 2 2 2 4 2 2" xfId="9792"/>
    <cellStyle name="20% - akcent 4 5 2 2 2 4 3" xfId="9793"/>
    <cellStyle name="20% - akcent 4 5 2 2 2 5" xfId="9794"/>
    <cellStyle name="20% - akcent 4 5 2 2 2 5 2" xfId="9795"/>
    <cellStyle name="20% - akcent 4 5 2 2 2 6" xfId="9796"/>
    <cellStyle name="20% - akcent 4 5 2 2 3" xfId="9797"/>
    <cellStyle name="20% - akcent 4 5 2 2 3 2" xfId="9798"/>
    <cellStyle name="20% - akcent 4 5 2 2 3 2 2" xfId="9799"/>
    <cellStyle name="20% - akcent 4 5 2 2 3 3" xfId="9800"/>
    <cellStyle name="20% - akcent 4 5 2 2 4" xfId="9801"/>
    <cellStyle name="20% - akcent 4 5 2 2 4 2" xfId="9802"/>
    <cellStyle name="20% - akcent 4 5 2 2 4 2 2" xfId="9803"/>
    <cellStyle name="20% - akcent 4 5 2 2 4 3" xfId="9804"/>
    <cellStyle name="20% - akcent 4 5 2 2 5" xfId="9805"/>
    <cellStyle name="20% - akcent 4 5 2 2 5 2" xfId="9806"/>
    <cellStyle name="20% - akcent 4 5 2 2 5 2 2" xfId="9807"/>
    <cellStyle name="20% - akcent 4 5 2 2 5 3" xfId="9808"/>
    <cellStyle name="20% - akcent 4 5 2 2 6" xfId="9809"/>
    <cellStyle name="20% - akcent 4 5 2 2 6 2" xfId="9810"/>
    <cellStyle name="20% - akcent 4 5 2 2 7" xfId="9811"/>
    <cellStyle name="20% - akcent 4 5 2 3" xfId="9812"/>
    <cellStyle name="20% - akcent 4 5 2 3 2" xfId="9813"/>
    <cellStyle name="20% - akcent 4 5 2 3 2 2" xfId="9814"/>
    <cellStyle name="20% - akcent 4 5 2 3 2 2 2" xfId="9815"/>
    <cellStyle name="20% - akcent 4 5 2 3 2 3" xfId="9816"/>
    <cellStyle name="20% - akcent 4 5 2 3 3" xfId="9817"/>
    <cellStyle name="20% - akcent 4 5 2 3 3 2" xfId="9818"/>
    <cellStyle name="20% - akcent 4 5 2 3 3 2 2" xfId="9819"/>
    <cellStyle name="20% - akcent 4 5 2 3 3 3" xfId="9820"/>
    <cellStyle name="20% - akcent 4 5 2 3 4" xfId="9821"/>
    <cellStyle name="20% - akcent 4 5 2 3 4 2" xfId="9822"/>
    <cellStyle name="20% - akcent 4 5 2 3 4 2 2" xfId="9823"/>
    <cellStyle name="20% - akcent 4 5 2 3 4 3" xfId="9824"/>
    <cellStyle name="20% - akcent 4 5 2 3 5" xfId="9825"/>
    <cellStyle name="20% - akcent 4 5 2 3 5 2" xfId="9826"/>
    <cellStyle name="20% - akcent 4 5 2 3 6" xfId="9827"/>
    <cellStyle name="20% - akcent 4 5 2 4" xfId="9828"/>
    <cellStyle name="20% - akcent 4 5 2 4 2" xfId="9829"/>
    <cellStyle name="20% - akcent 4 5 2 4 2 2" xfId="9830"/>
    <cellStyle name="20% - akcent 4 5 2 4 2 2 2" xfId="9831"/>
    <cellStyle name="20% - akcent 4 5 2 4 2 3" xfId="9832"/>
    <cellStyle name="20% - akcent 4 5 2 4 3" xfId="9833"/>
    <cellStyle name="20% - akcent 4 5 2 4 3 2" xfId="9834"/>
    <cellStyle name="20% - akcent 4 5 2 4 3 2 2" xfId="9835"/>
    <cellStyle name="20% - akcent 4 5 2 4 3 3" xfId="9836"/>
    <cellStyle name="20% - akcent 4 5 2 4 4" xfId="9837"/>
    <cellStyle name="20% - akcent 4 5 2 4 4 2" xfId="9838"/>
    <cellStyle name="20% - akcent 4 5 2 4 4 2 2" xfId="9839"/>
    <cellStyle name="20% - akcent 4 5 2 4 4 3" xfId="9840"/>
    <cellStyle name="20% - akcent 4 5 2 4 5" xfId="9841"/>
    <cellStyle name="20% - akcent 4 5 2 4 5 2" xfId="9842"/>
    <cellStyle name="20% - akcent 4 5 2 4 6" xfId="9843"/>
    <cellStyle name="20% - akcent 4 5 2 5" xfId="9844"/>
    <cellStyle name="20% - akcent 4 5 2 6" xfId="9845"/>
    <cellStyle name="20% - akcent 4 5 2 6 2" xfId="9846"/>
    <cellStyle name="20% - akcent 4 5 2 6 2 2" xfId="9847"/>
    <cellStyle name="20% - akcent 4 5 2 6 2 2 2" xfId="9848"/>
    <cellStyle name="20% - akcent 4 5 2 6 2 3" xfId="9849"/>
    <cellStyle name="20% - akcent 4 5 2 6 3" xfId="9850"/>
    <cellStyle name="20% - akcent 4 5 2 6 3 2" xfId="9851"/>
    <cellStyle name="20% - akcent 4 5 2 6 3 2 2" xfId="9852"/>
    <cellStyle name="20% - akcent 4 5 2 6 3 3" xfId="9853"/>
    <cellStyle name="20% - akcent 4 5 2 6 4" xfId="9854"/>
    <cellStyle name="20% - akcent 4 5 2 6 4 2" xfId="9855"/>
    <cellStyle name="20% - akcent 4 5 2 6 4 2 2" xfId="9856"/>
    <cellStyle name="20% - akcent 4 5 2 6 4 3" xfId="9857"/>
    <cellStyle name="20% - akcent 4 5 2 6 5" xfId="9858"/>
    <cellStyle name="20% - akcent 4 5 2 6 5 2" xfId="9859"/>
    <cellStyle name="20% - akcent 4 5 2 6 6" xfId="9860"/>
    <cellStyle name="20% - akcent 4 5 3" xfId="9861"/>
    <cellStyle name="20% - akcent 4 5 3 2" xfId="9862"/>
    <cellStyle name="20% - akcent 4 5 3 2 2" xfId="9863"/>
    <cellStyle name="20% - akcent 4 5 3 2 2 2" xfId="9864"/>
    <cellStyle name="20% - akcent 4 5 3 2 2 2 2" xfId="9865"/>
    <cellStyle name="20% - akcent 4 5 3 2 2 3" xfId="9866"/>
    <cellStyle name="20% - akcent 4 5 3 2 3" xfId="9867"/>
    <cellStyle name="20% - akcent 4 5 3 2 3 2" xfId="9868"/>
    <cellStyle name="20% - akcent 4 5 3 2 3 2 2" xfId="9869"/>
    <cellStyle name="20% - akcent 4 5 3 2 3 3" xfId="9870"/>
    <cellStyle name="20% - akcent 4 5 3 2 4" xfId="9871"/>
    <cellStyle name="20% - akcent 4 5 3 2 4 2" xfId="9872"/>
    <cellStyle name="20% - akcent 4 5 3 2 4 2 2" xfId="9873"/>
    <cellStyle name="20% - akcent 4 5 3 2 4 3" xfId="9874"/>
    <cellStyle name="20% - akcent 4 5 3 2 5" xfId="9875"/>
    <cellStyle name="20% - akcent 4 5 3 2 5 2" xfId="9876"/>
    <cellStyle name="20% - akcent 4 5 3 2 6" xfId="9877"/>
    <cellStyle name="20% - akcent 4 5 3 3" xfId="9878"/>
    <cellStyle name="20% - akcent 4 5 3 3 2" xfId="9879"/>
    <cellStyle name="20% - akcent 4 5 3 3 2 2" xfId="9880"/>
    <cellStyle name="20% - akcent 4 5 3 3 3" xfId="9881"/>
    <cellStyle name="20% - akcent 4 5 3 4" xfId="9882"/>
    <cellStyle name="20% - akcent 4 5 3 4 2" xfId="9883"/>
    <cellStyle name="20% - akcent 4 5 3 4 2 2" xfId="9884"/>
    <cellStyle name="20% - akcent 4 5 3 4 3" xfId="9885"/>
    <cellStyle name="20% - akcent 4 5 3 5" xfId="9886"/>
    <cellStyle name="20% - akcent 4 5 3 5 2" xfId="9887"/>
    <cellStyle name="20% - akcent 4 5 3 5 2 2" xfId="9888"/>
    <cellStyle name="20% - akcent 4 5 3 5 3" xfId="9889"/>
    <cellStyle name="20% - akcent 4 5 3 6" xfId="9890"/>
    <cellStyle name="20% - akcent 4 5 3 6 2" xfId="9891"/>
    <cellStyle name="20% - akcent 4 5 3 7" xfId="9892"/>
    <cellStyle name="20% - akcent 4 5 4" xfId="9893"/>
    <cellStyle name="20% - akcent 4 5 4 2" xfId="9894"/>
    <cellStyle name="20% - akcent 4 5 4 2 2" xfId="9895"/>
    <cellStyle name="20% - akcent 4 5 4 2 2 2" xfId="9896"/>
    <cellStyle name="20% - akcent 4 5 4 2 3" xfId="9897"/>
    <cellStyle name="20% - akcent 4 5 4 3" xfId="9898"/>
    <cellStyle name="20% - akcent 4 5 4 3 2" xfId="9899"/>
    <cellStyle name="20% - akcent 4 5 4 3 2 2" xfId="9900"/>
    <cellStyle name="20% - akcent 4 5 4 3 3" xfId="9901"/>
    <cellStyle name="20% - akcent 4 5 4 4" xfId="9902"/>
    <cellStyle name="20% - akcent 4 5 4 4 2" xfId="9903"/>
    <cellStyle name="20% - akcent 4 5 4 4 2 2" xfId="9904"/>
    <cellStyle name="20% - akcent 4 5 4 4 3" xfId="9905"/>
    <cellStyle name="20% - akcent 4 5 4 5" xfId="9906"/>
    <cellStyle name="20% - akcent 4 5 4 5 2" xfId="9907"/>
    <cellStyle name="20% - akcent 4 5 4 6" xfId="9908"/>
    <cellStyle name="20% - akcent 4 5 5" xfId="9909"/>
    <cellStyle name="20% - akcent 4 5 5 2" xfId="9910"/>
    <cellStyle name="20% - akcent 4 5 5 2 2" xfId="9911"/>
    <cellStyle name="20% - akcent 4 5 5 2 2 2" xfId="9912"/>
    <cellStyle name="20% - akcent 4 5 5 2 3" xfId="9913"/>
    <cellStyle name="20% - akcent 4 5 5 3" xfId="9914"/>
    <cellStyle name="20% - akcent 4 5 5 3 2" xfId="9915"/>
    <cellStyle name="20% - akcent 4 5 5 3 2 2" xfId="9916"/>
    <cellStyle name="20% - akcent 4 5 5 3 3" xfId="9917"/>
    <cellStyle name="20% - akcent 4 5 5 4" xfId="9918"/>
    <cellStyle name="20% - akcent 4 5 5 4 2" xfId="9919"/>
    <cellStyle name="20% - akcent 4 5 5 4 2 2" xfId="9920"/>
    <cellStyle name="20% - akcent 4 5 5 4 3" xfId="9921"/>
    <cellStyle name="20% - akcent 4 5 5 5" xfId="9922"/>
    <cellStyle name="20% - akcent 4 5 5 5 2" xfId="9923"/>
    <cellStyle name="20% - akcent 4 5 5 6" xfId="9924"/>
    <cellStyle name="20% - akcent 4 5 6" xfId="9925"/>
    <cellStyle name="20% - akcent 4 5 6 2" xfId="9926"/>
    <cellStyle name="20% - akcent 4 5 6 2 2" xfId="9927"/>
    <cellStyle name="20% - akcent 4 5 6 2 2 2" xfId="9928"/>
    <cellStyle name="20% - akcent 4 5 6 2 3" xfId="9929"/>
    <cellStyle name="20% - akcent 4 5 6 3" xfId="9930"/>
    <cellStyle name="20% - akcent 4 5 6 3 2" xfId="9931"/>
    <cellStyle name="20% - akcent 4 5 6 3 2 2" xfId="9932"/>
    <cellStyle name="20% - akcent 4 5 6 3 3" xfId="9933"/>
    <cellStyle name="20% - akcent 4 5 6 4" xfId="9934"/>
    <cellStyle name="20% - akcent 4 5 6 4 2" xfId="9935"/>
    <cellStyle name="20% - akcent 4 5 6 4 2 2" xfId="9936"/>
    <cellStyle name="20% - akcent 4 5 6 4 3" xfId="9937"/>
    <cellStyle name="20% - akcent 4 5 6 5" xfId="9938"/>
    <cellStyle name="20% - akcent 4 5 6 5 2" xfId="9939"/>
    <cellStyle name="20% - akcent 4 5 6 6" xfId="9940"/>
    <cellStyle name="20% - akcent 4 5 7" xfId="9941"/>
    <cellStyle name="20% - akcent 4 5 8" xfId="9942"/>
    <cellStyle name="20% - akcent 4 5_2011'05 Raport PGE_DO-CO2" xfId="9943"/>
    <cellStyle name="20% - akcent 4 6" xfId="9944"/>
    <cellStyle name="20% - akcent 4 6 2" xfId="9945"/>
    <cellStyle name="20% - akcent 4 6 2 10" xfId="9946"/>
    <cellStyle name="20% - akcent 4 6 2 2" xfId="9947"/>
    <cellStyle name="20% - akcent 4 6 2 2 2" xfId="9948"/>
    <cellStyle name="20% - akcent 4 6 2 2 2 2" xfId="9949"/>
    <cellStyle name="20% - akcent 4 6 2 2 2 2 2" xfId="9950"/>
    <cellStyle name="20% - akcent 4 6 2 2 2 2 2 2" xfId="9951"/>
    <cellStyle name="20% - akcent 4 6 2 2 2 2 3" xfId="9952"/>
    <cellStyle name="20% - akcent 4 6 2 2 2 3" xfId="9953"/>
    <cellStyle name="20% - akcent 4 6 2 2 2 3 2" xfId="9954"/>
    <cellStyle name="20% - akcent 4 6 2 2 2 3 2 2" xfId="9955"/>
    <cellStyle name="20% - akcent 4 6 2 2 2 3 3" xfId="9956"/>
    <cellStyle name="20% - akcent 4 6 2 2 2 4" xfId="9957"/>
    <cellStyle name="20% - akcent 4 6 2 2 2 4 2" xfId="9958"/>
    <cellStyle name="20% - akcent 4 6 2 2 2 4 2 2" xfId="9959"/>
    <cellStyle name="20% - akcent 4 6 2 2 2 4 3" xfId="9960"/>
    <cellStyle name="20% - akcent 4 6 2 2 2 5" xfId="9961"/>
    <cellStyle name="20% - akcent 4 6 2 2 2 5 2" xfId="9962"/>
    <cellStyle name="20% - akcent 4 6 2 2 2 6" xfId="9963"/>
    <cellStyle name="20% - akcent 4 6 2 2 3" xfId="9964"/>
    <cellStyle name="20% - akcent 4 6 2 2 3 2" xfId="9965"/>
    <cellStyle name="20% - akcent 4 6 2 2 3 2 2" xfId="9966"/>
    <cellStyle name="20% - akcent 4 6 2 2 3 3" xfId="9967"/>
    <cellStyle name="20% - akcent 4 6 2 2 4" xfId="9968"/>
    <cellStyle name="20% - akcent 4 6 2 2 4 2" xfId="9969"/>
    <cellStyle name="20% - akcent 4 6 2 2 4 2 2" xfId="9970"/>
    <cellStyle name="20% - akcent 4 6 2 2 4 3" xfId="9971"/>
    <cellStyle name="20% - akcent 4 6 2 2 5" xfId="9972"/>
    <cellStyle name="20% - akcent 4 6 2 2 5 2" xfId="9973"/>
    <cellStyle name="20% - akcent 4 6 2 2 5 2 2" xfId="9974"/>
    <cellStyle name="20% - akcent 4 6 2 2 5 3" xfId="9975"/>
    <cellStyle name="20% - akcent 4 6 2 2 6" xfId="9976"/>
    <cellStyle name="20% - akcent 4 6 2 2 6 2" xfId="9977"/>
    <cellStyle name="20% - akcent 4 6 2 2 7" xfId="9978"/>
    <cellStyle name="20% - akcent 4 6 2 3" xfId="9979"/>
    <cellStyle name="20% - akcent 4 6 2 3 2" xfId="9980"/>
    <cellStyle name="20% - akcent 4 6 2 3 2 2" xfId="9981"/>
    <cellStyle name="20% - akcent 4 6 2 3 2 2 2" xfId="9982"/>
    <cellStyle name="20% - akcent 4 6 2 3 2 3" xfId="9983"/>
    <cellStyle name="20% - akcent 4 6 2 3 3" xfId="9984"/>
    <cellStyle name="20% - akcent 4 6 2 3 3 2" xfId="9985"/>
    <cellStyle name="20% - akcent 4 6 2 3 3 2 2" xfId="9986"/>
    <cellStyle name="20% - akcent 4 6 2 3 3 3" xfId="9987"/>
    <cellStyle name="20% - akcent 4 6 2 3 4" xfId="9988"/>
    <cellStyle name="20% - akcent 4 6 2 3 4 2" xfId="9989"/>
    <cellStyle name="20% - akcent 4 6 2 3 4 2 2" xfId="9990"/>
    <cellStyle name="20% - akcent 4 6 2 3 4 3" xfId="9991"/>
    <cellStyle name="20% - akcent 4 6 2 3 5" xfId="9992"/>
    <cellStyle name="20% - akcent 4 6 2 3 5 2" xfId="9993"/>
    <cellStyle name="20% - akcent 4 6 2 3 6" xfId="9994"/>
    <cellStyle name="20% - akcent 4 6 2 4" xfId="9995"/>
    <cellStyle name="20% - akcent 4 6 2 4 2" xfId="9996"/>
    <cellStyle name="20% - akcent 4 6 2 4 2 2" xfId="9997"/>
    <cellStyle name="20% - akcent 4 6 2 4 2 2 2" xfId="9998"/>
    <cellStyle name="20% - akcent 4 6 2 4 2 3" xfId="9999"/>
    <cellStyle name="20% - akcent 4 6 2 4 3" xfId="10000"/>
    <cellStyle name="20% - akcent 4 6 2 4 3 2" xfId="10001"/>
    <cellStyle name="20% - akcent 4 6 2 4 3 2 2" xfId="10002"/>
    <cellStyle name="20% - akcent 4 6 2 4 3 3" xfId="10003"/>
    <cellStyle name="20% - akcent 4 6 2 4 4" xfId="10004"/>
    <cellStyle name="20% - akcent 4 6 2 4 4 2" xfId="10005"/>
    <cellStyle name="20% - akcent 4 6 2 4 4 2 2" xfId="10006"/>
    <cellStyle name="20% - akcent 4 6 2 4 4 3" xfId="10007"/>
    <cellStyle name="20% - akcent 4 6 2 4 5" xfId="10008"/>
    <cellStyle name="20% - akcent 4 6 2 4 5 2" xfId="10009"/>
    <cellStyle name="20% - akcent 4 6 2 4 6" xfId="10010"/>
    <cellStyle name="20% - akcent 4 6 2 5" xfId="10011"/>
    <cellStyle name="20% - akcent 4 6 2 6" xfId="10012"/>
    <cellStyle name="20% - akcent 4 6 2 6 2" xfId="10013"/>
    <cellStyle name="20% - akcent 4 6 2 6 2 2" xfId="10014"/>
    <cellStyle name="20% - akcent 4 6 2 6 3" xfId="10015"/>
    <cellStyle name="20% - akcent 4 6 2 7" xfId="10016"/>
    <cellStyle name="20% - akcent 4 6 2 7 2" xfId="10017"/>
    <cellStyle name="20% - akcent 4 6 2 7 2 2" xfId="10018"/>
    <cellStyle name="20% - akcent 4 6 2 7 3" xfId="10019"/>
    <cellStyle name="20% - akcent 4 6 2 8" xfId="10020"/>
    <cellStyle name="20% - akcent 4 6 2 8 2" xfId="10021"/>
    <cellStyle name="20% - akcent 4 6 2 8 2 2" xfId="10022"/>
    <cellStyle name="20% - akcent 4 6 2 8 3" xfId="10023"/>
    <cellStyle name="20% - akcent 4 6 2 9" xfId="10024"/>
    <cellStyle name="20% - akcent 4 6 2 9 2" xfId="10025"/>
    <cellStyle name="20% - akcent 4 6 3" xfId="10026"/>
    <cellStyle name="20% - akcent 4 6 3 2" xfId="10027"/>
    <cellStyle name="20% - akcent 4 6 3 2 2" xfId="10028"/>
    <cellStyle name="20% - akcent 4 6 3 2 2 2" xfId="10029"/>
    <cellStyle name="20% - akcent 4 6 3 2 2 2 2" xfId="10030"/>
    <cellStyle name="20% - akcent 4 6 3 2 2 3" xfId="10031"/>
    <cellStyle name="20% - akcent 4 6 3 2 3" xfId="10032"/>
    <cellStyle name="20% - akcent 4 6 3 2 3 2" xfId="10033"/>
    <cellStyle name="20% - akcent 4 6 3 2 3 2 2" xfId="10034"/>
    <cellStyle name="20% - akcent 4 6 3 2 3 3" xfId="10035"/>
    <cellStyle name="20% - akcent 4 6 3 2 4" xfId="10036"/>
    <cellStyle name="20% - akcent 4 6 3 2 4 2" xfId="10037"/>
    <cellStyle name="20% - akcent 4 6 3 2 4 2 2" xfId="10038"/>
    <cellStyle name="20% - akcent 4 6 3 2 4 3" xfId="10039"/>
    <cellStyle name="20% - akcent 4 6 3 2 5" xfId="10040"/>
    <cellStyle name="20% - akcent 4 6 3 2 5 2" xfId="10041"/>
    <cellStyle name="20% - akcent 4 6 3 2 6" xfId="10042"/>
    <cellStyle name="20% - akcent 4 6 3 3" xfId="10043"/>
    <cellStyle name="20% - akcent 4 6 3 3 2" xfId="10044"/>
    <cellStyle name="20% - akcent 4 6 3 3 2 2" xfId="10045"/>
    <cellStyle name="20% - akcent 4 6 3 3 3" xfId="10046"/>
    <cellStyle name="20% - akcent 4 6 3 4" xfId="10047"/>
    <cellStyle name="20% - akcent 4 6 3 4 2" xfId="10048"/>
    <cellStyle name="20% - akcent 4 6 3 4 2 2" xfId="10049"/>
    <cellStyle name="20% - akcent 4 6 3 4 3" xfId="10050"/>
    <cellStyle name="20% - akcent 4 6 3 5" xfId="10051"/>
    <cellStyle name="20% - akcent 4 6 3 5 2" xfId="10052"/>
    <cellStyle name="20% - akcent 4 6 3 5 2 2" xfId="10053"/>
    <cellStyle name="20% - akcent 4 6 3 5 3" xfId="10054"/>
    <cellStyle name="20% - akcent 4 6 3 6" xfId="10055"/>
    <cellStyle name="20% - akcent 4 6 3 6 2" xfId="10056"/>
    <cellStyle name="20% - akcent 4 6 3 7" xfId="10057"/>
    <cellStyle name="20% - akcent 4 6 4" xfId="10058"/>
    <cellStyle name="20% - akcent 4 6 4 2" xfId="10059"/>
    <cellStyle name="20% - akcent 4 6 4 2 2" xfId="10060"/>
    <cellStyle name="20% - akcent 4 6 4 2 2 2" xfId="10061"/>
    <cellStyle name="20% - akcent 4 6 4 2 3" xfId="10062"/>
    <cellStyle name="20% - akcent 4 6 4 3" xfId="10063"/>
    <cellStyle name="20% - akcent 4 6 4 3 2" xfId="10064"/>
    <cellStyle name="20% - akcent 4 6 4 3 2 2" xfId="10065"/>
    <cellStyle name="20% - akcent 4 6 4 3 3" xfId="10066"/>
    <cellStyle name="20% - akcent 4 6 4 4" xfId="10067"/>
    <cellStyle name="20% - akcent 4 6 4 4 2" xfId="10068"/>
    <cellStyle name="20% - akcent 4 6 4 4 2 2" xfId="10069"/>
    <cellStyle name="20% - akcent 4 6 4 4 3" xfId="10070"/>
    <cellStyle name="20% - akcent 4 6 4 5" xfId="10071"/>
    <cellStyle name="20% - akcent 4 6 4 5 2" xfId="10072"/>
    <cellStyle name="20% - akcent 4 6 4 6" xfId="10073"/>
    <cellStyle name="20% - akcent 4 6 5" xfId="10074"/>
    <cellStyle name="20% - akcent 4 6 5 2" xfId="10075"/>
    <cellStyle name="20% - akcent 4 6 5 2 2" xfId="10076"/>
    <cellStyle name="20% - akcent 4 6 5 2 2 2" xfId="10077"/>
    <cellStyle name="20% - akcent 4 6 5 2 3" xfId="10078"/>
    <cellStyle name="20% - akcent 4 6 5 3" xfId="10079"/>
    <cellStyle name="20% - akcent 4 6 5 3 2" xfId="10080"/>
    <cellStyle name="20% - akcent 4 6 5 3 2 2" xfId="10081"/>
    <cellStyle name="20% - akcent 4 6 5 3 3" xfId="10082"/>
    <cellStyle name="20% - akcent 4 6 5 4" xfId="10083"/>
    <cellStyle name="20% - akcent 4 6 5 4 2" xfId="10084"/>
    <cellStyle name="20% - akcent 4 6 5 4 2 2" xfId="10085"/>
    <cellStyle name="20% - akcent 4 6 5 4 3" xfId="10086"/>
    <cellStyle name="20% - akcent 4 6 5 5" xfId="10087"/>
    <cellStyle name="20% - akcent 4 6 5 5 2" xfId="10088"/>
    <cellStyle name="20% - akcent 4 6 5 6" xfId="10089"/>
    <cellStyle name="20% - akcent 4 6 6" xfId="10090"/>
    <cellStyle name="20% - akcent 4 6 7" xfId="10091"/>
    <cellStyle name="20% - akcent 4 6 7 2" xfId="10092"/>
    <cellStyle name="20% - akcent 4 6 7 2 2" xfId="10093"/>
    <cellStyle name="20% - akcent 4 6 7 2 2 2" xfId="10094"/>
    <cellStyle name="20% - akcent 4 6 7 2 3" xfId="10095"/>
    <cellStyle name="20% - akcent 4 6 7 3" xfId="10096"/>
    <cellStyle name="20% - akcent 4 6 7 3 2" xfId="10097"/>
    <cellStyle name="20% - akcent 4 6 7 3 2 2" xfId="10098"/>
    <cellStyle name="20% - akcent 4 6 7 3 3" xfId="10099"/>
    <cellStyle name="20% - akcent 4 6 7 4" xfId="10100"/>
    <cellStyle name="20% - akcent 4 6 7 4 2" xfId="10101"/>
    <cellStyle name="20% - akcent 4 6 7 4 2 2" xfId="10102"/>
    <cellStyle name="20% - akcent 4 6 7 4 3" xfId="10103"/>
    <cellStyle name="20% - akcent 4 6 7 5" xfId="10104"/>
    <cellStyle name="20% - akcent 4 6 7 5 2" xfId="10105"/>
    <cellStyle name="20% - akcent 4 6 7 6" xfId="10106"/>
    <cellStyle name="20% - akcent 4 6_Arkusz1" xfId="10107"/>
    <cellStyle name="20% - akcent 4 7" xfId="10108"/>
    <cellStyle name="20% - akcent 4 7 2" xfId="10109"/>
    <cellStyle name="20% - akcent 4 7 2 10" xfId="10110"/>
    <cellStyle name="20% - akcent 4 7 2 2" xfId="10111"/>
    <cellStyle name="20% - akcent 4 7 2 2 2" xfId="10112"/>
    <cellStyle name="20% - akcent 4 7 2 2 2 2" xfId="10113"/>
    <cellStyle name="20% - akcent 4 7 2 2 2 2 2" xfId="10114"/>
    <cellStyle name="20% - akcent 4 7 2 2 2 2 2 2" xfId="10115"/>
    <cellStyle name="20% - akcent 4 7 2 2 2 2 3" xfId="10116"/>
    <cellStyle name="20% - akcent 4 7 2 2 2 3" xfId="10117"/>
    <cellStyle name="20% - akcent 4 7 2 2 2 3 2" xfId="10118"/>
    <cellStyle name="20% - akcent 4 7 2 2 2 3 2 2" xfId="10119"/>
    <cellStyle name="20% - akcent 4 7 2 2 2 3 3" xfId="10120"/>
    <cellStyle name="20% - akcent 4 7 2 2 2 4" xfId="10121"/>
    <cellStyle name="20% - akcent 4 7 2 2 2 4 2" xfId="10122"/>
    <cellStyle name="20% - akcent 4 7 2 2 2 4 2 2" xfId="10123"/>
    <cellStyle name="20% - akcent 4 7 2 2 2 4 3" xfId="10124"/>
    <cellStyle name="20% - akcent 4 7 2 2 2 5" xfId="10125"/>
    <cellStyle name="20% - akcent 4 7 2 2 2 5 2" xfId="10126"/>
    <cellStyle name="20% - akcent 4 7 2 2 2 6" xfId="10127"/>
    <cellStyle name="20% - akcent 4 7 2 2 3" xfId="10128"/>
    <cellStyle name="20% - akcent 4 7 2 2 3 2" xfId="10129"/>
    <cellStyle name="20% - akcent 4 7 2 2 3 2 2" xfId="10130"/>
    <cellStyle name="20% - akcent 4 7 2 2 3 3" xfId="10131"/>
    <cellStyle name="20% - akcent 4 7 2 2 4" xfId="10132"/>
    <cellStyle name="20% - akcent 4 7 2 2 4 2" xfId="10133"/>
    <cellStyle name="20% - akcent 4 7 2 2 4 2 2" xfId="10134"/>
    <cellStyle name="20% - akcent 4 7 2 2 4 3" xfId="10135"/>
    <cellStyle name="20% - akcent 4 7 2 2 5" xfId="10136"/>
    <cellStyle name="20% - akcent 4 7 2 2 5 2" xfId="10137"/>
    <cellStyle name="20% - akcent 4 7 2 2 5 2 2" xfId="10138"/>
    <cellStyle name="20% - akcent 4 7 2 2 5 3" xfId="10139"/>
    <cellStyle name="20% - akcent 4 7 2 2 6" xfId="10140"/>
    <cellStyle name="20% - akcent 4 7 2 2 6 2" xfId="10141"/>
    <cellStyle name="20% - akcent 4 7 2 2 7" xfId="10142"/>
    <cellStyle name="20% - akcent 4 7 2 3" xfId="10143"/>
    <cellStyle name="20% - akcent 4 7 2 3 2" xfId="10144"/>
    <cellStyle name="20% - akcent 4 7 2 3 2 2" xfId="10145"/>
    <cellStyle name="20% - akcent 4 7 2 3 2 2 2" xfId="10146"/>
    <cellStyle name="20% - akcent 4 7 2 3 2 3" xfId="10147"/>
    <cellStyle name="20% - akcent 4 7 2 3 3" xfId="10148"/>
    <cellStyle name="20% - akcent 4 7 2 3 3 2" xfId="10149"/>
    <cellStyle name="20% - akcent 4 7 2 3 3 2 2" xfId="10150"/>
    <cellStyle name="20% - akcent 4 7 2 3 3 3" xfId="10151"/>
    <cellStyle name="20% - akcent 4 7 2 3 4" xfId="10152"/>
    <cellStyle name="20% - akcent 4 7 2 3 4 2" xfId="10153"/>
    <cellStyle name="20% - akcent 4 7 2 3 4 2 2" xfId="10154"/>
    <cellStyle name="20% - akcent 4 7 2 3 4 3" xfId="10155"/>
    <cellStyle name="20% - akcent 4 7 2 3 5" xfId="10156"/>
    <cellStyle name="20% - akcent 4 7 2 3 5 2" xfId="10157"/>
    <cellStyle name="20% - akcent 4 7 2 3 6" xfId="10158"/>
    <cellStyle name="20% - akcent 4 7 2 4" xfId="10159"/>
    <cellStyle name="20% - akcent 4 7 2 4 2" xfId="10160"/>
    <cellStyle name="20% - akcent 4 7 2 4 2 2" xfId="10161"/>
    <cellStyle name="20% - akcent 4 7 2 4 2 2 2" xfId="10162"/>
    <cellStyle name="20% - akcent 4 7 2 4 2 3" xfId="10163"/>
    <cellStyle name="20% - akcent 4 7 2 4 3" xfId="10164"/>
    <cellStyle name="20% - akcent 4 7 2 4 3 2" xfId="10165"/>
    <cellStyle name="20% - akcent 4 7 2 4 3 2 2" xfId="10166"/>
    <cellStyle name="20% - akcent 4 7 2 4 3 3" xfId="10167"/>
    <cellStyle name="20% - akcent 4 7 2 4 4" xfId="10168"/>
    <cellStyle name="20% - akcent 4 7 2 4 4 2" xfId="10169"/>
    <cellStyle name="20% - akcent 4 7 2 4 4 2 2" xfId="10170"/>
    <cellStyle name="20% - akcent 4 7 2 4 4 3" xfId="10171"/>
    <cellStyle name="20% - akcent 4 7 2 4 5" xfId="10172"/>
    <cellStyle name="20% - akcent 4 7 2 4 5 2" xfId="10173"/>
    <cellStyle name="20% - akcent 4 7 2 4 6" xfId="10174"/>
    <cellStyle name="20% - akcent 4 7 2 5" xfId="10175"/>
    <cellStyle name="20% - akcent 4 7 2 6" xfId="10176"/>
    <cellStyle name="20% - akcent 4 7 2 6 2" xfId="10177"/>
    <cellStyle name="20% - akcent 4 7 2 6 2 2" xfId="10178"/>
    <cellStyle name="20% - akcent 4 7 2 6 3" xfId="10179"/>
    <cellStyle name="20% - akcent 4 7 2 7" xfId="10180"/>
    <cellStyle name="20% - akcent 4 7 2 7 2" xfId="10181"/>
    <cellStyle name="20% - akcent 4 7 2 7 2 2" xfId="10182"/>
    <cellStyle name="20% - akcent 4 7 2 7 3" xfId="10183"/>
    <cellStyle name="20% - akcent 4 7 2 8" xfId="10184"/>
    <cellStyle name="20% - akcent 4 7 2 8 2" xfId="10185"/>
    <cellStyle name="20% - akcent 4 7 2 8 2 2" xfId="10186"/>
    <cellStyle name="20% - akcent 4 7 2 8 3" xfId="10187"/>
    <cellStyle name="20% - akcent 4 7 2 9" xfId="10188"/>
    <cellStyle name="20% - akcent 4 7 2 9 2" xfId="10189"/>
    <cellStyle name="20% - akcent 4 7 3" xfId="10190"/>
    <cellStyle name="20% - akcent 4 7 3 2" xfId="10191"/>
    <cellStyle name="20% - akcent 4 7 3 2 2" xfId="10192"/>
    <cellStyle name="20% - akcent 4 7 3 2 2 2" xfId="10193"/>
    <cellStyle name="20% - akcent 4 7 3 2 2 2 2" xfId="10194"/>
    <cellStyle name="20% - akcent 4 7 3 2 2 3" xfId="10195"/>
    <cellStyle name="20% - akcent 4 7 3 2 3" xfId="10196"/>
    <cellStyle name="20% - akcent 4 7 3 2 3 2" xfId="10197"/>
    <cellStyle name="20% - akcent 4 7 3 2 3 2 2" xfId="10198"/>
    <cellStyle name="20% - akcent 4 7 3 2 3 3" xfId="10199"/>
    <cellStyle name="20% - akcent 4 7 3 2 4" xfId="10200"/>
    <cellStyle name="20% - akcent 4 7 3 2 4 2" xfId="10201"/>
    <cellStyle name="20% - akcent 4 7 3 2 4 2 2" xfId="10202"/>
    <cellStyle name="20% - akcent 4 7 3 2 4 3" xfId="10203"/>
    <cellStyle name="20% - akcent 4 7 3 2 5" xfId="10204"/>
    <cellStyle name="20% - akcent 4 7 3 2 5 2" xfId="10205"/>
    <cellStyle name="20% - akcent 4 7 3 2 6" xfId="10206"/>
    <cellStyle name="20% - akcent 4 7 3 3" xfId="10207"/>
    <cellStyle name="20% - akcent 4 7 3 3 2" xfId="10208"/>
    <cellStyle name="20% - akcent 4 7 3 3 2 2" xfId="10209"/>
    <cellStyle name="20% - akcent 4 7 3 3 3" xfId="10210"/>
    <cellStyle name="20% - akcent 4 7 3 4" xfId="10211"/>
    <cellStyle name="20% - akcent 4 7 3 4 2" xfId="10212"/>
    <cellStyle name="20% - akcent 4 7 3 4 2 2" xfId="10213"/>
    <cellStyle name="20% - akcent 4 7 3 4 3" xfId="10214"/>
    <cellStyle name="20% - akcent 4 7 3 5" xfId="10215"/>
    <cellStyle name="20% - akcent 4 7 3 5 2" xfId="10216"/>
    <cellStyle name="20% - akcent 4 7 3 5 2 2" xfId="10217"/>
    <cellStyle name="20% - akcent 4 7 3 5 3" xfId="10218"/>
    <cellStyle name="20% - akcent 4 7 3 6" xfId="10219"/>
    <cellStyle name="20% - akcent 4 7 3 6 2" xfId="10220"/>
    <cellStyle name="20% - akcent 4 7 3 7" xfId="10221"/>
    <cellStyle name="20% - akcent 4 7 4" xfId="10222"/>
    <cellStyle name="20% - akcent 4 7 4 2" xfId="10223"/>
    <cellStyle name="20% - akcent 4 7 4 2 2" xfId="10224"/>
    <cellStyle name="20% - akcent 4 7 4 2 2 2" xfId="10225"/>
    <cellStyle name="20% - akcent 4 7 4 2 3" xfId="10226"/>
    <cellStyle name="20% - akcent 4 7 4 3" xfId="10227"/>
    <cellStyle name="20% - akcent 4 7 4 3 2" xfId="10228"/>
    <cellStyle name="20% - akcent 4 7 4 3 2 2" xfId="10229"/>
    <cellStyle name="20% - akcent 4 7 4 3 3" xfId="10230"/>
    <cellStyle name="20% - akcent 4 7 4 4" xfId="10231"/>
    <cellStyle name="20% - akcent 4 7 4 4 2" xfId="10232"/>
    <cellStyle name="20% - akcent 4 7 4 4 2 2" xfId="10233"/>
    <cellStyle name="20% - akcent 4 7 4 4 3" xfId="10234"/>
    <cellStyle name="20% - akcent 4 7 4 5" xfId="10235"/>
    <cellStyle name="20% - akcent 4 7 4 5 2" xfId="10236"/>
    <cellStyle name="20% - akcent 4 7 4 6" xfId="10237"/>
    <cellStyle name="20% - akcent 4 7 5" xfId="10238"/>
    <cellStyle name="20% - akcent 4 7 5 2" xfId="10239"/>
    <cellStyle name="20% - akcent 4 7 5 2 2" xfId="10240"/>
    <cellStyle name="20% - akcent 4 7 5 2 2 2" xfId="10241"/>
    <cellStyle name="20% - akcent 4 7 5 2 3" xfId="10242"/>
    <cellStyle name="20% - akcent 4 7 5 3" xfId="10243"/>
    <cellStyle name="20% - akcent 4 7 5 3 2" xfId="10244"/>
    <cellStyle name="20% - akcent 4 7 5 3 2 2" xfId="10245"/>
    <cellStyle name="20% - akcent 4 7 5 3 3" xfId="10246"/>
    <cellStyle name="20% - akcent 4 7 5 4" xfId="10247"/>
    <cellStyle name="20% - akcent 4 7 5 4 2" xfId="10248"/>
    <cellStyle name="20% - akcent 4 7 5 4 2 2" xfId="10249"/>
    <cellStyle name="20% - akcent 4 7 5 4 3" xfId="10250"/>
    <cellStyle name="20% - akcent 4 7 5 5" xfId="10251"/>
    <cellStyle name="20% - akcent 4 7 5 5 2" xfId="10252"/>
    <cellStyle name="20% - akcent 4 7 5 6" xfId="10253"/>
    <cellStyle name="20% - akcent 4 7 6" xfId="10254"/>
    <cellStyle name="20% - akcent 4 7 7" xfId="10255"/>
    <cellStyle name="20% - akcent 4 7 7 2" xfId="10256"/>
    <cellStyle name="20% - akcent 4 7 7 2 2" xfId="10257"/>
    <cellStyle name="20% - akcent 4 7 7 2 2 2" xfId="10258"/>
    <cellStyle name="20% - akcent 4 7 7 2 3" xfId="10259"/>
    <cellStyle name="20% - akcent 4 7 7 3" xfId="10260"/>
    <cellStyle name="20% - akcent 4 7 7 3 2" xfId="10261"/>
    <cellStyle name="20% - akcent 4 7 7 3 2 2" xfId="10262"/>
    <cellStyle name="20% - akcent 4 7 7 3 3" xfId="10263"/>
    <cellStyle name="20% - akcent 4 7 7 4" xfId="10264"/>
    <cellStyle name="20% - akcent 4 7 7 4 2" xfId="10265"/>
    <cellStyle name="20% - akcent 4 7 7 4 2 2" xfId="10266"/>
    <cellStyle name="20% - akcent 4 7 7 4 3" xfId="10267"/>
    <cellStyle name="20% - akcent 4 7 7 5" xfId="10268"/>
    <cellStyle name="20% - akcent 4 7 7 5 2" xfId="10269"/>
    <cellStyle name="20% - akcent 4 7 7 6" xfId="10270"/>
    <cellStyle name="20% - akcent 4 7_Arkusz1" xfId="10271"/>
    <cellStyle name="20% - akcent 4 8" xfId="10272"/>
    <cellStyle name="20% - akcent 4 8 2" xfId="10273"/>
    <cellStyle name="20% - akcent 4 8 3" xfId="10274"/>
    <cellStyle name="20% - akcent 4 8_Arkusz1" xfId="10275"/>
    <cellStyle name="20% - akcent 4 9" xfId="10276"/>
    <cellStyle name="20% - akcent 4 9 2" xfId="10277"/>
    <cellStyle name="20% - akcent 4 9_Arkusz1" xfId="10278"/>
    <cellStyle name="20% - akcent 5 10" xfId="10279"/>
    <cellStyle name="20% - akcent 5 10 2" xfId="10280"/>
    <cellStyle name="20% - akcent 5 10_Arkusz1" xfId="10281"/>
    <cellStyle name="20% - akcent 5 11" xfId="10282"/>
    <cellStyle name="20% - akcent 5 2" xfId="10283"/>
    <cellStyle name="20% - akcent 5 2 10" xfId="10284"/>
    <cellStyle name="20% - akcent 5 2 2" xfId="10285"/>
    <cellStyle name="20% - akcent 5 2 2 2" xfId="10286"/>
    <cellStyle name="20% - akcent 5 2 2 2 2" xfId="10287"/>
    <cellStyle name="20% - akcent 5 2 2 2 2 2" xfId="10288"/>
    <cellStyle name="20% - akcent 5 2 2 2 2 2 2" xfId="10289"/>
    <cellStyle name="20% - akcent 5 2 2 2 2 2 2 2" xfId="10290"/>
    <cellStyle name="20% - akcent 5 2 2 2 2 2 2 2 2" xfId="10291"/>
    <cellStyle name="20% - akcent 5 2 2 2 2 2 2 2 2 2" xfId="10292"/>
    <cellStyle name="20% - akcent 5 2 2 2 2 2 2 2 3" xfId="10293"/>
    <cellStyle name="20% - akcent 5 2 2 2 2 2 2 3" xfId="10294"/>
    <cellStyle name="20% - akcent 5 2 2 2 2 2 2 3 2" xfId="10295"/>
    <cellStyle name="20% - akcent 5 2 2 2 2 2 2 3 2 2" xfId="10296"/>
    <cellStyle name="20% - akcent 5 2 2 2 2 2 2 3 3" xfId="10297"/>
    <cellStyle name="20% - akcent 5 2 2 2 2 2 2 4" xfId="10298"/>
    <cellStyle name="20% - akcent 5 2 2 2 2 2 2 4 2" xfId="10299"/>
    <cellStyle name="20% - akcent 5 2 2 2 2 2 2 4 2 2" xfId="10300"/>
    <cellStyle name="20% - akcent 5 2 2 2 2 2 2 4 3" xfId="10301"/>
    <cellStyle name="20% - akcent 5 2 2 2 2 2 2 5" xfId="10302"/>
    <cellStyle name="20% - akcent 5 2 2 2 2 2 2 5 2" xfId="10303"/>
    <cellStyle name="20% - akcent 5 2 2 2 2 2 2 6" xfId="10304"/>
    <cellStyle name="20% - akcent 5 2 2 2 2 2 3" xfId="10305"/>
    <cellStyle name="20% - akcent 5 2 2 2 2 2 3 2" xfId="10306"/>
    <cellStyle name="20% - akcent 5 2 2 2 2 2 3 2 2" xfId="10307"/>
    <cellStyle name="20% - akcent 5 2 2 2 2 2 3 3" xfId="10308"/>
    <cellStyle name="20% - akcent 5 2 2 2 2 2 4" xfId="10309"/>
    <cellStyle name="20% - akcent 5 2 2 2 2 2 4 2" xfId="10310"/>
    <cellStyle name="20% - akcent 5 2 2 2 2 2 4 2 2" xfId="10311"/>
    <cellStyle name="20% - akcent 5 2 2 2 2 2 4 3" xfId="10312"/>
    <cellStyle name="20% - akcent 5 2 2 2 2 2 5" xfId="10313"/>
    <cellStyle name="20% - akcent 5 2 2 2 2 2 5 2" xfId="10314"/>
    <cellStyle name="20% - akcent 5 2 2 2 2 2 5 2 2" xfId="10315"/>
    <cellStyle name="20% - akcent 5 2 2 2 2 2 5 3" xfId="10316"/>
    <cellStyle name="20% - akcent 5 2 2 2 2 2 6" xfId="10317"/>
    <cellStyle name="20% - akcent 5 2 2 2 2 2 6 2" xfId="10318"/>
    <cellStyle name="20% - akcent 5 2 2 2 2 2 7" xfId="10319"/>
    <cellStyle name="20% - akcent 5 2 2 2 2 3" xfId="10320"/>
    <cellStyle name="20% - akcent 5 2 2 2 2 3 2" xfId="10321"/>
    <cellStyle name="20% - akcent 5 2 2 2 2 3 2 2" xfId="10322"/>
    <cellStyle name="20% - akcent 5 2 2 2 2 3 2 2 2" xfId="10323"/>
    <cellStyle name="20% - akcent 5 2 2 2 2 3 2 3" xfId="10324"/>
    <cellStyle name="20% - akcent 5 2 2 2 2 3 3" xfId="10325"/>
    <cellStyle name="20% - akcent 5 2 2 2 2 3 3 2" xfId="10326"/>
    <cellStyle name="20% - akcent 5 2 2 2 2 3 3 2 2" xfId="10327"/>
    <cellStyle name="20% - akcent 5 2 2 2 2 3 3 3" xfId="10328"/>
    <cellStyle name="20% - akcent 5 2 2 2 2 3 4" xfId="10329"/>
    <cellStyle name="20% - akcent 5 2 2 2 2 3 4 2" xfId="10330"/>
    <cellStyle name="20% - akcent 5 2 2 2 2 3 4 2 2" xfId="10331"/>
    <cellStyle name="20% - akcent 5 2 2 2 2 3 4 3" xfId="10332"/>
    <cellStyle name="20% - akcent 5 2 2 2 2 3 5" xfId="10333"/>
    <cellStyle name="20% - akcent 5 2 2 2 2 3 5 2" xfId="10334"/>
    <cellStyle name="20% - akcent 5 2 2 2 2 3 6" xfId="10335"/>
    <cellStyle name="20% - akcent 5 2 2 2 2 4" xfId="10336"/>
    <cellStyle name="20% - akcent 5 2 2 2 2 4 2" xfId="10337"/>
    <cellStyle name="20% - akcent 5 2 2 2 2 4 2 2" xfId="10338"/>
    <cellStyle name="20% - akcent 5 2 2 2 2 4 2 2 2" xfId="10339"/>
    <cellStyle name="20% - akcent 5 2 2 2 2 4 2 3" xfId="10340"/>
    <cellStyle name="20% - akcent 5 2 2 2 2 4 3" xfId="10341"/>
    <cellStyle name="20% - akcent 5 2 2 2 2 4 3 2" xfId="10342"/>
    <cellStyle name="20% - akcent 5 2 2 2 2 4 3 2 2" xfId="10343"/>
    <cellStyle name="20% - akcent 5 2 2 2 2 4 3 3" xfId="10344"/>
    <cellStyle name="20% - akcent 5 2 2 2 2 4 4" xfId="10345"/>
    <cellStyle name="20% - akcent 5 2 2 2 2 4 4 2" xfId="10346"/>
    <cellStyle name="20% - akcent 5 2 2 2 2 4 4 2 2" xfId="10347"/>
    <cellStyle name="20% - akcent 5 2 2 2 2 4 4 3" xfId="10348"/>
    <cellStyle name="20% - akcent 5 2 2 2 2 4 5" xfId="10349"/>
    <cellStyle name="20% - akcent 5 2 2 2 2 4 5 2" xfId="10350"/>
    <cellStyle name="20% - akcent 5 2 2 2 2 4 6" xfId="10351"/>
    <cellStyle name="20% - akcent 5 2 2 2 2 5" xfId="10352"/>
    <cellStyle name="20% - akcent 5 2 2 2 2 5 2" xfId="10353"/>
    <cellStyle name="20% - akcent 5 2 2 2 2 5 2 2" xfId="10354"/>
    <cellStyle name="20% - akcent 5 2 2 2 2 5 3" xfId="10355"/>
    <cellStyle name="20% - akcent 5 2 2 2 2 6" xfId="10356"/>
    <cellStyle name="20% - akcent 5 2 2 2 2 6 2" xfId="10357"/>
    <cellStyle name="20% - akcent 5 2 2 2 2 6 2 2" xfId="10358"/>
    <cellStyle name="20% - akcent 5 2 2 2 2 6 3" xfId="10359"/>
    <cellStyle name="20% - akcent 5 2 2 2 2 7" xfId="10360"/>
    <cellStyle name="20% - akcent 5 2 2 2 2 7 2" xfId="10361"/>
    <cellStyle name="20% - akcent 5 2 2 2 2 7 2 2" xfId="10362"/>
    <cellStyle name="20% - akcent 5 2 2 2 2 7 3" xfId="10363"/>
    <cellStyle name="20% - akcent 5 2 2 2 2 8" xfId="10364"/>
    <cellStyle name="20% - akcent 5 2 2 2 2 8 2" xfId="10365"/>
    <cellStyle name="20% - akcent 5 2 2 2 2 9" xfId="10366"/>
    <cellStyle name="20% - akcent 5 2 2 2 3" xfId="10367"/>
    <cellStyle name="20% - akcent 5 2 2 2 3 2" xfId="10368"/>
    <cellStyle name="20% - akcent 5 2 2 2 3 2 2" xfId="10369"/>
    <cellStyle name="20% - akcent 5 2 2 2 3 2 2 2" xfId="10370"/>
    <cellStyle name="20% - akcent 5 2 2 2 3 2 2 2 2" xfId="10371"/>
    <cellStyle name="20% - akcent 5 2 2 2 3 2 2 3" xfId="10372"/>
    <cellStyle name="20% - akcent 5 2 2 2 3 2 3" xfId="10373"/>
    <cellStyle name="20% - akcent 5 2 2 2 3 2 3 2" xfId="10374"/>
    <cellStyle name="20% - akcent 5 2 2 2 3 2 3 2 2" xfId="10375"/>
    <cellStyle name="20% - akcent 5 2 2 2 3 2 3 3" xfId="10376"/>
    <cellStyle name="20% - akcent 5 2 2 2 3 2 4" xfId="10377"/>
    <cellStyle name="20% - akcent 5 2 2 2 3 2 4 2" xfId="10378"/>
    <cellStyle name="20% - akcent 5 2 2 2 3 2 4 2 2" xfId="10379"/>
    <cellStyle name="20% - akcent 5 2 2 2 3 2 4 3" xfId="10380"/>
    <cellStyle name="20% - akcent 5 2 2 2 3 2 5" xfId="10381"/>
    <cellStyle name="20% - akcent 5 2 2 2 3 2 5 2" xfId="10382"/>
    <cellStyle name="20% - akcent 5 2 2 2 3 2 6" xfId="10383"/>
    <cellStyle name="20% - akcent 5 2 2 2 3 3" xfId="10384"/>
    <cellStyle name="20% - akcent 5 2 2 2 3 3 2" xfId="10385"/>
    <cellStyle name="20% - akcent 5 2 2 2 3 3 2 2" xfId="10386"/>
    <cellStyle name="20% - akcent 5 2 2 2 3 3 3" xfId="10387"/>
    <cellStyle name="20% - akcent 5 2 2 2 3 4" xfId="10388"/>
    <cellStyle name="20% - akcent 5 2 2 2 3 4 2" xfId="10389"/>
    <cellStyle name="20% - akcent 5 2 2 2 3 4 2 2" xfId="10390"/>
    <cellStyle name="20% - akcent 5 2 2 2 3 4 3" xfId="10391"/>
    <cellStyle name="20% - akcent 5 2 2 2 3 5" xfId="10392"/>
    <cellStyle name="20% - akcent 5 2 2 2 3 5 2" xfId="10393"/>
    <cellStyle name="20% - akcent 5 2 2 2 3 5 2 2" xfId="10394"/>
    <cellStyle name="20% - akcent 5 2 2 2 3 5 3" xfId="10395"/>
    <cellStyle name="20% - akcent 5 2 2 2 3 6" xfId="10396"/>
    <cellStyle name="20% - akcent 5 2 2 2 3 6 2" xfId="10397"/>
    <cellStyle name="20% - akcent 5 2 2 2 3 7" xfId="10398"/>
    <cellStyle name="20% - akcent 5 2 2 2 4" xfId="10399"/>
    <cellStyle name="20% - akcent 5 2 2 2 4 2" xfId="10400"/>
    <cellStyle name="20% - akcent 5 2 2 2 4 2 2" xfId="10401"/>
    <cellStyle name="20% - akcent 5 2 2 2 4 2 2 2" xfId="10402"/>
    <cellStyle name="20% - akcent 5 2 2 2 4 2 3" xfId="10403"/>
    <cellStyle name="20% - akcent 5 2 2 2 4 3" xfId="10404"/>
    <cellStyle name="20% - akcent 5 2 2 2 4 3 2" xfId="10405"/>
    <cellStyle name="20% - akcent 5 2 2 2 4 3 2 2" xfId="10406"/>
    <cellStyle name="20% - akcent 5 2 2 2 4 3 3" xfId="10407"/>
    <cellStyle name="20% - akcent 5 2 2 2 4 4" xfId="10408"/>
    <cellStyle name="20% - akcent 5 2 2 2 4 4 2" xfId="10409"/>
    <cellStyle name="20% - akcent 5 2 2 2 4 4 2 2" xfId="10410"/>
    <cellStyle name="20% - akcent 5 2 2 2 4 4 3" xfId="10411"/>
    <cellStyle name="20% - akcent 5 2 2 2 4 5" xfId="10412"/>
    <cellStyle name="20% - akcent 5 2 2 2 4 5 2" xfId="10413"/>
    <cellStyle name="20% - akcent 5 2 2 2 4 6" xfId="10414"/>
    <cellStyle name="20% - akcent 5 2 2 2 5" xfId="10415"/>
    <cellStyle name="20% - akcent 5 2 2 2 5 2" xfId="10416"/>
    <cellStyle name="20% - akcent 5 2 2 2 5 2 2" xfId="10417"/>
    <cellStyle name="20% - akcent 5 2 2 2 5 2 2 2" xfId="10418"/>
    <cellStyle name="20% - akcent 5 2 2 2 5 2 3" xfId="10419"/>
    <cellStyle name="20% - akcent 5 2 2 2 5 3" xfId="10420"/>
    <cellStyle name="20% - akcent 5 2 2 2 5 3 2" xfId="10421"/>
    <cellStyle name="20% - akcent 5 2 2 2 5 3 2 2" xfId="10422"/>
    <cellStyle name="20% - akcent 5 2 2 2 5 3 3" xfId="10423"/>
    <cellStyle name="20% - akcent 5 2 2 2 5 4" xfId="10424"/>
    <cellStyle name="20% - akcent 5 2 2 2 5 4 2" xfId="10425"/>
    <cellStyle name="20% - akcent 5 2 2 2 5 4 2 2" xfId="10426"/>
    <cellStyle name="20% - akcent 5 2 2 2 5 4 3" xfId="10427"/>
    <cellStyle name="20% - akcent 5 2 2 2 5 5" xfId="10428"/>
    <cellStyle name="20% - akcent 5 2 2 2 5 5 2" xfId="10429"/>
    <cellStyle name="20% - akcent 5 2 2 2 5 6" xfId="10430"/>
    <cellStyle name="20% - akcent 5 2 2 2 6" xfId="10431"/>
    <cellStyle name="20% - akcent 5 2 2 2 6 2" xfId="10432"/>
    <cellStyle name="20% - akcent 5 2 2 2 6 2 2" xfId="10433"/>
    <cellStyle name="20% - akcent 5 2 2 2 6 2 2 2" xfId="10434"/>
    <cellStyle name="20% - akcent 5 2 2 2 6 2 3" xfId="10435"/>
    <cellStyle name="20% - akcent 5 2 2 2 6 3" xfId="10436"/>
    <cellStyle name="20% - akcent 5 2 2 2 6 3 2" xfId="10437"/>
    <cellStyle name="20% - akcent 5 2 2 2 6 3 2 2" xfId="10438"/>
    <cellStyle name="20% - akcent 5 2 2 2 6 3 3" xfId="10439"/>
    <cellStyle name="20% - akcent 5 2 2 2 6 4" xfId="10440"/>
    <cellStyle name="20% - akcent 5 2 2 2 6 4 2" xfId="10441"/>
    <cellStyle name="20% - akcent 5 2 2 2 6 4 2 2" xfId="10442"/>
    <cellStyle name="20% - akcent 5 2 2 2 6 4 3" xfId="10443"/>
    <cellStyle name="20% - akcent 5 2 2 2 6 5" xfId="10444"/>
    <cellStyle name="20% - akcent 5 2 2 2 6 5 2" xfId="10445"/>
    <cellStyle name="20% - akcent 5 2 2 2 6 6" xfId="10446"/>
    <cellStyle name="20% - akcent 5 2 2 3" xfId="10447"/>
    <cellStyle name="20% - akcent 5 2 2 3 2" xfId="10448"/>
    <cellStyle name="20% - akcent 5 2 2 3 2 2" xfId="10449"/>
    <cellStyle name="20% - akcent 5 2 2 3 2 2 2" xfId="10450"/>
    <cellStyle name="20% - akcent 5 2 2 3 2 2 2 2" xfId="10451"/>
    <cellStyle name="20% - akcent 5 2 2 3 2 2 2 2 2" xfId="10452"/>
    <cellStyle name="20% - akcent 5 2 2 3 2 2 2 3" xfId="10453"/>
    <cellStyle name="20% - akcent 5 2 2 3 2 2 3" xfId="10454"/>
    <cellStyle name="20% - akcent 5 2 2 3 2 2 3 2" xfId="10455"/>
    <cellStyle name="20% - akcent 5 2 2 3 2 2 3 2 2" xfId="10456"/>
    <cellStyle name="20% - akcent 5 2 2 3 2 2 3 3" xfId="10457"/>
    <cellStyle name="20% - akcent 5 2 2 3 2 2 4" xfId="10458"/>
    <cellStyle name="20% - akcent 5 2 2 3 2 2 4 2" xfId="10459"/>
    <cellStyle name="20% - akcent 5 2 2 3 2 2 4 2 2" xfId="10460"/>
    <cellStyle name="20% - akcent 5 2 2 3 2 2 4 3" xfId="10461"/>
    <cellStyle name="20% - akcent 5 2 2 3 2 2 5" xfId="10462"/>
    <cellStyle name="20% - akcent 5 2 2 3 2 2 5 2" xfId="10463"/>
    <cellStyle name="20% - akcent 5 2 2 3 2 2 6" xfId="10464"/>
    <cellStyle name="20% - akcent 5 2 2 3 2 3" xfId="10465"/>
    <cellStyle name="20% - akcent 5 2 2 3 2 3 2" xfId="10466"/>
    <cellStyle name="20% - akcent 5 2 2 3 2 3 2 2" xfId="10467"/>
    <cellStyle name="20% - akcent 5 2 2 3 2 3 3" xfId="10468"/>
    <cellStyle name="20% - akcent 5 2 2 3 2 4" xfId="10469"/>
    <cellStyle name="20% - akcent 5 2 2 3 2 4 2" xfId="10470"/>
    <cellStyle name="20% - akcent 5 2 2 3 2 4 2 2" xfId="10471"/>
    <cellStyle name="20% - akcent 5 2 2 3 2 4 3" xfId="10472"/>
    <cellStyle name="20% - akcent 5 2 2 3 2 5" xfId="10473"/>
    <cellStyle name="20% - akcent 5 2 2 3 2 5 2" xfId="10474"/>
    <cellStyle name="20% - akcent 5 2 2 3 2 5 2 2" xfId="10475"/>
    <cellStyle name="20% - akcent 5 2 2 3 2 5 3" xfId="10476"/>
    <cellStyle name="20% - akcent 5 2 2 3 2 6" xfId="10477"/>
    <cellStyle name="20% - akcent 5 2 2 3 2 6 2" xfId="10478"/>
    <cellStyle name="20% - akcent 5 2 2 3 2 7" xfId="10479"/>
    <cellStyle name="20% - akcent 5 2 2 3 3" xfId="10480"/>
    <cellStyle name="20% - akcent 5 2 2 3 3 2" xfId="10481"/>
    <cellStyle name="20% - akcent 5 2 2 3 3 2 2" xfId="10482"/>
    <cellStyle name="20% - akcent 5 2 2 3 3 2 2 2" xfId="10483"/>
    <cellStyle name="20% - akcent 5 2 2 3 3 2 3" xfId="10484"/>
    <cellStyle name="20% - akcent 5 2 2 3 3 3" xfId="10485"/>
    <cellStyle name="20% - akcent 5 2 2 3 3 3 2" xfId="10486"/>
    <cellStyle name="20% - akcent 5 2 2 3 3 3 2 2" xfId="10487"/>
    <cellStyle name="20% - akcent 5 2 2 3 3 3 3" xfId="10488"/>
    <cellStyle name="20% - akcent 5 2 2 3 3 4" xfId="10489"/>
    <cellStyle name="20% - akcent 5 2 2 3 3 4 2" xfId="10490"/>
    <cellStyle name="20% - akcent 5 2 2 3 3 4 2 2" xfId="10491"/>
    <cellStyle name="20% - akcent 5 2 2 3 3 4 3" xfId="10492"/>
    <cellStyle name="20% - akcent 5 2 2 3 3 5" xfId="10493"/>
    <cellStyle name="20% - akcent 5 2 2 3 3 5 2" xfId="10494"/>
    <cellStyle name="20% - akcent 5 2 2 3 3 6" xfId="10495"/>
    <cellStyle name="20% - akcent 5 2 2 3 4" xfId="10496"/>
    <cellStyle name="20% - akcent 5 2 2 3 4 2" xfId="10497"/>
    <cellStyle name="20% - akcent 5 2 2 3 4 2 2" xfId="10498"/>
    <cellStyle name="20% - akcent 5 2 2 3 4 2 2 2" xfId="10499"/>
    <cellStyle name="20% - akcent 5 2 2 3 4 2 3" xfId="10500"/>
    <cellStyle name="20% - akcent 5 2 2 3 4 3" xfId="10501"/>
    <cellStyle name="20% - akcent 5 2 2 3 4 3 2" xfId="10502"/>
    <cellStyle name="20% - akcent 5 2 2 3 4 3 2 2" xfId="10503"/>
    <cellStyle name="20% - akcent 5 2 2 3 4 3 3" xfId="10504"/>
    <cellStyle name="20% - akcent 5 2 2 3 4 4" xfId="10505"/>
    <cellStyle name="20% - akcent 5 2 2 3 4 4 2" xfId="10506"/>
    <cellStyle name="20% - akcent 5 2 2 3 4 4 2 2" xfId="10507"/>
    <cellStyle name="20% - akcent 5 2 2 3 4 4 3" xfId="10508"/>
    <cellStyle name="20% - akcent 5 2 2 3 4 5" xfId="10509"/>
    <cellStyle name="20% - akcent 5 2 2 3 4 5 2" xfId="10510"/>
    <cellStyle name="20% - akcent 5 2 2 3 4 6" xfId="10511"/>
    <cellStyle name="20% - akcent 5 2 2 3 5" xfId="10512"/>
    <cellStyle name="20% - akcent 5 2 2 3 5 2" xfId="10513"/>
    <cellStyle name="20% - akcent 5 2 2 3 5 2 2" xfId="10514"/>
    <cellStyle name="20% - akcent 5 2 2 3 5 2 2 2" xfId="10515"/>
    <cellStyle name="20% - akcent 5 2 2 3 5 2 3" xfId="10516"/>
    <cellStyle name="20% - akcent 5 2 2 3 5 3" xfId="10517"/>
    <cellStyle name="20% - akcent 5 2 2 3 5 3 2" xfId="10518"/>
    <cellStyle name="20% - akcent 5 2 2 3 5 3 2 2" xfId="10519"/>
    <cellStyle name="20% - akcent 5 2 2 3 5 3 3" xfId="10520"/>
    <cellStyle name="20% - akcent 5 2 2 3 5 4" xfId="10521"/>
    <cellStyle name="20% - akcent 5 2 2 3 5 4 2" xfId="10522"/>
    <cellStyle name="20% - akcent 5 2 2 3 5 4 2 2" xfId="10523"/>
    <cellStyle name="20% - akcent 5 2 2 3 5 4 3" xfId="10524"/>
    <cellStyle name="20% - akcent 5 2 2 3 5 5" xfId="10525"/>
    <cellStyle name="20% - akcent 5 2 2 3 5 5 2" xfId="10526"/>
    <cellStyle name="20% - akcent 5 2 2 3 5 6" xfId="10527"/>
    <cellStyle name="20% - akcent 5 2 2 4" xfId="10528"/>
    <cellStyle name="20% - akcent 5 2 2 4 2" xfId="10529"/>
    <cellStyle name="20% - akcent 5 2 2 4 2 2" xfId="10530"/>
    <cellStyle name="20% - akcent 5 2 2 4 2 2 2" xfId="10531"/>
    <cellStyle name="20% - akcent 5 2 2 4 2 2 2 2" xfId="10532"/>
    <cellStyle name="20% - akcent 5 2 2 4 2 2 3" xfId="10533"/>
    <cellStyle name="20% - akcent 5 2 2 4 2 3" xfId="10534"/>
    <cellStyle name="20% - akcent 5 2 2 4 2 3 2" xfId="10535"/>
    <cellStyle name="20% - akcent 5 2 2 4 2 3 2 2" xfId="10536"/>
    <cellStyle name="20% - akcent 5 2 2 4 2 3 3" xfId="10537"/>
    <cellStyle name="20% - akcent 5 2 2 4 2 4" xfId="10538"/>
    <cellStyle name="20% - akcent 5 2 2 4 2 4 2" xfId="10539"/>
    <cellStyle name="20% - akcent 5 2 2 4 2 4 2 2" xfId="10540"/>
    <cellStyle name="20% - akcent 5 2 2 4 2 4 3" xfId="10541"/>
    <cellStyle name="20% - akcent 5 2 2 4 2 5" xfId="10542"/>
    <cellStyle name="20% - akcent 5 2 2 4 2 5 2" xfId="10543"/>
    <cellStyle name="20% - akcent 5 2 2 4 2 6" xfId="10544"/>
    <cellStyle name="20% - akcent 5 2 2 4 3" xfId="10545"/>
    <cellStyle name="20% - akcent 5 2 2 4 3 2" xfId="10546"/>
    <cellStyle name="20% - akcent 5 2 2 4 3 2 2" xfId="10547"/>
    <cellStyle name="20% - akcent 5 2 2 4 3 3" xfId="10548"/>
    <cellStyle name="20% - akcent 5 2 2 4 4" xfId="10549"/>
    <cellStyle name="20% - akcent 5 2 2 4 4 2" xfId="10550"/>
    <cellStyle name="20% - akcent 5 2 2 4 4 2 2" xfId="10551"/>
    <cellStyle name="20% - akcent 5 2 2 4 4 3" xfId="10552"/>
    <cellStyle name="20% - akcent 5 2 2 4 5" xfId="10553"/>
    <cellStyle name="20% - akcent 5 2 2 4 5 2" xfId="10554"/>
    <cellStyle name="20% - akcent 5 2 2 4 5 2 2" xfId="10555"/>
    <cellStyle name="20% - akcent 5 2 2 4 5 3" xfId="10556"/>
    <cellStyle name="20% - akcent 5 2 2 4 6" xfId="10557"/>
    <cellStyle name="20% - akcent 5 2 2 4 6 2" xfId="10558"/>
    <cellStyle name="20% - akcent 5 2 2 4 7" xfId="10559"/>
    <cellStyle name="20% - akcent 5 2 2 5" xfId="10560"/>
    <cellStyle name="20% - akcent 5 2 2 5 2" xfId="10561"/>
    <cellStyle name="20% - akcent 5 2 2 5 2 2" xfId="10562"/>
    <cellStyle name="20% - akcent 5 2 2 5 2 2 2" xfId="10563"/>
    <cellStyle name="20% - akcent 5 2 2 5 2 3" xfId="10564"/>
    <cellStyle name="20% - akcent 5 2 2 5 3" xfId="10565"/>
    <cellStyle name="20% - akcent 5 2 2 5 3 2" xfId="10566"/>
    <cellStyle name="20% - akcent 5 2 2 5 3 2 2" xfId="10567"/>
    <cellStyle name="20% - akcent 5 2 2 5 3 3" xfId="10568"/>
    <cellStyle name="20% - akcent 5 2 2 5 4" xfId="10569"/>
    <cellStyle name="20% - akcent 5 2 2 5 4 2" xfId="10570"/>
    <cellStyle name="20% - akcent 5 2 2 5 4 2 2" xfId="10571"/>
    <cellStyle name="20% - akcent 5 2 2 5 4 3" xfId="10572"/>
    <cellStyle name="20% - akcent 5 2 2 5 5" xfId="10573"/>
    <cellStyle name="20% - akcent 5 2 2 5 5 2" xfId="10574"/>
    <cellStyle name="20% - akcent 5 2 2 5 6" xfId="10575"/>
    <cellStyle name="20% - akcent 5 2 2 6" xfId="10576"/>
    <cellStyle name="20% - akcent 5 2 2 6 2" xfId="10577"/>
    <cellStyle name="20% - akcent 5 2 2 6 2 2" xfId="10578"/>
    <cellStyle name="20% - akcent 5 2 2 6 2 2 2" xfId="10579"/>
    <cellStyle name="20% - akcent 5 2 2 6 2 3" xfId="10580"/>
    <cellStyle name="20% - akcent 5 2 2 6 3" xfId="10581"/>
    <cellStyle name="20% - akcent 5 2 2 6 3 2" xfId="10582"/>
    <cellStyle name="20% - akcent 5 2 2 6 3 2 2" xfId="10583"/>
    <cellStyle name="20% - akcent 5 2 2 6 3 3" xfId="10584"/>
    <cellStyle name="20% - akcent 5 2 2 6 4" xfId="10585"/>
    <cellStyle name="20% - akcent 5 2 2 6 4 2" xfId="10586"/>
    <cellStyle name="20% - akcent 5 2 2 6 4 2 2" xfId="10587"/>
    <cellStyle name="20% - akcent 5 2 2 6 4 3" xfId="10588"/>
    <cellStyle name="20% - akcent 5 2 2 6 5" xfId="10589"/>
    <cellStyle name="20% - akcent 5 2 2 6 5 2" xfId="10590"/>
    <cellStyle name="20% - akcent 5 2 2 6 6" xfId="10591"/>
    <cellStyle name="20% - akcent 5 2 2 7" xfId="10592"/>
    <cellStyle name="20% - akcent 5 2 2 8" xfId="10593"/>
    <cellStyle name="20% - akcent 5 2 2 8 2" xfId="10594"/>
    <cellStyle name="20% - akcent 5 2 2 8 2 2" xfId="10595"/>
    <cellStyle name="20% - akcent 5 2 2 8 2 2 2" xfId="10596"/>
    <cellStyle name="20% - akcent 5 2 2 8 2 3" xfId="10597"/>
    <cellStyle name="20% - akcent 5 2 2 8 3" xfId="10598"/>
    <cellStyle name="20% - akcent 5 2 2 8 3 2" xfId="10599"/>
    <cellStyle name="20% - akcent 5 2 2 8 3 2 2" xfId="10600"/>
    <cellStyle name="20% - akcent 5 2 2 8 3 3" xfId="10601"/>
    <cellStyle name="20% - akcent 5 2 2 8 4" xfId="10602"/>
    <cellStyle name="20% - akcent 5 2 2 8 4 2" xfId="10603"/>
    <cellStyle name="20% - akcent 5 2 2 8 4 2 2" xfId="10604"/>
    <cellStyle name="20% - akcent 5 2 2 8 4 3" xfId="10605"/>
    <cellStyle name="20% - akcent 5 2 2 8 5" xfId="10606"/>
    <cellStyle name="20% - akcent 5 2 2 8 5 2" xfId="10607"/>
    <cellStyle name="20% - akcent 5 2 2 8 6" xfId="10608"/>
    <cellStyle name="20% - akcent 5 2 2_2011'05 Raport PGE_DO-CO2" xfId="10609"/>
    <cellStyle name="20% - akcent 5 2 3" xfId="10610"/>
    <cellStyle name="20% - akcent 5 2 3 2" xfId="10611"/>
    <cellStyle name="20% - akcent 5 2 3 2 2" xfId="10612"/>
    <cellStyle name="20% - akcent 5 2 3 2 2 2" xfId="10613"/>
    <cellStyle name="20% - akcent 5 2 3 2 2 2 2" xfId="10614"/>
    <cellStyle name="20% - akcent 5 2 3 2 2 2 2 2" xfId="10615"/>
    <cellStyle name="20% - akcent 5 2 3 2 2 2 2 2 2" xfId="10616"/>
    <cellStyle name="20% - akcent 5 2 3 2 2 2 2 3" xfId="10617"/>
    <cellStyle name="20% - akcent 5 2 3 2 2 2 3" xfId="10618"/>
    <cellStyle name="20% - akcent 5 2 3 2 2 2 3 2" xfId="10619"/>
    <cellStyle name="20% - akcent 5 2 3 2 2 2 3 2 2" xfId="10620"/>
    <cellStyle name="20% - akcent 5 2 3 2 2 2 3 3" xfId="10621"/>
    <cellStyle name="20% - akcent 5 2 3 2 2 2 4" xfId="10622"/>
    <cellStyle name="20% - akcent 5 2 3 2 2 2 4 2" xfId="10623"/>
    <cellStyle name="20% - akcent 5 2 3 2 2 2 4 2 2" xfId="10624"/>
    <cellStyle name="20% - akcent 5 2 3 2 2 2 4 3" xfId="10625"/>
    <cellStyle name="20% - akcent 5 2 3 2 2 2 5" xfId="10626"/>
    <cellStyle name="20% - akcent 5 2 3 2 2 2 5 2" xfId="10627"/>
    <cellStyle name="20% - akcent 5 2 3 2 2 2 6" xfId="10628"/>
    <cellStyle name="20% - akcent 5 2 3 2 2 3" xfId="10629"/>
    <cellStyle name="20% - akcent 5 2 3 2 2 3 2" xfId="10630"/>
    <cellStyle name="20% - akcent 5 2 3 2 2 3 2 2" xfId="10631"/>
    <cellStyle name="20% - akcent 5 2 3 2 2 3 3" xfId="10632"/>
    <cellStyle name="20% - akcent 5 2 3 2 2 4" xfId="10633"/>
    <cellStyle name="20% - akcent 5 2 3 2 2 4 2" xfId="10634"/>
    <cellStyle name="20% - akcent 5 2 3 2 2 4 2 2" xfId="10635"/>
    <cellStyle name="20% - akcent 5 2 3 2 2 4 3" xfId="10636"/>
    <cellStyle name="20% - akcent 5 2 3 2 2 5" xfId="10637"/>
    <cellStyle name="20% - akcent 5 2 3 2 2 5 2" xfId="10638"/>
    <cellStyle name="20% - akcent 5 2 3 2 2 5 2 2" xfId="10639"/>
    <cellStyle name="20% - akcent 5 2 3 2 2 5 3" xfId="10640"/>
    <cellStyle name="20% - akcent 5 2 3 2 2 6" xfId="10641"/>
    <cellStyle name="20% - akcent 5 2 3 2 2 6 2" xfId="10642"/>
    <cellStyle name="20% - akcent 5 2 3 2 2 7" xfId="10643"/>
    <cellStyle name="20% - akcent 5 2 3 2 3" xfId="10644"/>
    <cellStyle name="20% - akcent 5 2 3 2 3 2" xfId="10645"/>
    <cellStyle name="20% - akcent 5 2 3 2 3 2 2" xfId="10646"/>
    <cellStyle name="20% - akcent 5 2 3 2 3 2 2 2" xfId="10647"/>
    <cellStyle name="20% - akcent 5 2 3 2 3 2 3" xfId="10648"/>
    <cellStyle name="20% - akcent 5 2 3 2 3 3" xfId="10649"/>
    <cellStyle name="20% - akcent 5 2 3 2 3 3 2" xfId="10650"/>
    <cellStyle name="20% - akcent 5 2 3 2 3 3 2 2" xfId="10651"/>
    <cellStyle name="20% - akcent 5 2 3 2 3 3 3" xfId="10652"/>
    <cellStyle name="20% - akcent 5 2 3 2 3 4" xfId="10653"/>
    <cellStyle name="20% - akcent 5 2 3 2 3 4 2" xfId="10654"/>
    <cellStyle name="20% - akcent 5 2 3 2 3 4 2 2" xfId="10655"/>
    <cellStyle name="20% - akcent 5 2 3 2 3 4 3" xfId="10656"/>
    <cellStyle name="20% - akcent 5 2 3 2 3 5" xfId="10657"/>
    <cellStyle name="20% - akcent 5 2 3 2 3 5 2" xfId="10658"/>
    <cellStyle name="20% - akcent 5 2 3 2 3 6" xfId="10659"/>
    <cellStyle name="20% - akcent 5 2 3 2 4" xfId="10660"/>
    <cellStyle name="20% - akcent 5 2 3 2 4 2" xfId="10661"/>
    <cellStyle name="20% - akcent 5 2 3 2 4 2 2" xfId="10662"/>
    <cellStyle name="20% - akcent 5 2 3 2 4 2 2 2" xfId="10663"/>
    <cellStyle name="20% - akcent 5 2 3 2 4 2 3" xfId="10664"/>
    <cellStyle name="20% - akcent 5 2 3 2 4 3" xfId="10665"/>
    <cellStyle name="20% - akcent 5 2 3 2 4 3 2" xfId="10666"/>
    <cellStyle name="20% - akcent 5 2 3 2 4 3 2 2" xfId="10667"/>
    <cellStyle name="20% - akcent 5 2 3 2 4 3 3" xfId="10668"/>
    <cellStyle name="20% - akcent 5 2 3 2 4 4" xfId="10669"/>
    <cellStyle name="20% - akcent 5 2 3 2 4 4 2" xfId="10670"/>
    <cellStyle name="20% - akcent 5 2 3 2 4 4 2 2" xfId="10671"/>
    <cellStyle name="20% - akcent 5 2 3 2 4 4 3" xfId="10672"/>
    <cellStyle name="20% - akcent 5 2 3 2 4 5" xfId="10673"/>
    <cellStyle name="20% - akcent 5 2 3 2 4 5 2" xfId="10674"/>
    <cellStyle name="20% - akcent 5 2 3 2 4 6" xfId="10675"/>
    <cellStyle name="20% - akcent 5 2 3 2 5" xfId="10676"/>
    <cellStyle name="20% - akcent 5 2 3 2 5 2" xfId="10677"/>
    <cellStyle name="20% - akcent 5 2 3 2 5 2 2" xfId="10678"/>
    <cellStyle name="20% - akcent 5 2 3 2 5 2 2 2" xfId="10679"/>
    <cellStyle name="20% - akcent 5 2 3 2 5 2 3" xfId="10680"/>
    <cellStyle name="20% - akcent 5 2 3 2 5 3" xfId="10681"/>
    <cellStyle name="20% - akcent 5 2 3 2 5 3 2" xfId="10682"/>
    <cellStyle name="20% - akcent 5 2 3 2 5 3 2 2" xfId="10683"/>
    <cellStyle name="20% - akcent 5 2 3 2 5 3 3" xfId="10684"/>
    <cellStyle name="20% - akcent 5 2 3 2 5 4" xfId="10685"/>
    <cellStyle name="20% - akcent 5 2 3 2 5 4 2" xfId="10686"/>
    <cellStyle name="20% - akcent 5 2 3 2 5 4 2 2" xfId="10687"/>
    <cellStyle name="20% - akcent 5 2 3 2 5 4 3" xfId="10688"/>
    <cellStyle name="20% - akcent 5 2 3 2 5 5" xfId="10689"/>
    <cellStyle name="20% - akcent 5 2 3 2 5 5 2" xfId="10690"/>
    <cellStyle name="20% - akcent 5 2 3 2 5 6" xfId="10691"/>
    <cellStyle name="20% - akcent 5 2 3 3" xfId="10692"/>
    <cellStyle name="20% - akcent 5 2 3 3 2" xfId="10693"/>
    <cellStyle name="20% - akcent 5 2 3 3 2 2" xfId="10694"/>
    <cellStyle name="20% - akcent 5 2 3 3 2 2 2" xfId="10695"/>
    <cellStyle name="20% - akcent 5 2 3 3 2 2 2 2" xfId="10696"/>
    <cellStyle name="20% - akcent 5 2 3 3 2 2 3" xfId="10697"/>
    <cellStyle name="20% - akcent 5 2 3 3 2 3" xfId="10698"/>
    <cellStyle name="20% - akcent 5 2 3 3 2 3 2" xfId="10699"/>
    <cellStyle name="20% - akcent 5 2 3 3 2 3 2 2" xfId="10700"/>
    <cellStyle name="20% - akcent 5 2 3 3 2 3 3" xfId="10701"/>
    <cellStyle name="20% - akcent 5 2 3 3 2 4" xfId="10702"/>
    <cellStyle name="20% - akcent 5 2 3 3 2 4 2" xfId="10703"/>
    <cellStyle name="20% - akcent 5 2 3 3 2 4 2 2" xfId="10704"/>
    <cellStyle name="20% - akcent 5 2 3 3 2 4 3" xfId="10705"/>
    <cellStyle name="20% - akcent 5 2 3 3 2 5" xfId="10706"/>
    <cellStyle name="20% - akcent 5 2 3 3 2 5 2" xfId="10707"/>
    <cellStyle name="20% - akcent 5 2 3 3 2 6" xfId="10708"/>
    <cellStyle name="20% - akcent 5 2 3 3 3" xfId="10709"/>
    <cellStyle name="20% - akcent 5 2 3 3 3 2" xfId="10710"/>
    <cellStyle name="20% - akcent 5 2 3 3 3 2 2" xfId="10711"/>
    <cellStyle name="20% - akcent 5 2 3 3 3 3" xfId="10712"/>
    <cellStyle name="20% - akcent 5 2 3 3 4" xfId="10713"/>
    <cellStyle name="20% - akcent 5 2 3 3 4 2" xfId="10714"/>
    <cellStyle name="20% - akcent 5 2 3 3 4 2 2" xfId="10715"/>
    <cellStyle name="20% - akcent 5 2 3 3 4 3" xfId="10716"/>
    <cellStyle name="20% - akcent 5 2 3 3 5" xfId="10717"/>
    <cellStyle name="20% - akcent 5 2 3 3 5 2" xfId="10718"/>
    <cellStyle name="20% - akcent 5 2 3 3 5 2 2" xfId="10719"/>
    <cellStyle name="20% - akcent 5 2 3 3 5 3" xfId="10720"/>
    <cellStyle name="20% - akcent 5 2 3 3 6" xfId="10721"/>
    <cellStyle name="20% - akcent 5 2 3 3 6 2" xfId="10722"/>
    <cellStyle name="20% - akcent 5 2 3 3 7" xfId="10723"/>
    <cellStyle name="20% - akcent 5 2 3 4" xfId="10724"/>
    <cellStyle name="20% - akcent 5 2 3 4 2" xfId="10725"/>
    <cellStyle name="20% - akcent 5 2 3 4 2 2" xfId="10726"/>
    <cellStyle name="20% - akcent 5 2 3 4 2 2 2" xfId="10727"/>
    <cellStyle name="20% - akcent 5 2 3 4 2 3" xfId="10728"/>
    <cellStyle name="20% - akcent 5 2 3 4 3" xfId="10729"/>
    <cellStyle name="20% - akcent 5 2 3 4 3 2" xfId="10730"/>
    <cellStyle name="20% - akcent 5 2 3 4 3 2 2" xfId="10731"/>
    <cellStyle name="20% - akcent 5 2 3 4 3 3" xfId="10732"/>
    <cellStyle name="20% - akcent 5 2 3 4 4" xfId="10733"/>
    <cellStyle name="20% - akcent 5 2 3 4 4 2" xfId="10734"/>
    <cellStyle name="20% - akcent 5 2 3 4 4 2 2" xfId="10735"/>
    <cellStyle name="20% - akcent 5 2 3 4 4 3" xfId="10736"/>
    <cellStyle name="20% - akcent 5 2 3 4 5" xfId="10737"/>
    <cellStyle name="20% - akcent 5 2 3 4 5 2" xfId="10738"/>
    <cellStyle name="20% - akcent 5 2 3 4 6" xfId="10739"/>
    <cellStyle name="20% - akcent 5 2 3 5" xfId="10740"/>
    <cellStyle name="20% - akcent 5 2 3 5 2" xfId="10741"/>
    <cellStyle name="20% - akcent 5 2 3 5 2 2" xfId="10742"/>
    <cellStyle name="20% - akcent 5 2 3 5 2 2 2" xfId="10743"/>
    <cellStyle name="20% - akcent 5 2 3 5 2 3" xfId="10744"/>
    <cellStyle name="20% - akcent 5 2 3 5 3" xfId="10745"/>
    <cellStyle name="20% - akcent 5 2 3 5 3 2" xfId="10746"/>
    <cellStyle name="20% - akcent 5 2 3 5 3 2 2" xfId="10747"/>
    <cellStyle name="20% - akcent 5 2 3 5 3 3" xfId="10748"/>
    <cellStyle name="20% - akcent 5 2 3 5 4" xfId="10749"/>
    <cellStyle name="20% - akcent 5 2 3 5 4 2" xfId="10750"/>
    <cellStyle name="20% - akcent 5 2 3 5 4 2 2" xfId="10751"/>
    <cellStyle name="20% - akcent 5 2 3 5 4 3" xfId="10752"/>
    <cellStyle name="20% - akcent 5 2 3 5 5" xfId="10753"/>
    <cellStyle name="20% - akcent 5 2 3 5 5 2" xfId="10754"/>
    <cellStyle name="20% - akcent 5 2 3 5 6" xfId="10755"/>
    <cellStyle name="20% - akcent 5 2 3 6" xfId="10756"/>
    <cellStyle name="20% - akcent 5 2 3 6 2" xfId="10757"/>
    <cellStyle name="20% - akcent 5 2 3 6 2 2" xfId="10758"/>
    <cellStyle name="20% - akcent 5 2 3 6 2 2 2" xfId="10759"/>
    <cellStyle name="20% - akcent 5 2 3 6 2 3" xfId="10760"/>
    <cellStyle name="20% - akcent 5 2 3 6 3" xfId="10761"/>
    <cellStyle name="20% - akcent 5 2 3 6 3 2" xfId="10762"/>
    <cellStyle name="20% - akcent 5 2 3 6 3 2 2" xfId="10763"/>
    <cellStyle name="20% - akcent 5 2 3 6 3 3" xfId="10764"/>
    <cellStyle name="20% - akcent 5 2 3 6 4" xfId="10765"/>
    <cellStyle name="20% - akcent 5 2 3 6 4 2" xfId="10766"/>
    <cellStyle name="20% - akcent 5 2 3 6 4 2 2" xfId="10767"/>
    <cellStyle name="20% - akcent 5 2 3 6 4 3" xfId="10768"/>
    <cellStyle name="20% - akcent 5 2 3 6 5" xfId="10769"/>
    <cellStyle name="20% - akcent 5 2 3 6 5 2" xfId="10770"/>
    <cellStyle name="20% - akcent 5 2 3 6 6" xfId="10771"/>
    <cellStyle name="20% - akcent 5 2 3_2011'05 Raport PGE_DO-CO2" xfId="10772"/>
    <cellStyle name="20% - akcent 5 2 4" xfId="10773"/>
    <cellStyle name="20% - akcent 5 2 4 2" xfId="10774"/>
    <cellStyle name="20% - akcent 5 2 4 2 2" xfId="10775"/>
    <cellStyle name="20% - akcent 5 2 4 2 2 2" xfId="10776"/>
    <cellStyle name="20% - akcent 5 2 4 2 2 2 2" xfId="10777"/>
    <cellStyle name="20% - akcent 5 2 4 2 2 2 2 2" xfId="10778"/>
    <cellStyle name="20% - akcent 5 2 4 2 2 2 2 2 2" xfId="10779"/>
    <cellStyle name="20% - akcent 5 2 4 2 2 2 2 3" xfId="10780"/>
    <cellStyle name="20% - akcent 5 2 4 2 2 2 3" xfId="10781"/>
    <cellStyle name="20% - akcent 5 2 4 2 2 2 3 2" xfId="10782"/>
    <cellStyle name="20% - akcent 5 2 4 2 2 2 3 2 2" xfId="10783"/>
    <cellStyle name="20% - akcent 5 2 4 2 2 2 3 3" xfId="10784"/>
    <cellStyle name="20% - akcent 5 2 4 2 2 2 4" xfId="10785"/>
    <cellStyle name="20% - akcent 5 2 4 2 2 2 4 2" xfId="10786"/>
    <cellStyle name="20% - akcent 5 2 4 2 2 2 4 2 2" xfId="10787"/>
    <cellStyle name="20% - akcent 5 2 4 2 2 2 4 3" xfId="10788"/>
    <cellStyle name="20% - akcent 5 2 4 2 2 2 5" xfId="10789"/>
    <cellStyle name="20% - akcent 5 2 4 2 2 2 5 2" xfId="10790"/>
    <cellStyle name="20% - akcent 5 2 4 2 2 2 6" xfId="10791"/>
    <cellStyle name="20% - akcent 5 2 4 2 2 3" xfId="10792"/>
    <cellStyle name="20% - akcent 5 2 4 2 2 3 2" xfId="10793"/>
    <cellStyle name="20% - akcent 5 2 4 2 2 3 2 2" xfId="10794"/>
    <cellStyle name="20% - akcent 5 2 4 2 2 3 3" xfId="10795"/>
    <cellStyle name="20% - akcent 5 2 4 2 2 4" xfId="10796"/>
    <cellStyle name="20% - akcent 5 2 4 2 2 4 2" xfId="10797"/>
    <cellStyle name="20% - akcent 5 2 4 2 2 4 2 2" xfId="10798"/>
    <cellStyle name="20% - akcent 5 2 4 2 2 4 3" xfId="10799"/>
    <cellStyle name="20% - akcent 5 2 4 2 2 5" xfId="10800"/>
    <cellStyle name="20% - akcent 5 2 4 2 2 5 2" xfId="10801"/>
    <cellStyle name="20% - akcent 5 2 4 2 2 5 2 2" xfId="10802"/>
    <cellStyle name="20% - akcent 5 2 4 2 2 5 3" xfId="10803"/>
    <cellStyle name="20% - akcent 5 2 4 2 2 6" xfId="10804"/>
    <cellStyle name="20% - akcent 5 2 4 2 2 6 2" xfId="10805"/>
    <cellStyle name="20% - akcent 5 2 4 2 2 7" xfId="10806"/>
    <cellStyle name="20% - akcent 5 2 4 2 3" xfId="10807"/>
    <cellStyle name="20% - akcent 5 2 4 2 3 2" xfId="10808"/>
    <cellStyle name="20% - akcent 5 2 4 2 3 2 2" xfId="10809"/>
    <cellStyle name="20% - akcent 5 2 4 2 3 2 2 2" xfId="10810"/>
    <cellStyle name="20% - akcent 5 2 4 2 3 2 3" xfId="10811"/>
    <cellStyle name="20% - akcent 5 2 4 2 3 3" xfId="10812"/>
    <cellStyle name="20% - akcent 5 2 4 2 3 3 2" xfId="10813"/>
    <cellStyle name="20% - akcent 5 2 4 2 3 3 2 2" xfId="10814"/>
    <cellStyle name="20% - akcent 5 2 4 2 3 3 3" xfId="10815"/>
    <cellStyle name="20% - akcent 5 2 4 2 3 4" xfId="10816"/>
    <cellStyle name="20% - akcent 5 2 4 2 3 4 2" xfId="10817"/>
    <cellStyle name="20% - akcent 5 2 4 2 3 4 2 2" xfId="10818"/>
    <cellStyle name="20% - akcent 5 2 4 2 3 4 3" xfId="10819"/>
    <cellStyle name="20% - akcent 5 2 4 2 3 5" xfId="10820"/>
    <cellStyle name="20% - akcent 5 2 4 2 3 5 2" xfId="10821"/>
    <cellStyle name="20% - akcent 5 2 4 2 3 6" xfId="10822"/>
    <cellStyle name="20% - akcent 5 2 4 2 4" xfId="10823"/>
    <cellStyle name="20% - akcent 5 2 4 2 4 2" xfId="10824"/>
    <cellStyle name="20% - akcent 5 2 4 2 4 2 2" xfId="10825"/>
    <cellStyle name="20% - akcent 5 2 4 2 4 2 2 2" xfId="10826"/>
    <cellStyle name="20% - akcent 5 2 4 2 4 2 3" xfId="10827"/>
    <cellStyle name="20% - akcent 5 2 4 2 4 3" xfId="10828"/>
    <cellStyle name="20% - akcent 5 2 4 2 4 3 2" xfId="10829"/>
    <cellStyle name="20% - akcent 5 2 4 2 4 3 2 2" xfId="10830"/>
    <cellStyle name="20% - akcent 5 2 4 2 4 3 3" xfId="10831"/>
    <cellStyle name="20% - akcent 5 2 4 2 4 4" xfId="10832"/>
    <cellStyle name="20% - akcent 5 2 4 2 4 4 2" xfId="10833"/>
    <cellStyle name="20% - akcent 5 2 4 2 4 4 2 2" xfId="10834"/>
    <cellStyle name="20% - akcent 5 2 4 2 4 4 3" xfId="10835"/>
    <cellStyle name="20% - akcent 5 2 4 2 4 5" xfId="10836"/>
    <cellStyle name="20% - akcent 5 2 4 2 4 5 2" xfId="10837"/>
    <cellStyle name="20% - akcent 5 2 4 2 4 6" xfId="10838"/>
    <cellStyle name="20% - akcent 5 2 4 2 5" xfId="10839"/>
    <cellStyle name="20% - akcent 5 2 4 2 5 2" xfId="10840"/>
    <cellStyle name="20% - akcent 5 2 4 2 5 2 2" xfId="10841"/>
    <cellStyle name="20% - akcent 5 2 4 2 5 3" xfId="10842"/>
    <cellStyle name="20% - akcent 5 2 4 2 6" xfId="10843"/>
    <cellStyle name="20% - akcent 5 2 4 2 6 2" xfId="10844"/>
    <cellStyle name="20% - akcent 5 2 4 2 6 2 2" xfId="10845"/>
    <cellStyle name="20% - akcent 5 2 4 2 6 3" xfId="10846"/>
    <cellStyle name="20% - akcent 5 2 4 2 7" xfId="10847"/>
    <cellStyle name="20% - akcent 5 2 4 2 7 2" xfId="10848"/>
    <cellStyle name="20% - akcent 5 2 4 2 7 2 2" xfId="10849"/>
    <cellStyle name="20% - akcent 5 2 4 2 7 3" xfId="10850"/>
    <cellStyle name="20% - akcent 5 2 4 2 8" xfId="10851"/>
    <cellStyle name="20% - akcent 5 2 4 2 8 2" xfId="10852"/>
    <cellStyle name="20% - akcent 5 2 4 2 9" xfId="10853"/>
    <cellStyle name="20% - akcent 5 2 4 3" xfId="10854"/>
    <cellStyle name="20% - akcent 5 2 4 3 2" xfId="10855"/>
    <cellStyle name="20% - akcent 5 2 4 3 2 2" xfId="10856"/>
    <cellStyle name="20% - akcent 5 2 4 3 2 2 2" xfId="10857"/>
    <cellStyle name="20% - akcent 5 2 4 3 2 2 2 2" xfId="10858"/>
    <cellStyle name="20% - akcent 5 2 4 3 2 2 3" xfId="10859"/>
    <cellStyle name="20% - akcent 5 2 4 3 2 3" xfId="10860"/>
    <cellStyle name="20% - akcent 5 2 4 3 2 3 2" xfId="10861"/>
    <cellStyle name="20% - akcent 5 2 4 3 2 3 2 2" xfId="10862"/>
    <cellStyle name="20% - akcent 5 2 4 3 2 3 3" xfId="10863"/>
    <cellStyle name="20% - akcent 5 2 4 3 2 4" xfId="10864"/>
    <cellStyle name="20% - akcent 5 2 4 3 2 4 2" xfId="10865"/>
    <cellStyle name="20% - akcent 5 2 4 3 2 4 2 2" xfId="10866"/>
    <cellStyle name="20% - akcent 5 2 4 3 2 4 3" xfId="10867"/>
    <cellStyle name="20% - akcent 5 2 4 3 2 5" xfId="10868"/>
    <cellStyle name="20% - akcent 5 2 4 3 2 5 2" xfId="10869"/>
    <cellStyle name="20% - akcent 5 2 4 3 2 6" xfId="10870"/>
    <cellStyle name="20% - akcent 5 2 4 3 3" xfId="10871"/>
    <cellStyle name="20% - akcent 5 2 4 3 3 2" xfId="10872"/>
    <cellStyle name="20% - akcent 5 2 4 3 3 2 2" xfId="10873"/>
    <cellStyle name="20% - akcent 5 2 4 3 3 3" xfId="10874"/>
    <cellStyle name="20% - akcent 5 2 4 3 4" xfId="10875"/>
    <cellStyle name="20% - akcent 5 2 4 3 4 2" xfId="10876"/>
    <cellStyle name="20% - akcent 5 2 4 3 4 2 2" xfId="10877"/>
    <cellStyle name="20% - akcent 5 2 4 3 4 3" xfId="10878"/>
    <cellStyle name="20% - akcent 5 2 4 3 5" xfId="10879"/>
    <cellStyle name="20% - akcent 5 2 4 3 5 2" xfId="10880"/>
    <cellStyle name="20% - akcent 5 2 4 3 5 2 2" xfId="10881"/>
    <cellStyle name="20% - akcent 5 2 4 3 5 3" xfId="10882"/>
    <cellStyle name="20% - akcent 5 2 4 3 6" xfId="10883"/>
    <cellStyle name="20% - akcent 5 2 4 3 6 2" xfId="10884"/>
    <cellStyle name="20% - akcent 5 2 4 3 7" xfId="10885"/>
    <cellStyle name="20% - akcent 5 2 4 4" xfId="10886"/>
    <cellStyle name="20% - akcent 5 2 4 4 2" xfId="10887"/>
    <cellStyle name="20% - akcent 5 2 4 4 2 2" xfId="10888"/>
    <cellStyle name="20% - akcent 5 2 4 4 2 2 2" xfId="10889"/>
    <cellStyle name="20% - akcent 5 2 4 4 2 3" xfId="10890"/>
    <cellStyle name="20% - akcent 5 2 4 4 3" xfId="10891"/>
    <cellStyle name="20% - akcent 5 2 4 4 3 2" xfId="10892"/>
    <cellStyle name="20% - akcent 5 2 4 4 3 2 2" xfId="10893"/>
    <cellStyle name="20% - akcent 5 2 4 4 3 3" xfId="10894"/>
    <cellStyle name="20% - akcent 5 2 4 4 4" xfId="10895"/>
    <cellStyle name="20% - akcent 5 2 4 4 4 2" xfId="10896"/>
    <cellStyle name="20% - akcent 5 2 4 4 4 2 2" xfId="10897"/>
    <cellStyle name="20% - akcent 5 2 4 4 4 3" xfId="10898"/>
    <cellStyle name="20% - akcent 5 2 4 4 5" xfId="10899"/>
    <cellStyle name="20% - akcent 5 2 4 4 5 2" xfId="10900"/>
    <cellStyle name="20% - akcent 5 2 4 4 6" xfId="10901"/>
    <cellStyle name="20% - akcent 5 2 4 5" xfId="10902"/>
    <cellStyle name="20% - akcent 5 2 4 5 2" xfId="10903"/>
    <cellStyle name="20% - akcent 5 2 4 5 2 2" xfId="10904"/>
    <cellStyle name="20% - akcent 5 2 4 5 2 2 2" xfId="10905"/>
    <cellStyle name="20% - akcent 5 2 4 5 2 3" xfId="10906"/>
    <cellStyle name="20% - akcent 5 2 4 5 3" xfId="10907"/>
    <cellStyle name="20% - akcent 5 2 4 5 3 2" xfId="10908"/>
    <cellStyle name="20% - akcent 5 2 4 5 3 2 2" xfId="10909"/>
    <cellStyle name="20% - akcent 5 2 4 5 3 3" xfId="10910"/>
    <cellStyle name="20% - akcent 5 2 4 5 4" xfId="10911"/>
    <cellStyle name="20% - akcent 5 2 4 5 4 2" xfId="10912"/>
    <cellStyle name="20% - akcent 5 2 4 5 4 2 2" xfId="10913"/>
    <cellStyle name="20% - akcent 5 2 4 5 4 3" xfId="10914"/>
    <cellStyle name="20% - akcent 5 2 4 5 5" xfId="10915"/>
    <cellStyle name="20% - akcent 5 2 4 5 5 2" xfId="10916"/>
    <cellStyle name="20% - akcent 5 2 4 5 6" xfId="10917"/>
    <cellStyle name="20% - akcent 5 2 4 6" xfId="10918"/>
    <cellStyle name="20% - akcent 5 2 4 6 2" xfId="10919"/>
    <cellStyle name="20% - akcent 5 2 4 6 2 2" xfId="10920"/>
    <cellStyle name="20% - akcent 5 2 4 6 2 2 2" xfId="10921"/>
    <cellStyle name="20% - akcent 5 2 4 6 2 3" xfId="10922"/>
    <cellStyle name="20% - akcent 5 2 4 6 3" xfId="10923"/>
    <cellStyle name="20% - akcent 5 2 4 6 3 2" xfId="10924"/>
    <cellStyle name="20% - akcent 5 2 4 6 3 2 2" xfId="10925"/>
    <cellStyle name="20% - akcent 5 2 4 6 3 3" xfId="10926"/>
    <cellStyle name="20% - akcent 5 2 4 6 4" xfId="10927"/>
    <cellStyle name="20% - akcent 5 2 4 6 4 2" xfId="10928"/>
    <cellStyle name="20% - akcent 5 2 4 6 4 2 2" xfId="10929"/>
    <cellStyle name="20% - akcent 5 2 4 6 4 3" xfId="10930"/>
    <cellStyle name="20% - akcent 5 2 4 6 5" xfId="10931"/>
    <cellStyle name="20% - akcent 5 2 4 6 5 2" xfId="10932"/>
    <cellStyle name="20% - akcent 5 2 4 6 6" xfId="10933"/>
    <cellStyle name="20% - akcent 5 2 5" xfId="10934"/>
    <cellStyle name="20% - akcent 5 2 6" xfId="10935"/>
    <cellStyle name="20% - akcent 5 2 7" xfId="10936"/>
    <cellStyle name="20% - akcent 5 2 8" xfId="10937"/>
    <cellStyle name="20% - akcent 5 2 9" xfId="10938"/>
    <cellStyle name="20% - akcent 5 2_2011'05 Raport PGE_DO-CO2" xfId="10939"/>
    <cellStyle name="20% - akcent 5 3" xfId="10940"/>
    <cellStyle name="20% - akcent 5 3 10" xfId="10941"/>
    <cellStyle name="20% - akcent 5 3 10 2" xfId="10942"/>
    <cellStyle name="20% - akcent 5 3 10 2 2" xfId="10943"/>
    <cellStyle name="20% - akcent 5 3 10 2 2 2" xfId="10944"/>
    <cellStyle name="20% - akcent 5 3 10 2 3" xfId="10945"/>
    <cellStyle name="20% - akcent 5 3 10 3" xfId="10946"/>
    <cellStyle name="20% - akcent 5 3 10 3 2" xfId="10947"/>
    <cellStyle name="20% - akcent 5 3 10 3 2 2" xfId="10948"/>
    <cellStyle name="20% - akcent 5 3 10 3 3" xfId="10949"/>
    <cellStyle name="20% - akcent 5 3 10 4" xfId="10950"/>
    <cellStyle name="20% - akcent 5 3 10 4 2" xfId="10951"/>
    <cellStyle name="20% - akcent 5 3 10 4 2 2" xfId="10952"/>
    <cellStyle name="20% - akcent 5 3 10 4 3" xfId="10953"/>
    <cellStyle name="20% - akcent 5 3 10 5" xfId="10954"/>
    <cellStyle name="20% - akcent 5 3 10 5 2" xfId="10955"/>
    <cellStyle name="20% - akcent 5 3 10 6" xfId="10956"/>
    <cellStyle name="20% - akcent 5 3 2" xfId="10957"/>
    <cellStyle name="20% - akcent 5 3 2 2" xfId="10958"/>
    <cellStyle name="20% - akcent 5 3 2 2 10" xfId="10959"/>
    <cellStyle name="20% - akcent 5 3 2 2 2" xfId="10960"/>
    <cellStyle name="20% - akcent 5 3 2 2 2 2" xfId="10961"/>
    <cellStyle name="20% - akcent 5 3 2 2 2 2 2" xfId="10962"/>
    <cellStyle name="20% - akcent 5 3 2 2 2 2 2 2" xfId="10963"/>
    <cellStyle name="20% - akcent 5 3 2 2 2 2 2 2 2" xfId="10964"/>
    <cellStyle name="20% - akcent 5 3 2 2 2 2 2 2 2 2" xfId="10965"/>
    <cellStyle name="20% - akcent 5 3 2 2 2 2 2 2 3" xfId="10966"/>
    <cellStyle name="20% - akcent 5 3 2 2 2 2 2 3" xfId="10967"/>
    <cellStyle name="20% - akcent 5 3 2 2 2 2 2 3 2" xfId="10968"/>
    <cellStyle name="20% - akcent 5 3 2 2 2 2 2 3 2 2" xfId="10969"/>
    <cellStyle name="20% - akcent 5 3 2 2 2 2 2 3 3" xfId="10970"/>
    <cellStyle name="20% - akcent 5 3 2 2 2 2 2 4" xfId="10971"/>
    <cellStyle name="20% - akcent 5 3 2 2 2 2 2 4 2" xfId="10972"/>
    <cellStyle name="20% - akcent 5 3 2 2 2 2 2 4 2 2" xfId="10973"/>
    <cellStyle name="20% - akcent 5 3 2 2 2 2 2 4 3" xfId="10974"/>
    <cellStyle name="20% - akcent 5 3 2 2 2 2 2 5" xfId="10975"/>
    <cellStyle name="20% - akcent 5 3 2 2 2 2 2 5 2" xfId="10976"/>
    <cellStyle name="20% - akcent 5 3 2 2 2 2 2 6" xfId="10977"/>
    <cellStyle name="20% - akcent 5 3 2 2 2 2 3" xfId="10978"/>
    <cellStyle name="20% - akcent 5 3 2 2 2 2 3 2" xfId="10979"/>
    <cellStyle name="20% - akcent 5 3 2 2 2 2 3 2 2" xfId="10980"/>
    <cellStyle name="20% - akcent 5 3 2 2 2 2 3 3" xfId="10981"/>
    <cellStyle name="20% - akcent 5 3 2 2 2 2 4" xfId="10982"/>
    <cellStyle name="20% - akcent 5 3 2 2 2 2 4 2" xfId="10983"/>
    <cellStyle name="20% - akcent 5 3 2 2 2 2 4 2 2" xfId="10984"/>
    <cellStyle name="20% - akcent 5 3 2 2 2 2 4 3" xfId="10985"/>
    <cellStyle name="20% - akcent 5 3 2 2 2 2 5" xfId="10986"/>
    <cellStyle name="20% - akcent 5 3 2 2 2 2 5 2" xfId="10987"/>
    <cellStyle name="20% - akcent 5 3 2 2 2 2 5 2 2" xfId="10988"/>
    <cellStyle name="20% - akcent 5 3 2 2 2 2 5 3" xfId="10989"/>
    <cellStyle name="20% - akcent 5 3 2 2 2 2 6" xfId="10990"/>
    <cellStyle name="20% - akcent 5 3 2 2 2 2 6 2" xfId="10991"/>
    <cellStyle name="20% - akcent 5 3 2 2 2 2 7" xfId="10992"/>
    <cellStyle name="20% - akcent 5 3 2 2 2 3" xfId="10993"/>
    <cellStyle name="20% - akcent 5 3 2 2 2 3 2" xfId="10994"/>
    <cellStyle name="20% - akcent 5 3 2 2 2 3 2 2" xfId="10995"/>
    <cellStyle name="20% - akcent 5 3 2 2 2 3 2 2 2" xfId="10996"/>
    <cellStyle name="20% - akcent 5 3 2 2 2 3 2 3" xfId="10997"/>
    <cellStyle name="20% - akcent 5 3 2 2 2 3 3" xfId="10998"/>
    <cellStyle name="20% - akcent 5 3 2 2 2 3 3 2" xfId="10999"/>
    <cellStyle name="20% - akcent 5 3 2 2 2 3 3 2 2" xfId="11000"/>
    <cellStyle name="20% - akcent 5 3 2 2 2 3 3 3" xfId="11001"/>
    <cellStyle name="20% - akcent 5 3 2 2 2 3 4" xfId="11002"/>
    <cellStyle name="20% - akcent 5 3 2 2 2 3 4 2" xfId="11003"/>
    <cellStyle name="20% - akcent 5 3 2 2 2 3 4 2 2" xfId="11004"/>
    <cellStyle name="20% - akcent 5 3 2 2 2 3 4 3" xfId="11005"/>
    <cellStyle name="20% - akcent 5 3 2 2 2 3 5" xfId="11006"/>
    <cellStyle name="20% - akcent 5 3 2 2 2 3 5 2" xfId="11007"/>
    <cellStyle name="20% - akcent 5 3 2 2 2 3 6" xfId="11008"/>
    <cellStyle name="20% - akcent 5 3 2 2 2 4" xfId="11009"/>
    <cellStyle name="20% - akcent 5 3 2 2 2 4 2" xfId="11010"/>
    <cellStyle name="20% - akcent 5 3 2 2 2 4 2 2" xfId="11011"/>
    <cellStyle name="20% - akcent 5 3 2 2 2 4 2 2 2" xfId="11012"/>
    <cellStyle name="20% - akcent 5 3 2 2 2 4 2 3" xfId="11013"/>
    <cellStyle name="20% - akcent 5 3 2 2 2 4 3" xfId="11014"/>
    <cellStyle name="20% - akcent 5 3 2 2 2 4 3 2" xfId="11015"/>
    <cellStyle name="20% - akcent 5 3 2 2 2 4 3 2 2" xfId="11016"/>
    <cellStyle name="20% - akcent 5 3 2 2 2 4 3 3" xfId="11017"/>
    <cellStyle name="20% - akcent 5 3 2 2 2 4 4" xfId="11018"/>
    <cellStyle name="20% - akcent 5 3 2 2 2 4 4 2" xfId="11019"/>
    <cellStyle name="20% - akcent 5 3 2 2 2 4 4 2 2" xfId="11020"/>
    <cellStyle name="20% - akcent 5 3 2 2 2 4 4 3" xfId="11021"/>
    <cellStyle name="20% - akcent 5 3 2 2 2 4 5" xfId="11022"/>
    <cellStyle name="20% - akcent 5 3 2 2 2 4 5 2" xfId="11023"/>
    <cellStyle name="20% - akcent 5 3 2 2 2 4 6" xfId="11024"/>
    <cellStyle name="20% - akcent 5 3 2 2 2 5" xfId="11025"/>
    <cellStyle name="20% - akcent 5 3 2 2 2 5 2" xfId="11026"/>
    <cellStyle name="20% - akcent 5 3 2 2 2 5 2 2" xfId="11027"/>
    <cellStyle name="20% - akcent 5 3 2 2 2 5 3" xfId="11028"/>
    <cellStyle name="20% - akcent 5 3 2 2 2 6" xfId="11029"/>
    <cellStyle name="20% - akcent 5 3 2 2 2 6 2" xfId="11030"/>
    <cellStyle name="20% - akcent 5 3 2 2 2 6 2 2" xfId="11031"/>
    <cellStyle name="20% - akcent 5 3 2 2 2 6 3" xfId="11032"/>
    <cellStyle name="20% - akcent 5 3 2 2 2 7" xfId="11033"/>
    <cellStyle name="20% - akcent 5 3 2 2 2 7 2" xfId="11034"/>
    <cellStyle name="20% - akcent 5 3 2 2 2 7 2 2" xfId="11035"/>
    <cellStyle name="20% - akcent 5 3 2 2 2 7 3" xfId="11036"/>
    <cellStyle name="20% - akcent 5 3 2 2 2 8" xfId="11037"/>
    <cellStyle name="20% - akcent 5 3 2 2 2 8 2" xfId="11038"/>
    <cellStyle name="20% - akcent 5 3 2 2 2 9" xfId="11039"/>
    <cellStyle name="20% - akcent 5 3 2 2 3" xfId="11040"/>
    <cellStyle name="20% - akcent 5 3 2 2 3 2" xfId="11041"/>
    <cellStyle name="20% - akcent 5 3 2 2 3 2 2" xfId="11042"/>
    <cellStyle name="20% - akcent 5 3 2 2 3 2 2 2" xfId="11043"/>
    <cellStyle name="20% - akcent 5 3 2 2 3 2 2 2 2" xfId="11044"/>
    <cellStyle name="20% - akcent 5 3 2 2 3 2 2 3" xfId="11045"/>
    <cellStyle name="20% - akcent 5 3 2 2 3 2 3" xfId="11046"/>
    <cellStyle name="20% - akcent 5 3 2 2 3 2 3 2" xfId="11047"/>
    <cellStyle name="20% - akcent 5 3 2 2 3 2 3 2 2" xfId="11048"/>
    <cellStyle name="20% - akcent 5 3 2 2 3 2 3 3" xfId="11049"/>
    <cellStyle name="20% - akcent 5 3 2 2 3 2 4" xfId="11050"/>
    <cellStyle name="20% - akcent 5 3 2 2 3 2 4 2" xfId="11051"/>
    <cellStyle name="20% - akcent 5 3 2 2 3 2 4 2 2" xfId="11052"/>
    <cellStyle name="20% - akcent 5 3 2 2 3 2 4 3" xfId="11053"/>
    <cellStyle name="20% - akcent 5 3 2 2 3 2 5" xfId="11054"/>
    <cellStyle name="20% - akcent 5 3 2 2 3 2 5 2" xfId="11055"/>
    <cellStyle name="20% - akcent 5 3 2 2 3 2 6" xfId="11056"/>
    <cellStyle name="20% - akcent 5 3 2 2 3 3" xfId="11057"/>
    <cellStyle name="20% - akcent 5 3 2 2 3 3 2" xfId="11058"/>
    <cellStyle name="20% - akcent 5 3 2 2 3 3 2 2" xfId="11059"/>
    <cellStyle name="20% - akcent 5 3 2 2 3 3 3" xfId="11060"/>
    <cellStyle name="20% - akcent 5 3 2 2 3 4" xfId="11061"/>
    <cellStyle name="20% - akcent 5 3 2 2 3 4 2" xfId="11062"/>
    <cellStyle name="20% - akcent 5 3 2 2 3 4 2 2" xfId="11063"/>
    <cellStyle name="20% - akcent 5 3 2 2 3 4 3" xfId="11064"/>
    <cellStyle name="20% - akcent 5 3 2 2 3 5" xfId="11065"/>
    <cellStyle name="20% - akcent 5 3 2 2 3 5 2" xfId="11066"/>
    <cellStyle name="20% - akcent 5 3 2 2 3 5 2 2" xfId="11067"/>
    <cellStyle name="20% - akcent 5 3 2 2 3 5 3" xfId="11068"/>
    <cellStyle name="20% - akcent 5 3 2 2 3 6" xfId="11069"/>
    <cellStyle name="20% - akcent 5 3 2 2 3 6 2" xfId="11070"/>
    <cellStyle name="20% - akcent 5 3 2 2 3 7" xfId="11071"/>
    <cellStyle name="20% - akcent 5 3 2 2 4" xfId="11072"/>
    <cellStyle name="20% - akcent 5 3 2 2 4 2" xfId="11073"/>
    <cellStyle name="20% - akcent 5 3 2 2 4 2 2" xfId="11074"/>
    <cellStyle name="20% - akcent 5 3 2 2 4 2 2 2" xfId="11075"/>
    <cellStyle name="20% - akcent 5 3 2 2 4 2 3" xfId="11076"/>
    <cellStyle name="20% - akcent 5 3 2 2 4 3" xfId="11077"/>
    <cellStyle name="20% - akcent 5 3 2 2 4 3 2" xfId="11078"/>
    <cellStyle name="20% - akcent 5 3 2 2 4 3 2 2" xfId="11079"/>
    <cellStyle name="20% - akcent 5 3 2 2 4 3 3" xfId="11080"/>
    <cellStyle name="20% - akcent 5 3 2 2 4 4" xfId="11081"/>
    <cellStyle name="20% - akcent 5 3 2 2 4 4 2" xfId="11082"/>
    <cellStyle name="20% - akcent 5 3 2 2 4 4 2 2" xfId="11083"/>
    <cellStyle name="20% - akcent 5 3 2 2 4 4 3" xfId="11084"/>
    <cellStyle name="20% - akcent 5 3 2 2 4 5" xfId="11085"/>
    <cellStyle name="20% - akcent 5 3 2 2 4 5 2" xfId="11086"/>
    <cellStyle name="20% - akcent 5 3 2 2 4 6" xfId="11087"/>
    <cellStyle name="20% - akcent 5 3 2 2 5" xfId="11088"/>
    <cellStyle name="20% - akcent 5 3 2 2 5 2" xfId="11089"/>
    <cellStyle name="20% - akcent 5 3 2 2 5 2 2" xfId="11090"/>
    <cellStyle name="20% - akcent 5 3 2 2 5 2 2 2" xfId="11091"/>
    <cellStyle name="20% - akcent 5 3 2 2 5 2 3" xfId="11092"/>
    <cellStyle name="20% - akcent 5 3 2 2 5 3" xfId="11093"/>
    <cellStyle name="20% - akcent 5 3 2 2 5 3 2" xfId="11094"/>
    <cellStyle name="20% - akcent 5 3 2 2 5 3 2 2" xfId="11095"/>
    <cellStyle name="20% - akcent 5 3 2 2 5 3 3" xfId="11096"/>
    <cellStyle name="20% - akcent 5 3 2 2 5 4" xfId="11097"/>
    <cellStyle name="20% - akcent 5 3 2 2 5 4 2" xfId="11098"/>
    <cellStyle name="20% - akcent 5 3 2 2 5 4 2 2" xfId="11099"/>
    <cellStyle name="20% - akcent 5 3 2 2 5 4 3" xfId="11100"/>
    <cellStyle name="20% - akcent 5 3 2 2 5 5" xfId="11101"/>
    <cellStyle name="20% - akcent 5 3 2 2 5 5 2" xfId="11102"/>
    <cellStyle name="20% - akcent 5 3 2 2 5 6" xfId="11103"/>
    <cellStyle name="20% - akcent 5 3 2 2 6" xfId="11104"/>
    <cellStyle name="20% - akcent 5 3 2 2 6 2" xfId="11105"/>
    <cellStyle name="20% - akcent 5 3 2 2 6 2 2" xfId="11106"/>
    <cellStyle name="20% - akcent 5 3 2 2 6 3" xfId="11107"/>
    <cellStyle name="20% - akcent 5 3 2 2 7" xfId="11108"/>
    <cellStyle name="20% - akcent 5 3 2 2 7 2" xfId="11109"/>
    <cellStyle name="20% - akcent 5 3 2 2 7 2 2" xfId="11110"/>
    <cellStyle name="20% - akcent 5 3 2 2 7 3" xfId="11111"/>
    <cellStyle name="20% - akcent 5 3 2 2 8" xfId="11112"/>
    <cellStyle name="20% - akcent 5 3 2 2 8 2" xfId="11113"/>
    <cellStyle name="20% - akcent 5 3 2 2 8 2 2" xfId="11114"/>
    <cellStyle name="20% - akcent 5 3 2 2 8 3" xfId="11115"/>
    <cellStyle name="20% - akcent 5 3 2 2 9" xfId="11116"/>
    <cellStyle name="20% - akcent 5 3 2 2 9 2" xfId="11117"/>
    <cellStyle name="20% - akcent 5 3 2 3" xfId="11118"/>
    <cellStyle name="20% - akcent 5 3 2 3 2" xfId="11119"/>
    <cellStyle name="20% - akcent 5 3 2 3 2 2" xfId="11120"/>
    <cellStyle name="20% - akcent 5 3 2 3 2 2 2" xfId="11121"/>
    <cellStyle name="20% - akcent 5 3 2 3 2 2 2 2" xfId="11122"/>
    <cellStyle name="20% - akcent 5 3 2 3 2 2 2 2 2" xfId="11123"/>
    <cellStyle name="20% - akcent 5 3 2 3 2 2 2 3" xfId="11124"/>
    <cellStyle name="20% - akcent 5 3 2 3 2 2 3" xfId="11125"/>
    <cellStyle name="20% - akcent 5 3 2 3 2 2 3 2" xfId="11126"/>
    <cellStyle name="20% - akcent 5 3 2 3 2 2 3 2 2" xfId="11127"/>
    <cellStyle name="20% - akcent 5 3 2 3 2 2 3 3" xfId="11128"/>
    <cellStyle name="20% - akcent 5 3 2 3 2 2 4" xfId="11129"/>
    <cellStyle name="20% - akcent 5 3 2 3 2 2 4 2" xfId="11130"/>
    <cellStyle name="20% - akcent 5 3 2 3 2 2 4 2 2" xfId="11131"/>
    <cellStyle name="20% - akcent 5 3 2 3 2 2 4 3" xfId="11132"/>
    <cellStyle name="20% - akcent 5 3 2 3 2 2 5" xfId="11133"/>
    <cellStyle name="20% - akcent 5 3 2 3 2 2 5 2" xfId="11134"/>
    <cellStyle name="20% - akcent 5 3 2 3 2 2 6" xfId="11135"/>
    <cellStyle name="20% - akcent 5 3 2 3 2 3" xfId="11136"/>
    <cellStyle name="20% - akcent 5 3 2 3 2 3 2" xfId="11137"/>
    <cellStyle name="20% - akcent 5 3 2 3 2 3 2 2" xfId="11138"/>
    <cellStyle name="20% - akcent 5 3 2 3 2 3 3" xfId="11139"/>
    <cellStyle name="20% - akcent 5 3 2 3 2 4" xfId="11140"/>
    <cellStyle name="20% - akcent 5 3 2 3 2 4 2" xfId="11141"/>
    <cellStyle name="20% - akcent 5 3 2 3 2 4 2 2" xfId="11142"/>
    <cellStyle name="20% - akcent 5 3 2 3 2 4 3" xfId="11143"/>
    <cellStyle name="20% - akcent 5 3 2 3 2 5" xfId="11144"/>
    <cellStyle name="20% - akcent 5 3 2 3 2 5 2" xfId="11145"/>
    <cellStyle name="20% - akcent 5 3 2 3 2 5 2 2" xfId="11146"/>
    <cellStyle name="20% - akcent 5 3 2 3 2 5 3" xfId="11147"/>
    <cellStyle name="20% - akcent 5 3 2 3 2 6" xfId="11148"/>
    <cellStyle name="20% - akcent 5 3 2 3 2 6 2" xfId="11149"/>
    <cellStyle name="20% - akcent 5 3 2 3 2 7" xfId="11150"/>
    <cellStyle name="20% - akcent 5 3 2 3 3" xfId="11151"/>
    <cellStyle name="20% - akcent 5 3 2 3 3 2" xfId="11152"/>
    <cellStyle name="20% - akcent 5 3 2 3 3 2 2" xfId="11153"/>
    <cellStyle name="20% - akcent 5 3 2 3 3 2 2 2" xfId="11154"/>
    <cellStyle name="20% - akcent 5 3 2 3 3 2 3" xfId="11155"/>
    <cellStyle name="20% - akcent 5 3 2 3 3 3" xfId="11156"/>
    <cellStyle name="20% - akcent 5 3 2 3 3 3 2" xfId="11157"/>
    <cellStyle name="20% - akcent 5 3 2 3 3 3 2 2" xfId="11158"/>
    <cellStyle name="20% - akcent 5 3 2 3 3 3 3" xfId="11159"/>
    <cellStyle name="20% - akcent 5 3 2 3 3 4" xfId="11160"/>
    <cellStyle name="20% - akcent 5 3 2 3 3 4 2" xfId="11161"/>
    <cellStyle name="20% - akcent 5 3 2 3 3 4 2 2" xfId="11162"/>
    <cellStyle name="20% - akcent 5 3 2 3 3 4 3" xfId="11163"/>
    <cellStyle name="20% - akcent 5 3 2 3 3 5" xfId="11164"/>
    <cellStyle name="20% - akcent 5 3 2 3 3 5 2" xfId="11165"/>
    <cellStyle name="20% - akcent 5 3 2 3 3 6" xfId="11166"/>
    <cellStyle name="20% - akcent 5 3 2 3 4" xfId="11167"/>
    <cellStyle name="20% - akcent 5 3 2 3 4 2" xfId="11168"/>
    <cellStyle name="20% - akcent 5 3 2 3 4 2 2" xfId="11169"/>
    <cellStyle name="20% - akcent 5 3 2 3 4 2 2 2" xfId="11170"/>
    <cellStyle name="20% - akcent 5 3 2 3 4 2 3" xfId="11171"/>
    <cellStyle name="20% - akcent 5 3 2 3 4 3" xfId="11172"/>
    <cellStyle name="20% - akcent 5 3 2 3 4 3 2" xfId="11173"/>
    <cellStyle name="20% - akcent 5 3 2 3 4 3 2 2" xfId="11174"/>
    <cellStyle name="20% - akcent 5 3 2 3 4 3 3" xfId="11175"/>
    <cellStyle name="20% - akcent 5 3 2 3 4 4" xfId="11176"/>
    <cellStyle name="20% - akcent 5 3 2 3 4 4 2" xfId="11177"/>
    <cellStyle name="20% - akcent 5 3 2 3 4 4 2 2" xfId="11178"/>
    <cellStyle name="20% - akcent 5 3 2 3 4 4 3" xfId="11179"/>
    <cellStyle name="20% - akcent 5 3 2 3 4 5" xfId="11180"/>
    <cellStyle name="20% - akcent 5 3 2 3 4 5 2" xfId="11181"/>
    <cellStyle name="20% - akcent 5 3 2 3 4 6" xfId="11182"/>
    <cellStyle name="20% - akcent 5 3 2 3 5" xfId="11183"/>
    <cellStyle name="20% - akcent 5 3 2 3 5 2" xfId="11184"/>
    <cellStyle name="20% - akcent 5 3 2 3 5 2 2" xfId="11185"/>
    <cellStyle name="20% - akcent 5 3 2 3 5 3" xfId="11186"/>
    <cellStyle name="20% - akcent 5 3 2 3 6" xfId="11187"/>
    <cellStyle name="20% - akcent 5 3 2 3 6 2" xfId="11188"/>
    <cellStyle name="20% - akcent 5 3 2 3 6 2 2" xfId="11189"/>
    <cellStyle name="20% - akcent 5 3 2 3 6 3" xfId="11190"/>
    <cellStyle name="20% - akcent 5 3 2 3 7" xfId="11191"/>
    <cellStyle name="20% - akcent 5 3 2 3 7 2" xfId="11192"/>
    <cellStyle name="20% - akcent 5 3 2 3 7 2 2" xfId="11193"/>
    <cellStyle name="20% - akcent 5 3 2 3 7 3" xfId="11194"/>
    <cellStyle name="20% - akcent 5 3 2 3 8" xfId="11195"/>
    <cellStyle name="20% - akcent 5 3 2 3 8 2" xfId="11196"/>
    <cellStyle name="20% - akcent 5 3 2 3 9" xfId="11197"/>
    <cellStyle name="20% - akcent 5 3 2 4" xfId="11198"/>
    <cellStyle name="20% - akcent 5 3 2 4 2" xfId="11199"/>
    <cellStyle name="20% - akcent 5 3 2 4 2 2" xfId="11200"/>
    <cellStyle name="20% - akcent 5 3 2 4 2 2 2" xfId="11201"/>
    <cellStyle name="20% - akcent 5 3 2 4 2 2 2 2" xfId="11202"/>
    <cellStyle name="20% - akcent 5 3 2 4 2 2 3" xfId="11203"/>
    <cellStyle name="20% - akcent 5 3 2 4 2 3" xfId="11204"/>
    <cellStyle name="20% - akcent 5 3 2 4 2 3 2" xfId="11205"/>
    <cellStyle name="20% - akcent 5 3 2 4 2 3 2 2" xfId="11206"/>
    <cellStyle name="20% - akcent 5 3 2 4 2 3 3" xfId="11207"/>
    <cellStyle name="20% - akcent 5 3 2 4 2 4" xfId="11208"/>
    <cellStyle name="20% - akcent 5 3 2 4 2 4 2" xfId="11209"/>
    <cellStyle name="20% - akcent 5 3 2 4 2 4 2 2" xfId="11210"/>
    <cellStyle name="20% - akcent 5 3 2 4 2 4 3" xfId="11211"/>
    <cellStyle name="20% - akcent 5 3 2 4 2 5" xfId="11212"/>
    <cellStyle name="20% - akcent 5 3 2 4 2 5 2" xfId="11213"/>
    <cellStyle name="20% - akcent 5 3 2 4 2 6" xfId="11214"/>
    <cellStyle name="20% - akcent 5 3 2 4 3" xfId="11215"/>
    <cellStyle name="20% - akcent 5 3 2 4 3 2" xfId="11216"/>
    <cellStyle name="20% - akcent 5 3 2 4 3 2 2" xfId="11217"/>
    <cellStyle name="20% - akcent 5 3 2 4 3 3" xfId="11218"/>
    <cellStyle name="20% - akcent 5 3 2 4 4" xfId="11219"/>
    <cellStyle name="20% - akcent 5 3 2 4 4 2" xfId="11220"/>
    <cellStyle name="20% - akcent 5 3 2 4 4 2 2" xfId="11221"/>
    <cellStyle name="20% - akcent 5 3 2 4 4 3" xfId="11222"/>
    <cellStyle name="20% - akcent 5 3 2 4 5" xfId="11223"/>
    <cellStyle name="20% - akcent 5 3 2 4 5 2" xfId="11224"/>
    <cellStyle name="20% - akcent 5 3 2 4 5 2 2" xfId="11225"/>
    <cellStyle name="20% - akcent 5 3 2 4 5 3" xfId="11226"/>
    <cellStyle name="20% - akcent 5 3 2 4 6" xfId="11227"/>
    <cellStyle name="20% - akcent 5 3 2 4 6 2" xfId="11228"/>
    <cellStyle name="20% - akcent 5 3 2 4 7" xfId="11229"/>
    <cellStyle name="20% - akcent 5 3 2 5" xfId="11230"/>
    <cellStyle name="20% - akcent 5 3 2 5 2" xfId="11231"/>
    <cellStyle name="20% - akcent 5 3 2 5 2 2" xfId="11232"/>
    <cellStyle name="20% - akcent 5 3 2 5 2 2 2" xfId="11233"/>
    <cellStyle name="20% - akcent 5 3 2 5 2 3" xfId="11234"/>
    <cellStyle name="20% - akcent 5 3 2 5 3" xfId="11235"/>
    <cellStyle name="20% - akcent 5 3 2 5 3 2" xfId="11236"/>
    <cellStyle name="20% - akcent 5 3 2 5 3 2 2" xfId="11237"/>
    <cellStyle name="20% - akcent 5 3 2 5 3 3" xfId="11238"/>
    <cellStyle name="20% - akcent 5 3 2 5 4" xfId="11239"/>
    <cellStyle name="20% - akcent 5 3 2 5 4 2" xfId="11240"/>
    <cellStyle name="20% - akcent 5 3 2 5 4 2 2" xfId="11241"/>
    <cellStyle name="20% - akcent 5 3 2 5 4 3" xfId="11242"/>
    <cellStyle name="20% - akcent 5 3 2 5 5" xfId="11243"/>
    <cellStyle name="20% - akcent 5 3 2 5 5 2" xfId="11244"/>
    <cellStyle name="20% - akcent 5 3 2 5 6" xfId="11245"/>
    <cellStyle name="20% - akcent 5 3 2 6" xfId="11246"/>
    <cellStyle name="20% - akcent 5 3 2 6 2" xfId="11247"/>
    <cellStyle name="20% - akcent 5 3 2 6 2 2" xfId="11248"/>
    <cellStyle name="20% - akcent 5 3 2 6 2 2 2" xfId="11249"/>
    <cellStyle name="20% - akcent 5 3 2 6 2 3" xfId="11250"/>
    <cellStyle name="20% - akcent 5 3 2 6 3" xfId="11251"/>
    <cellStyle name="20% - akcent 5 3 2 6 3 2" xfId="11252"/>
    <cellStyle name="20% - akcent 5 3 2 6 3 2 2" xfId="11253"/>
    <cellStyle name="20% - akcent 5 3 2 6 3 3" xfId="11254"/>
    <cellStyle name="20% - akcent 5 3 2 6 4" xfId="11255"/>
    <cellStyle name="20% - akcent 5 3 2 6 4 2" xfId="11256"/>
    <cellStyle name="20% - akcent 5 3 2 6 4 2 2" xfId="11257"/>
    <cellStyle name="20% - akcent 5 3 2 6 4 3" xfId="11258"/>
    <cellStyle name="20% - akcent 5 3 2 6 5" xfId="11259"/>
    <cellStyle name="20% - akcent 5 3 2 6 5 2" xfId="11260"/>
    <cellStyle name="20% - akcent 5 3 2 6 6" xfId="11261"/>
    <cellStyle name="20% - akcent 5 3 2 7" xfId="11262"/>
    <cellStyle name="20% - akcent 5 3 2 8" xfId="11263"/>
    <cellStyle name="20% - akcent 5 3 2 8 2" xfId="11264"/>
    <cellStyle name="20% - akcent 5 3 2 8 2 2" xfId="11265"/>
    <cellStyle name="20% - akcent 5 3 2 8 2 2 2" xfId="11266"/>
    <cellStyle name="20% - akcent 5 3 2 8 2 3" xfId="11267"/>
    <cellStyle name="20% - akcent 5 3 2 8 3" xfId="11268"/>
    <cellStyle name="20% - akcent 5 3 2 8 3 2" xfId="11269"/>
    <cellStyle name="20% - akcent 5 3 2 8 3 2 2" xfId="11270"/>
    <cellStyle name="20% - akcent 5 3 2 8 3 3" xfId="11271"/>
    <cellStyle name="20% - akcent 5 3 2 8 4" xfId="11272"/>
    <cellStyle name="20% - akcent 5 3 2 8 4 2" xfId="11273"/>
    <cellStyle name="20% - akcent 5 3 2 8 4 2 2" xfId="11274"/>
    <cellStyle name="20% - akcent 5 3 2 8 4 3" xfId="11275"/>
    <cellStyle name="20% - akcent 5 3 2 8 5" xfId="11276"/>
    <cellStyle name="20% - akcent 5 3 2 8 5 2" xfId="11277"/>
    <cellStyle name="20% - akcent 5 3 2 8 6" xfId="11278"/>
    <cellStyle name="20% - akcent 5 3 3" xfId="11279"/>
    <cellStyle name="20% - akcent 5 3 3 2" xfId="11280"/>
    <cellStyle name="20% - akcent 5 3 3 2 2" xfId="11281"/>
    <cellStyle name="20% - akcent 5 3 3 2 2 2" xfId="11282"/>
    <cellStyle name="20% - akcent 5 3 3 2 2 2 2" xfId="11283"/>
    <cellStyle name="20% - akcent 5 3 3 2 2 2 2 2" xfId="11284"/>
    <cellStyle name="20% - akcent 5 3 3 2 2 2 2 2 2" xfId="11285"/>
    <cellStyle name="20% - akcent 5 3 3 2 2 2 2 3" xfId="11286"/>
    <cellStyle name="20% - akcent 5 3 3 2 2 2 3" xfId="11287"/>
    <cellStyle name="20% - akcent 5 3 3 2 2 2 3 2" xfId="11288"/>
    <cellStyle name="20% - akcent 5 3 3 2 2 2 3 2 2" xfId="11289"/>
    <cellStyle name="20% - akcent 5 3 3 2 2 2 3 3" xfId="11290"/>
    <cellStyle name="20% - akcent 5 3 3 2 2 2 4" xfId="11291"/>
    <cellStyle name="20% - akcent 5 3 3 2 2 2 4 2" xfId="11292"/>
    <cellStyle name="20% - akcent 5 3 3 2 2 2 4 2 2" xfId="11293"/>
    <cellStyle name="20% - akcent 5 3 3 2 2 2 4 3" xfId="11294"/>
    <cellStyle name="20% - akcent 5 3 3 2 2 2 5" xfId="11295"/>
    <cellStyle name="20% - akcent 5 3 3 2 2 2 5 2" xfId="11296"/>
    <cellStyle name="20% - akcent 5 3 3 2 2 2 6" xfId="11297"/>
    <cellStyle name="20% - akcent 5 3 3 2 2 3" xfId="11298"/>
    <cellStyle name="20% - akcent 5 3 3 2 2 3 2" xfId="11299"/>
    <cellStyle name="20% - akcent 5 3 3 2 2 3 2 2" xfId="11300"/>
    <cellStyle name="20% - akcent 5 3 3 2 2 3 3" xfId="11301"/>
    <cellStyle name="20% - akcent 5 3 3 2 2 4" xfId="11302"/>
    <cellStyle name="20% - akcent 5 3 3 2 2 4 2" xfId="11303"/>
    <cellStyle name="20% - akcent 5 3 3 2 2 4 2 2" xfId="11304"/>
    <cellStyle name="20% - akcent 5 3 3 2 2 4 3" xfId="11305"/>
    <cellStyle name="20% - akcent 5 3 3 2 2 5" xfId="11306"/>
    <cellStyle name="20% - akcent 5 3 3 2 2 5 2" xfId="11307"/>
    <cellStyle name="20% - akcent 5 3 3 2 2 5 2 2" xfId="11308"/>
    <cellStyle name="20% - akcent 5 3 3 2 2 5 3" xfId="11309"/>
    <cellStyle name="20% - akcent 5 3 3 2 2 6" xfId="11310"/>
    <cellStyle name="20% - akcent 5 3 3 2 2 6 2" xfId="11311"/>
    <cellStyle name="20% - akcent 5 3 3 2 2 7" xfId="11312"/>
    <cellStyle name="20% - akcent 5 3 3 2 3" xfId="11313"/>
    <cellStyle name="20% - akcent 5 3 3 2 3 2" xfId="11314"/>
    <cellStyle name="20% - akcent 5 3 3 2 3 2 2" xfId="11315"/>
    <cellStyle name="20% - akcent 5 3 3 2 3 2 2 2" xfId="11316"/>
    <cellStyle name="20% - akcent 5 3 3 2 3 2 3" xfId="11317"/>
    <cellStyle name="20% - akcent 5 3 3 2 3 3" xfId="11318"/>
    <cellStyle name="20% - akcent 5 3 3 2 3 3 2" xfId="11319"/>
    <cellStyle name="20% - akcent 5 3 3 2 3 3 2 2" xfId="11320"/>
    <cellStyle name="20% - akcent 5 3 3 2 3 3 3" xfId="11321"/>
    <cellStyle name="20% - akcent 5 3 3 2 3 4" xfId="11322"/>
    <cellStyle name="20% - akcent 5 3 3 2 3 4 2" xfId="11323"/>
    <cellStyle name="20% - akcent 5 3 3 2 3 4 2 2" xfId="11324"/>
    <cellStyle name="20% - akcent 5 3 3 2 3 4 3" xfId="11325"/>
    <cellStyle name="20% - akcent 5 3 3 2 3 5" xfId="11326"/>
    <cellStyle name="20% - akcent 5 3 3 2 3 5 2" xfId="11327"/>
    <cellStyle name="20% - akcent 5 3 3 2 3 6" xfId="11328"/>
    <cellStyle name="20% - akcent 5 3 3 2 4" xfId="11329"/>
    <cellStyle name="20% - akcent 5 3 3 2 4 2" xfId="11330"/>
    <cellStyle name="20% - akcent 5 3 3 2 4 2 2" xfId="11331"/>
    <cellStyle name="20% - akcent 5 3 3 2 4 2 2 2" xfId="11332"/>
    <cellStyle name="20% - akcent 5 3 3 2 4 2 3" xfId="11333"/>
    <cellStyle name="20% - akcent 5 3 3 2 4 3" xfId="11334"/>
    <cellStyle name="20% - akcent 5 3 3 2 4 3 2" xfId="11335"/>
    <cellStyle name="20% - akcent 5 3 3 2 4 3 2 2" xfId="11336"/>
    <cellStyle name="20% - akcent 5 3 3 2 4 3 3" xfId="11337"/>
    <cellStyle name="20% - akcent 5 3 3 2 4 4" xfId="11338"/>
    <cellStyle name="20% - akcent 5 3 3 2 4 4 2" xfId="11339"/>
    <cellStyle name="20% - akcent 5 3 3 2 4 4 2 2" xfId="11340"/>
    <cellStyle name="20% - akcent 5 3 3 2 4 4 3" xfId="11341"/>
    <cellStyle name="20% - akcent 5 3 3 2 4 5" xfId="11342"/>
    <cellStyle name="20% - akcent 5 3 3 2 4 5 2" xfId="11343"/>
    <cellStyle name="20% - akcent 5 3 3 2 4 6" xfId="11344"/>
    <cellStyle name="20% - akcent 5 3 3 2 5" xfId="11345"/>
    <cellStyle name="20% - akcent 5 3 3 2 5 2" xfId="11346"/>
    <cellStyle name="20% - akcent 5 3 3 2 5 2 2" xfId="11347"/>
    <cellStyle name="20% - akcent 5 3 3 2 5 3" xfId="11348"/>
    <cellStyle name="20% - akcent 5 3 3 2 6" xfId="11349"/>
    <cellStyle name="20% - akcent 5 3 3 2 6 2" xfId="11350"/>
    <cellStyle name="20% - akcent 5 3 3 2 6 2 2" xfId="11351"/>
    <cellStyle name="20% - akcent 5 3 3 2 6 3" xfId="11352"/>
    <cellStyle name="20% - akcent 5 3 3 2 7" xfId="11353"/>
    <cellStyle name="20% - akcent 5 3 3 2 7 2" xfId="11354"/>
    <cellStyle name="20% - akcent 5 3 3 2 7 2 2" xfId="11355"/>
    <cellStyle name="20% - akcent 5 3 3 2 7 3" xfId="11356"/>
    <cellStyle name="20% - akcent 5 3 3 2 8" xfId="11357"/>
    <cellStyle name="20% - akcent 5 3 3 2 8 2" xfId="11358"/>
    <cellStyle name="20% - akcent 5 3 3 2 9" xfId="11359"/>
    <cellStyle name="20% - akcent 5 3 3 3" xfId="11360"/>
    <cellStyle name="20% - akcent 5 3 3 3 2" xfId="11361"/>
    <cellStyle name="20% - akcent 5 3 3 3 2 2" xfId="11362"/>
    <cellStyle name="20% - akcent 5 3 3 3 2 2 2" xfId="11363"/>
    <cellStyle name="20% - akcent 5 3 3 3 2 2 2 2" xfId="11364"/>
    <cellStyle name="20% - akcent 5 3 3 3 2 2 3" xfId="11365"/>
    <cellStyle name="20% - akcent 5 3 3 3 2 3" xfId="11366"/>
    <cellStyle name="20% - akcent 5 3 3 3 2 3 2" xfId="11367"/>
    <cellStyle name="20% - akcent 5 3 3 3 2 3 2 2" xfId="11368"/>
    <cellStyle name="20% - akcent 5 3 3 3 2 3 3" xfId="11369"/>
    <cellStyle name="20% - akcent 5 3 3 3 2 4" xfId="11370"/>
    <cellStyle name="20% - akcent 5 3 3 3 2 4 2" xfId="11371"/>
    <cellStyle name="20% - akcent 5 3 3 3 2 4 2 2" xfId="11372"/>
    <cellStyle name="20% - akcent 5 3 3 3 2 4 3" xfId="11373"/>
    <cellStyle name="20% - akcent 5 3 3 3 2 5" xfId="11374"/>
    <cellStyle name="20% - akcent 5 3 3 3 2 5 2" xfId="11375"/>
    <cellStyle name="20% - akcent 5 3 3 3 2 6" xfId="11376"/>
    <cellStyle name="20% - akcent 5 3 3 3 3" xfId="11377"/>
    <cellStyle name="20% - akcent 5 3 3 3 3 2" xfId="11378"/>
    <cellStyle name="20% - akcent 5 3 3 3 3 2 2" xfId="11379"/>
    <cellStyle name="20% - akcent 5 3 3 3 3 3" xfId="11380"/>
    <cellStyle name="20% - akcent 5 3 3 3 4" xfId="11381"/>
    <cellStyle name="20% - akcent 5 3 3 3 4 2" xfId="11382"/>
    <cellStyle name="20% - akcent 5 3 3 3 4 2 2" xfId="11383"/>
    <cellStyle name="20% - akcent 5 3 3 3 4 3" xfId="11384"/>
    <cellStyle name="20% - akcent 5 3 3 3 5" xfId="11385"/>
    <cellStyle name="20% - akcent 5 3 3 3 5 2" xfId="11386"/>
    <cellStyle name="20% - akcent 5 3 3 3 5 2 2" xfId="11387"/>
    <cellStyle name="20% - akcent 5 3 3 3 5 3" xfId="11388"/>
    <cellStyle name="20% - akcent 5 3 3 3 6" xfId="11389"/>
    <cellStyle name="20% - akcent 5 3 3 3 6 2" xfId="11390"/>
    <cellStyle name="20% - akcent 5 3 3 3 7" xfId="11391"/>
    <cellStyle name="20% - akcent 5 3 3 4" xfId="11392"/>
    <cellStyle name="20% - akcent 5 3 3 4 2" xfId="11393"/>
    <cellStyle name="20% - akcent 5 3 3 4 2 2" xfId="11394"/>
    <cellStyle name="20% - akcent 5 3 3 4 2 2 2" xfId="11395"/>
    <cellStyle name="20% - akcent 5 3 3 4 2 3" xfId="11396"/>
    <cellStyle name="20% - akcent 5 3 3 4 3" xfId="11397"/>
    <cellStyle name="20% - akcent 5 3 3 4 3 2" xfId="11398"/>
    <cellStyle name="20% - akcent 5 3 3 4 3 2 2" xfId="11399"/>
    <cellStyle name="20% - akcent 5 3 3 4 3 3" xfId="11400"/>
    <cellStyle name="20% - akcent 5 3 3 4 4" xfId="11401"/>
    <cellStyle name="20% - akcent 5 3 3 4 4 2" xfId="11402"/>
    <cellStyle name="20% - akcent 5 3 3 4 4 2 2" xfId="11403"/>
    <cellStyle name="20% - akcent 5 3 3 4 4 3" xfId="11404"/>
    <cellStyle name="20% - akcent 5 3 3 4 5" xfId="11405"/>
    <cellStyle name="20% - akcent 5 3 3 4 5 2" xfId="11406"/>
    <cellStyle name="20% - akcent 5 3 3 4 6" xfId="11407"/>
    <cellStyle name="20% - akcent 5 3 3 5" xfId="11408"/>
    <cellStyle name="20% - akcent 5 3 3 5 2" xfId="11409"/>
    <cellStyle name="20% - akcent 5 3 3 5 2 2" xfId="11410"/>
    <cellStyle name="20% - akcent 5 3 3 5 2 2 2" xfId="11411"/>
    <cellStyle name="20% - akcent 5 3 3 5 2 3" xfId="11412"/>
    <cellStyle name="20% - akcent 5 3 3 5 3" xfId="11413"/>
    <cellStyle name="20% - akcent 5 3 3 5 3 2" xfId="11414"/>
    <cellStyle name="20% - akcent 5 3 3 5 3 2 2" xfId="11415"/>
    <cellStyle name="20% - akcent 5 3 3 5 3 3" xfId="11416"/>
    <cellStyle name="20% - akcent 5 3 3 5 4" xfId="11417"/>
    <cellStyle name="20% - akcent 5 3 3 5 4 2" xfId="11418"/>
    <cellStyle name="20% - akcent 5 3 3 5 4 2 2" xfId="11419"/>
    <cellStyle name="20% - akcent 5 3 3 5 4 3" xfId="11420"/>
    <cellStyle name="20% - akcent 5 3 3 5 5" xfId="11421"/>
    <cellStyle name="20% - akcent 5 3 3 5 5 2" xfId="11422"/>
    <cellStyle name="20% - akcent 5 3 3 5 6" xfId="11423"/>
    <cellStyle name="20% - akcent 5 3 3 6" xfId="11424"/>
    <cellStyle name="20% - akcent 5 3 3 6 2" xfId="11425"/>
    <cellStyle name="20% - akcent 5 3 3 6 2 2" xfId="11426"/>
    <cellStyle name="20% - akcent 5 3 3 6 2 2 2" xfId="11427"/>
    <cellStyle name="20% - akcent 5 3 3 6 2 3" xfId="11428"/>
    <cellStyle name="20% - akcent 5 3 3 6 3" xfId="11429"/>
    <cellStyle name="20% - akcent 5 3 3 6 3 2" xfId="11430"/>
    <cellStyle name="20% - akcent 5 3 3 6 3 2 2" xfId="11431"/>
    <cellStyle name="20% - akcent 5 3 3 6 3 3" xfId="11432"/>
    <cellStyle name="20% - akcent 5 3 3 6 4" xfId="11433"/>
    <cellStyle name="20% - akcent 5 3 3 6 4 2" xfId="11434"/>
    <cellStyle name="20% - akcent 5 3 3 6 4 2 2" xfId="11435"/>
    <cellStyle name="20% - akcent 5 3 3 6 4 3" xfId="11436"/>
    <cellStyle name="20% - akcent 5 3 3 6 5" xfId="11437"/>
    <cellStyle name="20% - akcent 5 3 3 6 5 2" xfId="11438"/>
    <cellStyle name="20% - akcent 5 3 3 6 6" xfId="11439"/>
    <cellStyle name="20% - akcent 5 3 4" xfId="11440"/>
    <cellStyle name="20% - akcent 5 3 4 10" xfId="11441"/>
    <cellStyle name="20% - akcent 5 3 4 2" xfId="11442"/>
    <cellStyle name="20% - akcent 5 3 4 2 2" xfId="11443"/>
    <cellStyle name="20% - akcent 5 3 4 2 2 2" xfId="11444"/>
    <cellStyle name="20% - akcent 5 3 4 2 2 2 2" xfId="11445"/>
    <cellStyle name="20% - akcent 5 3 4 2 2 2 2 2" xfId="11446"/>
    <cellStyle name="20% - akcent 5 3 4 2 2 2 2 2 2" xfId="11447"/>
    <cellStyle name="20% - akcent 5 3 4 2 2 2 2 3" xfId="11448"/>
    <cellStyle name="20% - akcent 5 3 4 2 2 2 3" xfId="11449"/>
    <cellStyle name="20% - akcent 5 3 4 2 2 2 3 2" xfId="11450"/>
    <cellStyle name="20% - akcent 5 3 4 2 2 2 3 2 2" xfId="11451"/>
    <cellStyle name="20% - akcent 5 3 4 2 2 2 3 3" xfId="11452"/>
    <cellStyle name="20% - akcent 5 3 4 2 2 2 4" xfId="11453"/>
    <cellStyle name="20% - akcent 5 3 4 2 2 2 4 2" xfId="11454"/>
    <cellStyle name="20% - akcent 5 3 4 2 2 2 4 2 2" xfId="11455"/>
    <cellStyle name="20% - akcent 5 3 4 2 2 2 4 3" xfId="11456"/>
    <cellStyle name="20% - akcent 5 3 4 2 2 2 5" xfId="11457"/>
    <cellStyle name="20% - akcent 5 3 4 2 2 2 5 2" xfId="11458"/>
    <cellStyle name="20% - akcent 5 3 4 2 2 2 6" xfId="11459"/>
    <cellStyle name="20% - akcent 5 3 4 2 2 3" xfId="11460"/>
    <cellStyle name="20% - akcent 5 3 4 2 2 3 2" xfId="11461"/>
    <cellStyle name="20% - akcent 5 3 4 2 2 3 2 2" xfId="11462"/>
    <cellStyle name="20% - akcent 5 3 4 2 2 3 3" xfId="11463"/>
    <cellStyle name="20% - akcent 5 3 4 2 2 4" xfId="11464"/>
    <cellStyle name="20% - akcent 5 3 4 2 2 4 2" xfId="11465"/>
    <cellStyle name="20% - akcent 5 3 4 2 2 4 2 2" xfId="11466"/>
    <cellStyle name="20% - akcent 5 3 4 2 2 4 3" xfId="11467"/>
    <cellStyle name="20% - akcent 5 3 4 2 2 5" xfId="11468"/>
    <cellStyle name="20% - akcent 5 3 4 2 2 5 2" xfId="11469"/>
    <cellStyle name="20% - akcent 5 3 4 2 2 5 2 2" xfId="11470"/>
    <cellStyle name="20% - akcent 5 3 4 2 2 5 3" xfId="11471"/>
    <cellStyle name="20% - akcent 5 3 4 2 2 6" xfId="11472"/>
    <cellStyle name="20% - akcent 5 3 4 2 2 6 2" xfId="11473"/>
    <cellStyle name="20% - akcent 5 3 4 2 2 7" xfId="11474"/>
    <cellStyle name="20% - akcent 5 3 4 2 3" xfId="11475"/>
    <cellStyle name="20% - akcent 5 3 4 2 3 2" xfId="11476"/>
    <cellStyle name="20% - akcent 5 3 4 2 3 2 2" xfId="11477"/>
    <cellStyle name="20% - akcent 5 3 4 2 3 2 2 2" xfId="11478"/>
    <cellStyle name="20% - akcent 5 3 4 2 3 2 3" xfId="11479"/>
    <cellStyle name="20% - akcent 5 3 4 2 3 3" xfId="11480"/>
    <cellStyle name="20% - akcent 5 3 4 2 3 3 2" xfId="11481"/>
    <cellStyle name="20% - akcent 5 3 4 2 3 3 2 2" xfId="11482"/>
    <cellStyle name="20% - akcent 5 3 4 2 3 3 3" xfId="11483"/>
    <cellStyle name="20% - akcent 5 3 4 2 3 4" xfId="11484"/>
    <cellStyle name="20% - akcent 5 3 4 2 3 4 2" xfId="11485"/>
    <cellStyle name="20% - akcent 5 3 4 2 3 4 2 2" xfId="11486"/>
    <cellStyle name="20% - akcent 5 3 4 2 3 4 3" xfId="11487"/>
    <cellStyle name="20% - akcent 5 3 4 2 3 5" xfId="11488"/>
    <cellStyle name="20% - akcent 5 3 4 2 3 5 2" xfId="11489"/>
    <cellStyle name="20% - akcent 5 3 4 2 3 6" xfId="11490"/>
    <cellStyle name="20% - akcent 5 3 4 2 4" xfId="11491"/>
    <cellStyle name="20% - akcent 5 3 4 2 4 2" xfId="11492"/>
    <cellStyle name="20% - akcent 5 3 4 2 4 2 2" xfId="11493"/>
    <cellStyle name="20% - akcent 5 3 4 2 4 2 2 2" xfId="11494"/>
    <cellStyle name="20% - akcent 5 3 4 2 4 2 3" xfId="11495"/>
    <cellStyle name="20% - akcent 5 3 4 2 4 3" xfId="11496"/>
    <cellStyle name="20% - akcent 5 3 4 2 4 3 2" xfId="11497"/>
    <cellStyle name="20% - akcent 5 3 4 2 4 3 2 2" xfId="11498"/>
    <cellStyle name="20% - akcent 5 3 4 2 4 3 3" xfId="11499"/>
    <cellStyle name="20% - akcent 5 3 4 2 4 4" xfId="11500"/>
    <cellStyle name="20% - akcent 5 3 4 2 4 4 2" xfId="11501"/>
    <cellStyle name="20% - akcent 5 3 4 2 4 4 2 2" xfId="11502"/>
    <cellStyle name="20% - akcent 5 3 4 2 4 4 3" xfId="11503"/>
    <cellStyle name="20% - akcent 5 3 4 2 4 5" xfId="11504"/>
    <cellStyle name="20% - akcent 5 3 4 2 4 5 2" xfId="11505"/>
    <cellStyle name="20% - akcent 5 3 4 2 4 6" xfId="11506"/>
    <cellStyle name="20% - akcent 5 3 4 2 5" xfId="11507"/>
    <cellStyle name="20% - akcent 5 3 4 2 5 2" xfId="11508"/>
    <cellStyle name="20% - akcent 5 3 4 2 5 2 2" xfId="11509"/>
    <cellStyle name="20% - akcent 5 3 4 2 5 3" xfId="11510"/>
    <cellStyle name="20% - akcent 5 3 4 2 6" xfId="11511"/>
    <cellStyle name="20% - akcent 5 3 4 2 6 2" xfId="11512"/>
    <cellStyle name="20% - akcent 5 3 4 2 6 2 2" xfId="11513"/>
    <cellStyle name="20% - akcent 5 3 4 2 6 3" xfId="11514"/>
    <cellStyle name="20% - akcent 5 3 4 2 7" xfId="11515"/>
    <cellStyle name="20% - akcent 5 3 4 2 7 2" xfId="11516"/>
    <cellStyle name="20% - akcent 5 3 4 2 7 2 2" xfId="11517"/>
    <cellStyle name="20% - akcent 5 3 4 2 7 3" xfId="11518"/>
    <cellStyle name="20% - akcent 5 3 4 2 8" xfId="11519"/>
    <cellStyle name="20% - akcent 5 3 4 2 8 2" xfId="11520"/>
    <cellStyle name="20% - akcent 5 3 4 2 9" xfId="11521"/>
    <cellStyle name="20% - akcent 5 3 4 3" xfId="11522"/>
    <cellStyle name="20% - akcent 5 3 4 3 2" xfId="11523"/>
    <cellStyle name="20% - akcent 5 3 4 3 2 2" xfId="11524"/>
    <cellStyle name="20% - akcent 5 3 4 3 2 2 2" xfId="11525"/>
    <cellStyle name="20% - akcent 5 3 4 3 2 2 2 2" xfId="11526"/>
    <cellStyle name="20% - akcent 5 3 4 3 2 2 3" xfId="11527"/>
    <cellStyle name="20% - akcent 5 3 4 3 2 3" xfId="11528"/>
    <cellStyle name="20% - akcent 5 3 4 3 2 3 2" xfId="11529"/>
    <cellStyle name="20% - akcent 5 3 4 3 2 3 2 2" xfId="11530"/>
    <cellStyle name="20% - akcent 5 3 4 3 2 3 3" xfId="11531"/>
    <cellStyle name="20% - akcent 5 3 4 3 2 4" xfId="11532"/>
    <cellStyle name="20% - akcent 5 3 4 3 2 4 2" xfId="11533"/>
    <cellStyle name="20% - akcent 5 3 4 3 2 4 2 2" xfId="11534"/>
    <cellStyle name="20% - akcent 5 3 4 3 2 4 3" xfId="11535"/>
    <cellStyle name="20% - akcent 5 3 4 3 2 5" xfId="11536"/>
    <cellStyle name="20% - akcent 5 3 4 3 2 5 2" xfId="11537"/>
    <cellStyle name="20% - akcent 5 3 4 3 2 6" xfId="11538"/>
    <cellStyle name="20% - akcent 5 3 4 3 3" xfId="11539"/>
    <cellStyle name="20% - akcent 5 3 4 3 3 2" xfId="11540"/>
    <cellStyle name="20% - akcent 5 3 4 3 3 2 2" xfId="11541"/>
    <cellStyle name="20% - akcent 5 3 4 3 3 3" xfId="11542"/>
    <cellStyle name="20% - akcent 5 3 4 3 4" xfId="11543"/>
    <cellStyle name="20% - akcent 5 3 4 3 4 2" xfId="11544"/>
    <cellStyle name="20% - akcent 5 3 4 3 4 2 2" xfId="11545"/>
    <cellStyle name="20% - akcent 5 3 4 3 4 3" xfId="11546"/>
    <cellStyle name="20% - akcent 5 3 4 3 5" xfId="11547"/>
    <cellStyle name="20% - akcent 5 3 4 3 5 2" xfId="11548"/>
    <cellStyle name="20% - akcent 5 3 4 3 5 2 2" xfId="11549"/>
    <cellStyle name="20% - akcent 5 3 4 3 5 3" xfId="11550"/>
    <cellStyle name="20% - akcent 5 3 4 3 6" xfId="11551"/>
    <cellStyle name="20% - akcent 5 3 4 3 6 2" xfId="11552"/>
    <cellStyle name="20% - akcent 5 3 4 3 7" xfId="11553"/>
    <cellStyle name="20% - akcent 5 3 4 4" xfId="11554"/>
    <cellStyle name="20% - akcent 5 3 4 4 2" xfId="11555"/>
    <cellStyle name="20% - akcent 5 3 4 4 2 2" xfId="11556"/>
    <cellStyle name="20% - akcent 5 3 4 4 2 2 2" xfId="11557"/>
    <cellStyle name="20% - akcent 5 3 4 4 2 3" xfId="11558"/>
    <cellStyle name="20% - akcent 5 3 4 4 3" xfId="11559"/>
    <cellStyle name="20% - akcent 5 3 4 4 3 2" xfId="11560"/>
    <cellStyle name="20% - akcent 5 3 4 4 3 2 2" xfId="11561"/>
    <cellStyle name="20% - akcent 5 3 4 4 3 3" xfId="11562"/>
    <cellStyle name="20% - akcent 5 3 4 4 4" xfId="11563"/>
    <cellStyle name="20% - akcent 5 3 4 4 4 2" xfId="11564"/>
    <cellStyle name="20% - akcent 5 3 4 4 4 2 2" xfId="11565"/>
    <cellStyle name="20% - akcent 5 3 4 4 4 3" xfId="11566"/>
    <cellStyle name="20% - akcent 5 3 4 4 5" xfId="11567"/>
    <cellStyle name="20% - akcent 5 3 4 4 5 2" xfId="11568"/>
    <cellStyle name="20% - akcent 5 3 4 4 6" xfId="11569"/>
    <cellStyle name="20% - akcent 5 3 4 5" xfId="11570"/>
    <cellStyle name="20% - akcent 5 3 4 5 2" xfId="11571"/>
    <cellStyle name="20% - akcent 5 3 4 5 2 2" xfId="11572"/>
    <cellStyle name="20% - akcent 5 3 4 5 2 2 2" xfId="11573"/>
    <cellStyle name="20% - akcent 5 3 4 5 2 3" xfId="11574"/>
    <cellStyle name="20% - akcent 5 3 4 5 3" xfId="11575"/>
    <cellStyle name="20% - akcent 5 3 4 5 3 2" xfId="11576"/>
    <cellStyle name="20% - akcent 5 3 4 5 3 2 2" xfId="11577"/>
    <cellStyle name="20% - akcent 5 3 4 5 3 3" xfId="11578"/>
    <cellStyle name="20% - akcent 5 3 4 5 4" xfId="11579"/>
    <cellStyle name="20% - akcent 5 3 4 5 4 2" xfId="11580"/>
    <cellStyle name="20% - akcent 5 3 4 5 4 2 2" xfId="11581"/>
    <cellStyle name="20% - akcent 5 3 4 5 4 3" xfId="11582"/>
    <cellStyle name="20% - akcent 5 3 4 5 5" xfId="11583"/>
    <cellStyle name="20% - akcent 5 3 4 5 5 2" xfId="11584"/>
    <cellStyle name="20% - akcent 5 3 4 5 6" xfId="11585"/>
    <cellStyle name="20% - akcent 5 3 4 6" xfId="11586"/>
    <cellStyle name="20% - akcent 5 3 4 6 2" xfId="11587"/>
    <cellStyle name="20% - akcent 5 3 4 6 2 2" xfId="11588"/>
    <cellStyle name="20% - akcent 5 3 4 6 3" xfId="11589"/>
    <cellStyle name="20% - akcent 5 3 4 7" xfId="11590"/>
    <cellStyle name="20% - akcent 5 3 4 7 2" xfId="11591"/>
    <cellStyle name="20% - akcent 5 3 4 7 2 2" xfId="11592"/>
    <cellStyle name="20% - akcent 5 3 4 7 3" xfId="11593"/>
    <cellStyle name="20% - akcent 5 3 4 8" xfId="11594"/>
    <cellStyle name="20% - akcent 5 3 4 8 2" xfId="11595"/>
    <cellStyle name="20% - akcent 5 3 4 8 2 2" xfId="11596"/>
    <cellStyle name="20% - akcent 5 3 4 8 3" xfId="11597"/>
    <cellStyle name="20% - akcent 5 3 4 9" xfId="11598"/>
    <cellStyle name="20% - akcent 5 3 4 9 2" xfId="11599"/>
    <cellStyle name="20% - akcent 5 3 5" xfId="11600"/>
    <cellStyle name="20% - akcent 5 3 5 2" xfId="11601"/>
    <cellStyle name="20% - akcent 5 3 5 2 2" xfId="11602"/>
    <cellStyle name="20% - akcent 5 3 5 2 2 2" xfId="11603"/>
    <cellStyle name="20% - akcent 5 3 5 2 2 2 2" xfId="11604"/>
    <cellStyle name="20% - akcent 5 3 5 2 2 2 2 2" xfId="11605"/>
    <cellStyle name="20% - akcent 5 3 5 2 2 2 3" xfId="11606"/>
    <cellStyle name="20% - akcent 5 3 5 2 2 3" xfId="11607"/>
    <cellStyle name="20% - akcent 5 3 5 2 2 3 2" xfId="11608"/>
    <cellStyle name="20% - akcent 5 3 5 2 2 3 2 2" xfId="11609"/>
    <cellStyle name="20% - akcent 5 3 5 2 2 3 3" xfId="11610"/>
    <cellStyle name="20% - akcent 5 3 5 2 2 4" xfId="11611"/>
    <cellStyle name="20% - akcent 5 3 5 2 2 4 2" xfId="11612"/>
    <cellStyle name="20% - akcent 5 3 5 2 2 4 2 2" xfId="11613"/>
    <cellStyle name="20% - akcent 5 3 5 2 2 4 3" xfId="11614"/>
    <cellStyle name="20% - akcent 5 3 5 2 2 5" xfId="11615"/>
    <cellStyle name="20% - akcent 5 3 5 2 2 5 2" xfId="11616"/>
    <cellStyle name="20% - akcent 5 3 5 2 2 6" xfId="11617"/>
    <cellStyle name="20% - akcent 5 3 5 2 3" xfId="11618"/>
    <cellStyle name="20% - akcent 5 3 5 2 3 2" xfId="11619"/>
    <cellStyle name="20% - akcent 5 3 5 2 3 2 2" xfId="11620"/>
    <cellStyle name="20% - akcent 5 3 5 2 3 3" xfId="11621"/>
    <cellStyle name="20% - akcent 5 3 5 2 4" xfId="11622"/>
    <cellStyle name="20% - akcent 5 3 5 2 4 2" xfId="11623"/>
    <cellStyle name="20% - akcent 5 3 5 2 4 2 2" xfId="11624"/>
    <cellStyle name="20% - akcent 5 3 5 2 4 3" xfId="11625"/>
    <cellStyle name="20% - akcent 5 3 5 2 5" xfId="11626"/>
    <cellStyle name="20% - akcent 5 3 5 2 5 2" xfId="11627"/>
    <cellStyle name="20% - akcent 5 3 5 2 5 2 2" xfId="11628"/>
    <cellStyle name="20% - akcent 5 3 5 2 5 3" xfId="11629"/>
    <cellStyle name="20% - akcent 5 3 5 2 6" xfId="11630"/>
    <cellStyle name="20% - akcent 5 3 5 2 6 2" xfId="11631"/>
    <cellStyle name="20% - akcent 5 3 5 2 7" xfId="11632"/>
    <cellStyle name="20% - akcent 5 3 5 3" xfId="11633"/>
    <cellStyle name="20% - akcent 5 3 5 3 2" xfId="11634"/>
    <cellStyle name="20% - akcent 5 3 5 3 2 2" xfId="11635"/>
    <cellStyle name="20% - akcent 5 3 5 3 2 2 2" xfId="11636"/>
    <cellStyle name="20% - akcent 5 3 5 3 2 3" xfId="11637"/>
    <cellStyle name="20% - akcent 5 3 5 3 3" xfId="11638"/>
    <cellStyle name="20% - akcent 5 3 5 3 3 2" xfId="11639"/>
    <cellStyle name="20% - akcent 5 3 5 3 3 2 2" xfId="11640"/>
    <cellStyle name="20% - akcent 5 3 5 3 3 3" xfId="11641"/>
    <cellStyle name="20% - akcent 5 3 5 3 4" xfId="11642"/>
    <cellStyle name="20% - akcent 5 3 5 3 4 2" xfId="11643"/>
    <cellStyle name="20% - akcent 5 3 5 3 4 2 2" xfId="11644"/>
    <cellStyle name="20% - akcent 5 3 5 3 4 3" xfId="11645"/>
    <cellStyle name="20% - akcent 5 3 5 3 5" xfId="11646"/>
    <cellStyle name="20% - akcent 5 3 5 3 5 2" xfId="11647"/>
    <cellStyle name="20% - akcent 5 3 5 3 6" xfId="11648"/>
    <cellStyle name="20% - akcent 5 3 5 4" xfId="11649"/>
    <cellStyle name="20% - akcent 5 3 5 4 2" xfId="11650"/>
    <cellStyle name="20% - akcent 5 3 5 4 2 2" xfId="11651"/>
    <cellStyle name="20% - akcent 5 3 5 4 2 2 2" xfId="11652"/>
    <cellStyle name="20% - akcent 5 3 5 4 2 3" xfId="11653"/>
    <cellStyle name="20% - akcent 5 3 5 4 3" xfId="11654"/>
    <cellStyle name="20% - akcent 5 3 5 4 3 2" xfId="11655"/>
    <cellStyle name="20% - akcent 5 3 5 4 3 2 2" xfId="11656"/>
    <cellStyle name="20% - akcent 5 3 5 4 3 3" xfId="11657"/>
    <cellStyle name="20% - akcent 5 3 5 4 4" xfId="11658"/>
    <cellStyle name="20% - akcent 5 3 5 4 4 2" xfId="11659"/>
    <cellStyle name="20% - akcent 5 3 5 4 4 2 2" xfId="11660"/>
    <cellStyle name="20% - akcent 5 3 5 4 4 3" xfId="11661"/>
    <cellStyle name="20% - akcent 5 3 5 4 5" xfId="11662"/>
    <cellStyle name="20% - akcent 5 3 5 4 5 2" xfId="11663"/>
    <cellStyle name="20% - akcent 5 3 5 4 6" xfId="11664"/>
    <cellStyle name="20% - akcent 5 3 5 5" xfId="11665"/>
    <cellStyle name="20% - akcent 5 3 5 5 2" xfId="11666"/>
    <cellStyle name="20% - akcent 5 3 5 5 2 2" xfId="11667"/>
    <cellStyle name="20% - akcent 5 3 5 5 3" xfId="11668"/>
    <cellStyle name="20% - akcent 5 3 5 6" xfId="11669"/>
    <cellStyle name="20% - akcent 5 3 5 6 2" xfId="11670"/>
    <cellStyle name="20% - akcent 5 3 5 6 2 2" xfId="11671"/>
    <cellStyle name="20% - akcent 5 3 5 6 3" xfId="11672"/>
    <cellStyle name="20% - akcent 5 3 5 7" xfId="11673"/>
    <cellStyle name="20% - akcent 5 3 5 7 2" xfId="11674"/>
    <cellStyle name="20% - akcent 5 3 5 7 2 2" xfId="11675"/>
    <cellStyle name="20% - akcent 5 3 5 7 3" xfId="11676"/>
    <cellStyle name="20% - akcent 5 3 5 8" xfId="11677"/>
    <cellStyle name="20% - akcent 5 3 5 8 2" xfId="11678"/>
    <cellStyle name="20% - akcent 5 3 5 9" xfId="11679"/>
    <cellStyle name="20% - akcent 5 3 6" xfId="11680"/>
    <cellStyle name="20% - akcent 5 3 6 2" xfId="11681"/>
    <cellStyle name="20% - akcent 5 3 6 2 2" xfId="11682"/>
    <cellStyle name="20% - akcent 5 3 6 2 2 2" xfId="11683"/>
    <cellStyle name="20% - akcent 5 3 6 2 2 2 2" xfId="11684"/>
    <cellStyle name="20% - akcent 5 3 6 2 2 2 2 2" xfId="11685"/>
    <cellStyle name="20% - akcent 5 3 6 2 2 2 3" xfId="11686"/>
    <cellStyle name="20% - akcent 5 3 6 2 2 3" xfId="11687"/>
    <cellStyle name="20% - akcent 5 3 6 2 2 3 2" xfId="11688"/>
    <cellStyle name="20% - akcent 5 3 6 2 2 3 2 2" xfId="11689"/>
    <cellStyle name="20% - akcent 5 3 6 2 2 3 3" xfId="11690"/>
    <cellStyle name="20% - akcent 5 3 6 2 2 4" xfId="11691"/>
    <cellStyle name="20% - akcent 5 3 6 2 2 4 2" xfId="11692"/>
    <cellStyle name="20% - akcent 5 3 6 2 2 4 2 2" xfId="11693"/>
    <cellStyle name="20% - akcent 5 3 6 2 2 4 3" xfId="11694"/>
    <cellStyle name="20% - akcent 5 3 6 2 2 5" xfId="11695"/>
    <cellStyle name="20% - akcent 5 3 6 2 2 5 2" xfId="11696"/>
    <cellStyle name="20% - akcent 5 3 6 2 2 6" xfId="11697"/>
    <cellStyle name="20% - akcent 5 3 6 2 3" xfId="11698"/>
    <cellStyle name="20% - akcent 5 3 6 2 3 2" xfId="11699"/>
    <cellStyle name="20% - akcent 5 3 6 2 3 2 2" xfId="11700"/>
    <cellStyle name="20% - akcent 5 3 6 2 3 3" xfId="11701"/>
    <cellStyle name="20% - akcent 5 3 6 2 4" xfId="11702"/>
    <cellStyle name="20% - akcent 5 3 6 2 4 2" xfId="11703"/>
    <cellStyle name="20% - akcent 5 3 6 2 4 2 2" xfId="11704"/>
    <cellStyle name="20% - akcent 5 3 6 2 4 3" xfId="11705"/>
    <cellStyle name="20% - akcent 5 3 6 2 5" xfId="11706"/>
    <cellStyle name="20% - akcent 5 3 6 2 5 2" xfId="11707"/>
    <cellStyle name="20% - akcent 5 3 6 2 5 2 2" xfId="11708"/>
    <cellStyle name="20% - akcent 5 3 6 2 5 3" xfId="11709"/>
    <cellStyle name="20% - akcent 5 3 6 2 6" xfId="11710"/>
    <cellStyle name="20% - akcent 5 3 6 2 6 2" xfId="11711"/>
    <cellStyle name="20% - akcent 5 3 6 2 7" xfId="11712"/>
    <cellStyle name="20% - akcent 5 3 6 3" xfId="11713"/>
    <cellStyle name="20% - akcent 5 3 6 3 2" xfId="11714"/>
    <cellStyle name="20% - akcent 5 3 6 3 2 2" xfId="11715"/>
    <cellStyle name="20% - akcent 5 3 6 3 2 2 2" xfId="11716"/>
    <cellStyle name="20% - akcent 5 3 6 3 2 3" xfId="11717"/>
    <cellStyle name="20% - akcent 5 3 6 3 3" xfId="11718"/>
    <cellStyle name="20% - akcent 5 3 6 3 3 2" xfId="11719"/>
    <cellStyle name="20% - akcent 5 3 6 3 3 2 2" xfId="11720"/>
    <cellStyle name="20% - akcent 5 3 6 3 3 3" xfId="11721"/>
    <cellStyle name="20% - akcent 5 3 6 3 4" xfId="11722"/>
    <cellStyle name="20% - akcent 5 3 6 3 4 2" xfId="11723"/>
    <cellStyle name="20% - akcent 5 3 6 3 4 2 2" xfId="11724"/>
    <cellStyle name="20% - akcent 5 3 6 3 4 3" xfId="11725"/>
    <cellStyle name="20% - akcent 5 3 6 3 5" xfId="11726"/>
    <cellStyle name="20% - akcent 5 3 6 3 5 2" xfId="11727"/>
    <cellStyle name="20% - akcent 5 3 6 3 6" xfId="11728"/>
    <cellStyle name="20% - akcent 5 3 6 4" xfId="11729"/>
    <cellStyle name="20% - akcent 5 3 6 4 2" xfId="11730"/>
    <cellStyle name="20% - akcent 5 3 6 4 2 2" xfId="11731"/>
    <cellStyle name="20% - akcent 5 3 6 4 2 2 2" xfId="11732"/>
    <cellStyle name="20% - akcent 5 3 6 4 2 3" xfId="11733"/>
    <cellStyle name="20% - akcent 5 3 6 4 3" xfId="11734"/>
    <cellStyle name="20% - akcent 5 3 6 4 3 2" xfId="11735"/>
    <cellStyle name="20% - akcent 5 3 6 4 3 2 2" xfId="11736"/>
    <cellStyle name="20% - akcent 5 3 6 4 3 3" xfId="11737"/>
    <cellStyle name="20% - akcent 5 3 6 4 4" xfId="11738"/>
    <cellStyle name="20% - akcent 5 3 6 4 4 2" xfId="11739"/>
    <cellStyle name="20% - akcent 5 3 6 4 4 2 2" xfId="11740"/>
    <cellStyle name="20% - akcent 5 3 6 4 4 3" xfId="11741"/>
    <cellStyle name="20% - akcent 5 3 6 4 5" xfId="11742"/>
    <cellStyle name="20% - akcent 5 3 6 4 5 2" xfId="11743"/>
    <cellStyle name="20% - akcent 5 3 6 4 6" xfId="11744"/>
    <cellStyle name="20% - akcent 5 3 6 5" xfId="11745"/>
    <cellStyle name="20% - akcent 5 3 6 5 2" xfId="11746"/>
    <cellStyle name="20% - akcent 5 3 6 5 2 2" xfId="11747"/>
    <cellStyle name="20% - akcent 5 3 6 5 3" xfId="11748"/>
    <cellStyle name="20% - akcent 5 3 6 6" xfId="11749"/>
    <cellStyle name="20% - akcent 5 3 6 6 2" xfId="11750"/>
    <cellStyle name="20% - akcent 5 3 6 6 2 2" xfId="11751"/>
    <cellStyle name="20% - akcent 5 3 6 6 3" xfId="11752"/>
    <cellStyle name="20% - akcent 5 3 6 7" xfId="11753"/>
    <cellStyle name="20% - akcent 5 3 6 7 2" xfId="11754"/>
    <cellStyle name="20% - akcent 5 3 6 7 2 2" xfId="11755"/>
    <cellStyle name="20% - akcent 5 3 6 7 3" xfId="11756"/>
    <cellStyle name="20% - akcent 5 3 6 8" xfId="11757"/>
    <cellStyle name="20% - akcent 5 3 6 8 2" xfId="11758"/>
    <cellStyle name="20% - akcent 5 3 6 9" xfId="11759"/>
    <cellStyle name="20% - akcent 5 3 7" xfId="11760"/>
    <cellStyle name="20% - akcent 5 3 7 2" xfId="11761"/>
    <cellStyle name="20% - akcent 5 3 7 2 2" xfId="11762"/>
    <cellStyle name="20% - akcent 5 3 7 2 2 2" xfId="11763"/>
    <cellStyle name="20% - akcent 5 3 7 2 2 2 2" xfId="11764"/>
    <cellStyle name="20% - akcent 5 3 7 2 2 3" xfId="11765"/>
    <cellStyle name="20% - akcent 5 3 7 2 3" xfId="11766"/>
    <cellStyle name="20% - akcent 5 3 7 2 3 2" xfId="11767"/>
    <cellStyle name="20% - akcent 5 3 7 2 3 2 2" xfId="11768"/>
    <cellStyle name="20% - akcent 5 3 7 2 3 3" xfId="11769"/>
    <cellStyle name="20% - akcent 5 3 7 2 4" xfId="11770"/>
    <cellStyle name="20% - akcent 5 3 7 2 4 2" xfId="11771"/>
    <cellStyle name="20% - akcent 5 3 7 2 4 2 2" xfId="11772"/>
    <cellStyle name="20% - akcent 5 3 7 2 4 3" xfId="11773"/>
    <cellStyle name="20% - akcent 5 3 7 2 5" xfId="11774"/>
    <cellStyle name="20% - akcent 5 3 7 2 5 2" xfId="11775"/>
    <cellStyle name="20% - akcent 5 3 7 2 6" xfId="11776"/>
    <cellStyle name="20% - akcent 5 3 7 3" xfId="11777"/>
    <cellStyle name="20% - akcent 5 3 7 3 2" xfId="11778"/>
    <cellStyle name="20% - akcent 5 3 7 3 2 2" xfId="11779"/>
    <cellStyle name="20% - akcent 5 3 7 3 3" xfId="11780"/>
    <cellStyle name="20% - akcent 5 3 7 4" xfId="11781"/>
    <cellStyle name="20% - akcent 5 3 7 4 2" xfId="11782"/>
    <cellStyle name="20% - akcent 5 3 7 4 2 2" xfId="11783"/>
    <cellStyle name="20% - akcent 5 3 7 4 3" xfId="11784"/>
    <cellStyle name="20% - akcent 5 3 7 5" xfId="11785"/>
    <cellStyle name="20% - akcent 5 3 7 5 2" xfId="11786"/>
    <cellStyle name="20% - akcent 5 3 7 5 2 2" xfId="11787"/>
    <cellStyle name="20% - akcent 5 3 7 5 3" xfId="11788"/>
    <cellStyle name="20% - akcent 5 3 7 6" xfId="11789"/>
    <cellStyle name="20% - akcent 5 3 7 6 2" xfId="11790"/>
    <cellStyle name="20% - akcent 5 3 7 7" xfId="11791"/>
    <cellStyle name="20% - akcent 5 3 8" xfId="11792"/>
    <cellStyle name="20% - akcent 5 3 8 2" xfId="11793"/>
    <cellStyle name="20% - akcent 5 3 8 2 2" xfId="11794"/>
    <cellStyle name="20% - akcent 5 3 8 2 2 2" xfId="11795"/>
    <cellStyle name="20% - akcent 5 3 8 2 3" xfId="11796"/>
    <cellStyle name="20% - akcent 5 3 8 3" xfId="11797"/>
    <cellStyle name="20% - akcent 5 3 8 3 2" xfId="11798"/>
    <cellStyle name="20% - akcent 5 3 8 3 2 2" xfId="11799"/>
    <cellStyle name="20% - akcent 5 3 8 3 3" xfId="11800"/>
    <cellStyle name="20% - akcent 5 3 8 4" xfId="11801"/>
    <cellStyle name="20% - akcent 5 3 8 4 2" xfId="11802"/>
    <cellStyle name="20% - akcent 5 3 8 4 2 2" xfId="11803"/>
    <cellStyle name="20% - akcent 5 3 8 4 3" xfId="11804"/>
    <cellStyle name="20% - akcent 5 3 8 5" xfId="11805"/>
    <cellStyle name="20% - akcent 5 3 8 5 2" xfId="11806"/>
    <cellStyle name="20% - akcent 5 3 8 6" xfId="11807"/>
    <cellStyle name="20% - akcent 5 3 9" xfId="11808"/>
    <cellStyle name="20% - akcent 5 3 9 2" xfId="11809"/>
    <cellStyle name="20% - akcent 5 3 9 2 2" xfId="11810"/>
    <cellStyle name="20% - akcent 5 3 9 2 2 2" xfId="11811"/>
    <cellStyle name="20% - akcent 5 3 9 2 3" xfId="11812"/>
    <cellStyle name="20% - akcent 5 3 9 3" xfId="11813"/>
    <cellStyle name="20% - akcent 5 3 9 3 2" xfId="11814"/>
    <cellStyle name="20% - akcent 5 3 9 3 2 2" xfId="11815"/>
    <cellStyle name="20% - akcent 5 3 9 3 3" xfId="11816"/>
    <cellStyle name="20% - akcent 5 3 9 4" xfId="11817"/>
    <cellStyle name="20% - akcent 5 3 9 4 2" xfId="11818"/>
    <cellStyle name="20% - akcent 5 3 9 4 2 2" xfId="11819"/>
    <cellStyle name="20% - akcent 5 3 9 4 3" xfId="11820"/>
    <cellStyle name="20% - akcent 5 3 9 5" xfId="11821"/>
    <cellStyle name="20% - akcent 5 3 9 5 2" xfId="11822"/>
    <cellStyle name="20% - akcent 5 3 9 6" xfId="11823"/>
    <cellStyle name="20% - akcent 5 3_2011'05 Raport PGE_DO-CO2" xfId="11824"/>
    <cellStyle name="20% - akcent 5 4" xfId="11825"/>
    <cellStyle name="20% - akcent 5 4 2" xfId="11826"/>
    <cellStyle name="20% - akcent 5 4 2 2" xfId="11827"/>
    <cellStyle name="20% - akcent 5 4 2 2 2" xfId="11828"/>
    <cellStyle name="20% - akcent 5 4 2 2 2 2" xfId="11829"/>
    <cellStyle name="20% - akcent 5 4 2 2 2 2 2" xfId="11830"/>
    <cellStyle name="20% - akcent 5 4 2 2 2 2 2 2" xfId="11831"/>
    <cellStyle name="20% - akcent 5 4 2 2 2 2 2 2 2" xfId="11832"/>
    <cellStyle name="20% - akcent 5 4 2 2 2 2 2 3" xfId="11833"/>
    <cellStyle name="20% - akcent 5 4 2 2 2 2 3" xfId="11834"/>
    <cellStyle name="20% - akcent 5 4 2 2 2 2 3 2" xfId="11835"/>
    <cellStyle name="20% - akcent 5 4 2 2 2 2 3 2 2" xfId="11836"/>
    <cellStyle name="20% - akcent 5 4 2 2 2 2 3 3" xfId="11837"/>
    <cellStyle name="20% - akcent 5 4 2 2 2 2 4" xfId="11838"/>
    <cellStyle name="20% - akcent 5 4 2 2 2 2 4 2" xfId="11839"/>
    <cellStyle name="20% - akcent 5 4 2 2 2 2 4 2 2" xfId="11840"/>
    <cellStyle name="20% - akcent 5 4 2 2 2 2 4 3" xfId="11841"/>
    <cellStyle name="20% - akcent 5 4 2 2 2 2 5" xfId="11842"/>
    <cellStyle name="20% - akcent 5 4 2 2 2 2 5 2" xfId="11843"/>
    <cellStyle name="20% - akcent 5 4 2 2 2 2 6" xfId="11844"/>
    <cellStyle name="20% - akcent 5 4 2 2 2 3" xfId="11845"/>
    <cellStyle name="20% - akcent 5 4 2 2 2 3 2" xfId="11846"/>
    <cellStyle name="20% - akcent 5 4 2 2 2 3 2 2" xfId="11847"/>
    <cellStyle name="20% - akcent 5 4 2 2 2 3 3" xfId="11848"/>
    <cellStyle name="20% - akcent 5 4 2 2 2 4" xfId="11849"/>
    <cellStyle name="20% - akcent 5 4 2 2 2 4 2" xfId="11850"/>
    <cellStyle name="20% - akcent 5 4 2 2 2 4 2 2" xfId="11851"/>
    <cellStyle name="20% - akcent 5 4 2 2 2 4 3" xfId="11852"/>
    <cellStyle name="20% - akcent 5 4 2 2 2 5" xfId="11853"/>
    <cellStyle name="20% - akcent 5 4 2 2 2 5 2" xfId="11854"/>
    <cellStyle name="20% - akcent 5 4 2 2 2 5 2 2" xfId="11855"/>
    <cellStyle name="20% - akcent 5 4 2 2 2 5 3" xfId="11856"/>
    <cellStyle name="20% - akcent 5 4 2 2 2 6" xfId="11857"/>
    <cellStyle name="20% - akcent 5 4 2 2 2 6 2" xfId="11858"/>
    <cellStyle name="20% - akcent 5 4 2 2 2 7" xfId="11859"/>
    <cellStyle name="20% - akcent 5 4 2 2 3" xfId="11860"/>
    <cellStyle name="20% - akcent 5 4 2 2 3 2" xfId="11861"/>
    <cellStyle name="20% - akcent 5 4 2 2 3 2 2" xfId="11862"/>
    <cellStyle name="20% - akcent 5 4 2 2 3 2 2 2" xfId="11863"/>
    <cellStyle name="20% - akcent 5 4 2 2 3 2 3" xfId="11864"/>
    <cellStyle name="20% - akcent 5 4 2 2 3 3" xfId="11865"/>
    <cellStyle name="20% - akcent 5 4 2 2 3 3 2" xfId="11866"/>
    <cellStyle name="20% - akcent 5 4 2 2 3 3 2 2" xfId="11867"/>
    <cellStyle name="20% - akcent 5 4 2 2 3 3 3" xfId="11868"/>
    <cellStyle name="20% - akcent 5 4 2 2 3 4" xfId="11869"/>
    <cellStyle name="20% - akcent 5 4 2 2 3 4 2" xfId="11870"/>
    <cellStyle name="20% - akcent 5 4 2 2 3 4 2 2" xfId="11871"/>
    <cellStyle name="20% - akcent 5 4 2 2 3 4 3" xfId="11872"/>
    <cellStyle name="20% - akcent 5 4 2 2 3 5" xfId="11873"/>
    <cellStyle name="20% - akcent 5 4 2 2 3 5 2" xfId="11874"/>
    <cellStyle name="20% - akcent 5 4 2 2 3 6" xfId="11875"/>
    <cellStyle name="20% - akcent 5 4 2 2 4" xfId="11876"/>
    <cellStyle name="20% - akcent 5 4 2 2 4 2" xfId="11877"/>
    <cellStyle name="20% - akcent 5 4 2 2 4 2 2" xfId="11878"/>
    <cellStyle name="20% - akcent 5 4 2 2 4 2 2 2" xfId="11879"/>
    <cellStyle name="20% - akcent 5 4 2 2 4 2 3" xfId="11880"/>
    <cellStyle name="20% - akcent 5 4 2 2 4 3" xfId="11881"/>
    <cellStyle name="20% - akcent 5 4 2 2 4 3 2" xfId="11882"/>
    <cellStyle name="20% - akcent 5 4 2 2 4 3 2 2" xfId="11883"/>
    <cellStyle name="20% - akcent 5 4 2 2 4 3 3" xfId="11884"/>
    <cellStyle name="20% - akcent 5 4 2 2 4 4" xfId="11885"/>
    <cellStyle name="20% - akcent 5 4 2 2 4 4 2" xfId="11886"/>
    <cellStyle name="20% - akcent 5 4 2 2 4 4 2 2" xfId="11887"/>
    <cellStyle name="20% - akcent 5 4 2 2 4 4 3" xfId="11888"/>
    <cellStyle name="20% - akcent 5 4 2 2 4 5" xfId="11889"/>
    <cellStyle name="20% - akcent 5 4 2 2 4 5 2" xfId="11890"/>
    <cellStyle name="20% - akcent 5 4 2 2 4 6" xfId="11891"/>
    <cellStyle name="20% - akcent 5 4 2 2 5" xfId="11892"/>
    <cellStyle name="20% - akcent 5 4 2 2 5 2" xfId="11893"/>
    <cellStyle name="20% - akcent 5 4 2 2 5 2 2" xfId="11894"/>
    <cellStyle name="20% - akcent 5 4 2 2 5 3" xfId="11895"/>
    <cellStyle name="20% - akcent 5 4 2 2 6" xfId="11896"/>
    <cellStyle name="20% - akcent 5 4 2 2 6 2" xfId="11897"/>
    <cellStyle name="20% - akcent 5 4 2 2 6 2 2" xfId="11898"/>
    <cellStyle name="20% - akcent 5 4 2 2 6 3" xfId="11899"/>
    <cellStyle name="20% - akcent 5 4 2 2 7" xfId="11900"/>
    <cellStyle name="20% - akcent 5 4 2 2 7 2" xfId="11901"/>
    <cellStyle name="20% - akcent 5 4 2 2 7 2 2" xfId="11902"/>
    <cellStyle name="20% - akcent 5 4 2 2 7 3" xfId="11903"/>
    <cellStyle name="20% - akcent 5 4 2 2 8" xfId="11904"/>
    <cellStyle name="20% - akcent 5 4 2 2 8 2" xfId="11905"/>
    <cellStyle name="20% - akcent 5 4 2 2 9" xfId="11906"/>
    <cellStyle name="20% - akcent 5 4 2 3" xfId="11907"/>
    <cellStyle name="20% - akcent 5 4 2 3 2" xfId="11908"/>
    <cellStyle name="20% - akcent 5 4 2 3 2 2" xfId="11909"/>
    <cellStyle name="20% - akcent 5 4 2 3 2 2 2" xfId="11910"/>
    <cellStyle name="20% - akcent 5 4 2 3 2 2 2 2" xfId="11911"/>
    <cellStyle name="20% - akcent 5 4 2 3 2 2 3" xfId="11912"/>
    <cellStyle name="20% - akcent 5 4 2 3 2 3" xfId="11913"/>
    <cellStyle name="20% - akcent 5 4 2 3 2 3 2" xfId="11914"/>
    <cellStyle name="20% - akcent 5 4 2 3 2 3 2 2" xfId="11915"/>
    <cellStyle name="20% - akcent 5 4 2 3 2 3 3" xfId="11916"/>
    <cellStyle name="20% - akcent 5 4 2 3 2 4" xfId="11917"/>
    <cellStyle name="20% - akcent 5 4 2 3 2 4 2" xfId="11918"/>
    <cellStyle name="20% - akcent 5 4 2 3 2 4 2 2" xfId="11919"/>
    <cellStyle name="20% - akcent 5 4 2 3 2 4 3" xfId="11920"/>
    <cellStyle name="20% - akcent 5 4 2 3 2 5" xfId="11921"/>
    <cellStyle name="20% - akcent 5 4 2 3 2 5 2" xfId="11922"/>
    <cellStyle name="20% - akcent 5 4 2 3 2 6" xfId="11923"/>
    <cellStyle name="20% - akcent 5 4 2 3 3" xfId="11924"/>
    <cellStyle name="20% - akcent 5 4 2 3 3 2" xfId="11925"/>
    <cellStyle name="20% - akcent 5 4 2 3 3 2 2" xfId="11926"/>
    <cellStyle name="20% - akcent 5 4 2 3 3 3" xfId="11927"/>
    <cellStyle name="20% - akcent 5 4 2 3 4" xfId="11928"/>
    <cellStyle name="20% - akcent 5 4 2 3 4 2" xfId="11929"/>
    <cellStyle name="20% - akcent 5 4 2 3 4 2 2" xfId="11930"/>
    <cellStyle name="20% - akcent 5 4 2 3 4 3" xfId="11931"/>
    <cellStyle name="20% - akcent 5 4 2 3 5" xfId="11932"/>
    <cellStyle name="20% - akcent 5 4 2 3 5 2" xfId="11933"/>
    <cellStyle name="20% - akcent 5 4 2 3 5 2 2" xfId="11934"/>
    <cellStyle name="20% - akcent 5 4 2 3 5 3" xfId="11935"/>
    <cellStyle name="20% - akcent 5 4 2 3 6" xfId="11936"/>
    <cellStyle name="20% - akcent 5 4 2 3 6 2" xfId="11937"/>
    <cellStyle name="20% - akcent 5 4 2 3 7" xfId="11938"/>
    <cellStyle name="20% - akcent 5 4 2 4" xfId="11939"/>
    <cellStyle name="20% - akcent 5 4 2 4 2" xfId="11940"/>
    <cellStyle name="20% - akcent 5 4 2 4 2 2" xfId="11941"/>
    <cellStyle name="20% - akcent 5 4 2 4 2 2 2" xfId="11942"/>
    <cellStyle name="20% - akcent 5 4 2 4 2 3" xfId="11943"/>
    <cellStyle name="20% - akcent 5 4 2 4 3" xfId="11944"/>
    <cellStyle name="20% - akcent 5 4 2 4 3 2" xfId="11945"/>
    <cellStyle name="20% - akcent 5 4 2 4 3 2 2" xfId="11946"/>
    <cellStyle name="20% - akcent 5 4 2 4 3 3" xfId="11947"/>
    <cellStyle name="20% - akcent 5 4 2 4 4" xfId="11948"/>
    <cellStyle name="20% - akcent 5 4 2 4 4 2" xfId="11949"/>
    <cellStyle name="20% - akcent 5 4 2 4 4 2 2" xfId="11950"/>
    <cellStyle name="20% - akcent 5 4 2 4 4 3" xfId="11951"/>
    <cellStyle name="20% - akcent 5 4 2 4 5" xfId="11952"/>
    <cellStyle name="20% - akcent 5 4 2 4 5 2" xfId="11953"/>
    <cellStyle name="20% - akcent 5 4 2 4 6" xfId="11954"/>
    <cellStyle name="20% - akcent 5 4 2 5" xfId="11955"/>
    <cellStyle name="20% - akcent 5 4 2 5 2" xfId="11956"/>
    <cellStyle name="20% - akcent 5 4 2 5 2 2" xfId="11957"/>
    <cellStyle name="20% - akcent 5 4 2 5 2 2 2" xfId="11958"/>
    <cellStyle name="20% - akcent 5 4 2 5 2 3" xfId="11959"/>
    <cellStyle name="20% - akcent 5 4 2 5 3" xfId="11960"/>
    <cellStyle name="20% - akcent 5 4 2 5 3 2" xfId="11961"/>
    <cellStyle name="20% - akcent 5 4 2 5 3 2 2" xfId="11962"/>
    <cellStyle name="20% - akcent 5 4 2 5 3 3" xfId="11963"/>
    <cellStyle name="20% - akcent 5 4 2 5 4" xfId="11964"/>
    <cellStyle name="20% - akcent 5 4 2 5 4 2" xfId="11965"/>
    <cellStyle name="20% - akcent 5 4 2 5 4 2 2" xfId="11966"/>
    <cellStyle name="20% - akcent 5 4 2 5 4 3" xfId="11967"/>
    <cellStyle name="20% - akcent 5 4 2 5 5" xfId="11968"/>
    <cellStyle name="20% - akcent 5 4 2 5 5 2" xfId="11969"/>
    <cellStyle name="20% - akcent 5 4 2 5 6" xfId="11970"/>
    <cellStyle name="20% - akcent 5 4 2 6" xfId="11971"/>
    <cellStyle name="20% - akcent 5 4 2 7" xfId="11972"/>
    <cellStyle name="20% - akcent 5 4 2 7 2" xfId="11973"/>
    <cellStyle name="20% - akcent 5 4 2 7 2 2" xfId="11974"/>
    <cellStyle name="20% - akcent 5 4 2 7 2 2 2" xfId="11975"/>
    <cellStyle name="20% - akcent 5 4 2 7 2 3" xfId="11976"/>
    <cellStyle name="20% - akcent 5 4 2 7 3" xfId="11977"/>
    <cellStyle name="20% - akcent 5 4 2 7 3 2" xfId="11978"/>
    <cellStyle name="20% - akcent 5 4 2 7 3 2 2" xfId="11979"/>
    <cellStyle name="20% - akcent 5 4 2 7 3 3" xfId="11980"/>
    <cellStyle name="20% - akcent 5 4 2 7 4" xfId="11981"/>
    <cellStyle name="20% - akcent 5 4 2 7 4 2" xfId="11982"/>
    <cellStyle name="20% - akcent 5 4 2 7 4 2 2" xfId="11983"/>
    <cellStyle name="20% - akcent 5 4 2 7 4 3" xfId="11984"/>
    <cellStyle name="20% - akcent 5 4 2 7 5" xfId="11985"/>
    <cellStyle name="20% - akcent 5 4 2 7 5 2" xfId="11986"/>
    <cellStyle name="20% - akcent 5 4 2 7 6" xfId="11987"/>
    <cellStyle name="20% - akcent 5 4 3" xfId="11988"/>
    <cellStyle name="20% - akcent 5 4 3 2" xfId="11989"/>
    <cellStyle name="20% - akcent 5 4 3 2 2" xfId="11990"/>
    <cellStyle name="20% - akcent 5 4 3 2 2 2" xfId="11991"/>
    <cellStyle name="20% - akcent 5 4 3 2 2 2 2" xfId="11992"/>
    <cellStyle name="20% - akcent 5 4 3 2 2 2 2 2" xfId="11993"/>
    <cellStyle name="20% - akcent 5 4 3 2 2 2 3" xfId="11994"/>
    <cellStyle name="20% - akcent 5 4 3 2 2 3" xfId="11995"/>
    <cellStyle name="20% - akcent 5 4 3 2 2 3 2" xfId="11996"/>
    <cellStyle name="20% - akcent 5 4 3 2 2 3 2 2" xfId="11997"/>
    <cellStyle name="20% - akcent 5 4 3 2 2 3 3" xfId="11998"/>
    <cellStyle name="20% - akcent 5 4 3 2 2 4" xfId="11999"/>
    <cellStyle name="20% - akcent 5 4 3 2 2 4 2" xfId="12000"/>
    <cellStyle name="20% - akcent 5 4 3 2 2 4 2 2" xfId="12001"/>
    <cellStyle name="20% - akcent 5 4 3 2 2 4 3" xfId="12002"/>
    <cellStyle name="20% - akcent 5 4 3 2 2 5" xfId="12003"/>
    <cellStyle name="20% - akcent 5 4 3 2 2 5 2" xfId="12004"/>
    <cellStyle name="20% - akcent 5 4 3 2 2 6" xfId="12005"/>
    <cellStyle name="20% - akcent 5 4 3 2 3" xfId="12006"/>
    <cellStyle name="20% - akcent 5 4 3 2 3 2" xfId="12007"/>
    <cellStyle name="20% - akcent 5 4 3 2 3 2 2" xfId="12008"/>
    <cellStyle name="20% - akcent 5 4 3 2 3 3" xfId="12009"/>
    <cellStyle name="20% - akcent 5 4 3 2 4" xfId="12010"/>
    <cellStyle name="20% - akcent 5 4 3 2 4 2" xfId="12011"/>
    <cellStyle name="20% - akcent 5 4 3 2 4 2 2" xfId="12012"/>
    <cellStyle name="20% - akcent 5 4 3 2 4 3" xfId="12013"/>
    <cellStyle name="20% - akcent 5 4 3 2 5" xfId="12014"/>
    <cellStyle name="20% - akcent 5 4 3 2 5 2" xfId="12015"/>
    <cellStyle name="20% - akcent 5 4 3 2 5 2 2" xfId="12016"/>
    <cellStyle name="20% - akcent 5 4 3 2 5 3" xfId="12017"/>
    <cellStyle name="20% - akcent 5 4 3 2 6" xfId="12018"/>
    <cellStyle name="20% - akcent 5 4 3 2 6 2" xfId="12019"/>
    <cellStyle name="20% - akcent 5 4 3 2 7" xfId="12020"/>
    <cellStyle name="20% - akcent 5 4 3 3" xfId="12021"/>
    <cellStyle name="20% - akcent 5 4 3 3 2" xfId="12022"/>
    <cellStyle name="20% - akcent 5 4 3 3 2 2" xfId="12023"/>
    <cellStyle name="20% - akcent 5 4 3 3 2 2 2" xfId="12024"/>
    <cellStyle name="20% - akcent 5 4 3 3 2 3" xfId="12025"/>
    <cellStyle name="20% - akcent 5 4 3 3 3" xfId="12026"/>
    <cellStyle name="20% - akcent 5 4 3 3 3 2" xfId="12027"/>
    <cellStyle name="20% - akcent 5 4 3 3 3 2 2" xfId="12028"/>
    <cellStyle name="20% - akcent 5 4 3 3 3 3" xfId="12029"/>
    <cellStyle name="20% - akcent 5 4 3 3 4" xfId="12030"/>
    <cellStyle name="20% - akcent 5 4 3 3 4 2" xfId="12031"/>
    <cellStyle name="20% - akcent 5 4 3 3 4 2 2" xfId="12032"/>
    <cellStyle name="20% - akcent 5 4 3 3 4 3" xfId="12033"/>
    <cellStyle name="20% - akcent 5 4 3 3 5" xfId="12034"/>
    <cellStyle name="20% - akcent 5 4 3 3 5 2" xfId="12035"/>
    <cellStyle name="20% - akcent 5 4 3 3 6" xfId="12036"/>
    <cellStyle name="20% - akcent 5 4 3 4" xfId="12037"/>
    <cellStyle name="20% - akcent 5 4 3 4 2" xfId="12038"/>
    <cellStyle name="20% - akcent 5 4 3 4 2 2" xfId="12039"/>
    <cellStyle name="20% - akcent 5 4 3 4 2 2 2" xfId="12040"/>
    <cellStyle name="20% - akcent 5 4 3 4 2 3" xfId="12041"/>
    <cellStyle name="20% - akcent 5 4 3 4 3" xfId="12042"/>
    <cellStyle name="20% - akcent 5 4 3 4 3 2" xfId="12043"/>
    <cellStyle name="20% - akcent 5 4 3 4 3 2 2" xfId="12044"/>
    <cellStyle name="20% - akcent 5 4 3 4 3 3" xfId="12045"/>
    <cellStyle name="20% - akcent 5 4 3 4 4" xfId="12046"/>
    <cellStyle name="20% - akcent 5 4 3 4 4 2" xfId="12047"/>
    <cellStyle name="20% - akcent 5 4 3 4 4 2 2" xfId="12048"/>
    <cellStyle name="20% - akcent 5 4 3 4 4 3" xfId="12049"/>
    <cellStyle name="20% - akcent 5 4 3 4 5" xfId="12050"/>
    <cellStyle name="20% - akcent 5 4 3 4 5 2" xfId="12051"/>
    <cellStyle name="20% - akcent 5 4 3 4 6" xfId="12052"/>
    <cellStyle name="20% - akcent 5 4 3 5" xfId="12053"/>
    <cellStyle name="20% - akcent 5 4 3 5 2" xfId="12054"/>
    <cellStyle name="20% - akcent 5 4 3 5 2 2" xfId="12055"/>
    <cellStyle name="20% - akcent 5 4 3 5 2 2 2" xfId="12056"/>
    <cellStyle name="20% - akcent 5 4 3 5 2 3" xfId="12057"/>
    <cellStyle name="20% - akcent 5 4 3 5 3" xfId="12058"/>
    <cellStyle name="20% - akcent 5 4 3 5 3 2" xfId="12059"/>
    <cellStyle name="20% - akcent 5 4 3 5 3 2 2" xfId="12060"/>
    <cellStyle name="20% - akcent 5 4 3 5 3 3" xfId="12061"/>
    <cellStyle name="20% - akcent 5 4 3 5 4" xfId="12062"/>
    <cellStyle name="20% - akcent 5 4 3 5 4 2" xfId="12063"/>
    <cellStyle name="20% - akcent 5 4 3 5 4 2 2" xfId="12064"/>
    <cellStyle name="20% - akcent 5 4 3 5 4 3" xfId="12065"/>
    <cellStyle name="20% - akcent 5 4 3 5 5" xfId="12066"/>
    <cellStyle name="20% - akcent 5 4 3 5 5 2" xfId="12067"/>
    <cellStyle name="20% - akcent 5 4 3 5 6" xfId="12068"/>
    <cellStyle name="20% - akcent 5 4 4" xfId="12069"/>
    <cellStyle name="20% - akcent 5 4 4 2" xfId="12070"/>
    <cellStyle name="20% - akcent 5 4 4 2 2" xfId="12071"/>
    <cellStyle name="20% - akcent 5 4 4 2 2 2" xfId="12072"/>
    <cellStyle name="20% - akcent 5 4 4 2 2 2 2" xfId="12073"/>
    <cellStyle name="20% - akcent 5 4 4 2 2 3" xfId="12074"/>
    <cellStyle name="20% - akcent 5 4 4 2 3" xfId="12075"/>
    <cellStyle name="20% - akcent 5 4 4 2 3 2" xfId="12076"/>
    <cellStyle name="20% - akcent 5 4 4 2 3 2 2" xfId="12077"/>
    <cellStyle name="20% - akcent 5 4 4 2 3 3" xfId="12078"/>
    <cellStyle name="20% - akcent 5 4 4 2 4" xfId="12079"/>
    <cellStyle name="20% - akcent 5 4 4 2 4 2" xfId="12080"/>
    <cellStyle name="20% - akcent 5 4 4 2 4 2 2" xfId="12081"/>
    <cellStyle name="20% - akcent 5 4 4 2 4 3" xfId="12082"/>
    <cellStyle name="20% - akcent 5 4 4 2 5" xfId="12083"/>
    <cellStyle name="20% - akcent 5 4 4 2 5 2" xfId="12084"/>
    <cellStyle name="20% - akcent 5 4 4 2 6" xfId="12085"/>
    <cellStyle name="20% - akcent 5 4 4 3" xfId="12086"/>
    <cellStyle name="20% - akcent 5 4 4 3 2" xfId="12087"/>
    <cellStyle name="20% - akcent 5 4 4 3 2 2" xfId="12088"/>
    <cellStyle name="20% - akcent 5 4 4 3 2 2 2" xfId="12089"/>
    <cellStyle name="20% - akcent 5 4 4 3 2 3" xfId="12090"/>
    <cellStyle name="20% - akcent 5 4 4 3 3" xfId="12091"/>
    <cellStyle name="20% - akcent 5 4 4 3 3 2" xfId="12092"/>
    <cellStyle name="20% - akcent 5 4 4 3 3 2 2" xfId="12093"/>
    <cellStyle name="20% - akcent 5 4 4 3 3 3" xfId="12094"/>
    <cellStyle name="20% - akcent 5 4 4 3 4" xfId="12095"/>
    <cellStyle name="20% - akcent 5 4 4 3 4 2" xfId="12096"/>
    <cellStyle name="20% - akcent 5 4 4 3 4 2 2" xfId="12097"/>
    <cellStyle name="20% - akcent 5 4 4 3 4 3" xfId="12098"/>
    <cellStyle name="20% - akcent 5 4 4 3 5" xfId="12099"/>
    <cellStyle name="20% - akcent 5 4 4 3 5 2" xfId="12100"/>
    <cellStyle name="20% - akcent 5 4 4 3 6" xfId="12101"/>
    <cellStyle name="20% - akcent 5 4 5" xfId="12102"/>
    <cellStyle name="20% - akcent 5 4 5 2" xfId="12103"/>
    <cellStyle name="20% - akcent 5 4 5 2 2" xfId="12104"/>
    <cellStyle name="20% - akcent 5 4 5 2 2 2" xfId="12105"/>
    <cellStyle name="20% - akcent 5 4 5 2 3" xfId="12106"/>
    <cellStyle name="20% - akcent 5 4 5 3" xfId="12107"/>
    <cellStyle name="20% - akcent 5 4 5 3 2" xfId="12108"/>
    <cellStyle name="20% - akcent 5 4 5 3 2 2" xfId="12109"/>
    <cellStyle name="20% - akcent 5 4 5 3 3" xfId="12110"/>
    <cellStyle name="20% - akcent 5 4 5 4" xfId="12111"/>
    <cellStyle name="20% - akcent 5 4 5 4 2" xfId="12112"/>
    <cellStyle name="20% - akcent 5 4 5 4 2 2" xfId="12113"/>
    <cellStyle name="20% - akcent 5 4 5 4 3" xfId="12114"/>
    <cellStyle name="20% - akcent 5 4 5 5" xfId="12115"/>
    <cellStyle name="20% - akcent 5 4 5 5 2" xfId="12116"/>
    <cellStyle name="20% - akcent 5 4 5 6" xfId="12117"/>
    <cellStyle name="20% - akcent 5 4 6" xfId="12118"/>
    <cellStyle name="20% - akcent 5 4 6 2" xfId="12119"/>
    <cellStyle name="20% - akcent 5 4 6 2 2" xfId="12120"/>
    <cellStyle name="20% - akcent 5 4 6 2 2 2" xfId="12121"/>
    <cellStyle name="20% - akcent 5 4 6 2 3" xfId="12122"/>
    <cellStyle name="20% - akcent 5 4 6 3" xfId="12123"/>
    <cellStyle name="20% - akcent 5 4 6 3 2" xfId="12124"/>
    <cellStyle name="20% - akcent 5 4 6 3 2 2" xfId="12125"/>
    <cellStyle name="20% - akcent 5 4 6 3 3" xfId="12126"/>
    <cellStyle name="20% - akcent 5 4 6 4" xfId="12127"/>
    <cellStyle name="20% - akcent 5 4 6 4 2" xfId="12128"/>
    <cellStyle name="20% - akcent 5 4 6 4 2 2" xfId="12129"/>
    <cellStyle name="20% - akcent 5 4 6 4 3" xfId="12130"/>
    <cellStyle name="20% - akcent 5 4 6 5" xfId="12131"/>
    <cellStyle name="20% - akcent 5 4 6 5 2" xfId="12132"/>
    <cellStyle name="20% - akcent 5 4 6 6" xfId="12133"/>
    <cellStyle name="20% - akcent 5 4 7" xfId="12134"/>
    <cellStyle name="20% - akcent 5 4 7 2" xfId="12135"/>
    <cellStyle name="20% - akcent 5 4 7 2 2" xfId="12136"/>
    <cellStyle name="20% - akcent 5 4 7 2 2 2" xfId="12137"/>
    <cellStyle name="20% - akcent 5 4 7 2 3" xfId="12138"/>
    <cellStyle name="20% - akcent 5 4 7 3" xfId="12139"/>
    <cellStyle name="20% - akcent 5 4 7 3 2" xfId="12140"/>
    <cellStyle name="20% - akcent 5 4 7 3 2 2" xfId="12141"/>
    <cellStyle name="20% - akcent 5 4 7 3 3" xfId="12142"/>
    <cellStyle name="20% - akcent 5 4 7 4" xfId="12143"/>
    <cellStyle name="20% - akcent 5 4 7 4 2" xfId="12144"/>
    <cellStyle name="20% - akcent 5 4 7 4 2 2" xfId="12145"/>
    <cellStyle name="20% - akcent 5 4 7 4 3" xfId="12146"/>
    <cellStyle name="20% - akcent 5 4 7 5" xfId="12147"/>
    <cellStyle name="20% - akcent 5 4 7 5 2" xfId="12148"/>
    <cellStyle name="20% - akcent 5 4 7 6" xfId="12149"/>
    <cellStyle name="20% - akcent 5 4_2011'05 Raport PGE_DO-CO2" xfId="12150"/>
    <cellStyle name="20% - akcent 5 5" xfId="12151"/>
    <cellStyle name="20% - akcent 5 5 2" xfId="12152"/>
    <cellStyle name="20% - akcent 5 5 2 2" xfId="12153"/>
    <cellStyle name="20% - akcent 5 5 2 2 2" xfId="12154"/>
    <cellStyle name="20% - akcent 5 5 2 2 2 2" xfId="12155"/>
    <cellStyle name="20% - akcent 5 5 2 2 2 2 2" xfId="12156"/>
    <cellStyle name="20% - akcent 5 5 2 2 2 2 2 2" xfId="12157"/>
    <cellStyle name="20% - akcent 5 5 2 2 2 2 3" xfId="12158"/>
    <cellStyle name="20% - akcent 5 5 2 2 2 3" xfId="12159"/>
    <cellStyle name="20% - akcent 5 5 2 2 2 3 2" xfId="12160"/>
    <cellStyle name="20% - akcent 5 5 2 2 2 3 2 2" xfId="12161"/>
    <cellStyle name="20% - akcent 5 5 2 2 2 3 3" xfId="12162"/>
    <cellStyle name="20% - akcent 5 5 2 2 2 4" xfId="12163"/>
    <cellStyle name="20% - akcent 5 5 2 2 2 4 2" xfId="12164"/>
    <cellStyle name="20% - akcent 5 5 2 2 2 4 2 2" xfId="12165"/>
    <cellStyle name="20% - akcent 5 5 2 2 2 4 3" xfId="12166"/>
    <cellStyle name="20% - akcent 5 5 2 2 2 5" xfId="12167"/>
    <cellStyle name="20% - akcent 5 5 2 2 2 5 2" xfId="12168"/>
    <cellStyle name="20% - akcent 5 5 2 2 2 6" xfId="12169"/>
    <cellStyle name="20% - akcent 5 5 2 2 3" xfId="12170"/>
    <cellStyle name="20% - akcent 5 5 2 2 3 2" xfId="12171"/>
    <cellStyle name="20% - akcent 5 5 2 2 3 2 2" xfId="12172"/>
    <cellStyle name="20% - akcent 5 5 2 2 3 3" xfId="12173"/>
    <cellStyle name="20% - akcent 5 5 2 2 4" xfId="12174"/>
    <cellStyle name="20% - akcent 5 5 2 2 4 2" xfId="12175"/>
    <cellStyle name="20% - akcent 5 5 2 2 4 2 2" xfId="12176"/>
    <cellStyle name="20% - akcent 5 5 2 2 4 3" xfId="12177"/>
    <cellStyle name="20% - akcent 5 5 2 2 5" xfId="12178"/>
    <cellStyle name="20% - akcent 5 5 2 2 5 2" xfId="12179"/>
    <cellStyle name="20% - akcent 5 5 2 2 5 2 2" xfId="12180"/>
    <cellStyle name="20% - akcent 5 5 2 2 5 3" xfId="12181"/>
    <cellStyle name="20% - akcent 5 5 2 2 6" xfId="12182"/>
    <cellStyle name="20% - akcent 5 5 2 2 6 2" xfId="12183"/>
    <cellStyle name="20% - akcent 5 5 2 2 7" xfId="12184"/>
    <cellStyle name="20% - akcent 5 5 2 3" xfId="12185"/>
    <cellStyle name="20% - akcent 5 5 2 3 2" xfId="12186"/>
    <cellStyle name="20% - akcent 5 5 2 3 2 2" xfId="12187"/>
    <cellStyle name="20% - akcent 5 5 2 3 2 2 2" xfId="12188"/>
    <cellStyle name="20% - akcent 5 5 2 3 2 3" xfId="12189"/>
    <cellStyle name="20% - akcent 5 5 2 3 3" xfId="12190"/>
    <cellStyle name="20% - akcent 5 5 2 3 3 2" xfId="12191"/>
    <cellStyle name="20% - akcent 5 5 2 3 3 2 2" xfId="12192"/>
    <cellStyle name="20% - akcent 5 5 2 3 3 3" xfId="12193"/>
    <cellStyle name="20% - akcent 5 5 2 3 4" xfId="12194"/>
    <cellStyle name="20% - akcent 5 5 2 3 4 2" xfId="12195"/>
    <cellStyle name="20% - akcent 5 5 2 3 4 2 2" xfId="12196"/>
    <cellStyle name="20% - akcent 5 5 2 3 4 3" xfId="12197"/>
    <cellStyle name="20% - akcent 5 5 2 3 5" xfId="12198"/>
    <cellStyle name="20% - akcent 5 5 2 3 5 2" xfId="12199"/>
    <cellStyle name="20% - akcent 5 5 2 3 6" xfId="12200"/>
    <cellStyle name="20% - akcent 5 5 2 4" xfId="12201"/>
    <cellStyle name="20% - akcent 5 5 2 4 2" xfId="12202"/>
    <cellStyle name="20% - akcent 5 5 2 4 2 2" xfId="12203"/>
    <cellStyle name="20% - akcent 5 5 2 4 2 2 2" xfId="12204"/>
    <cellStyle name="20% - akcent 5 5 2 4 2 3" xfId="12205"/>
    <cellStyle name="20% - akcent 5 5 2 4 3" xfId="12206"/>
    <cellStyle name="20% - akcent 5 5 2 4 3 2" xfId="12207"/>
    <cellStyle name="20% - akcent 5 5 2 4 3 2 2" xfId="12208"/>
    <cellStyle name="20% - akcent 5 5 2 4 3 3" xfId="12209"/>
    <cellStyle name="20% - akcent 5 5 2 4 4" xfId="12210"/>
    <cellStyle name="20% - akcent 5 5 2 4 4 2" xfId="12211"/>
    <cellStyle name="20% - akcent 5 5 2 4 4 2 2" xfId="12212"/>
    <cellStyle name="20% - akcent 5 5 2 4 4 3" xfId="12213"/>
    <cellStyle name="20% - akcent 5 5 2 4 5" xfId="12214"/>
    <cellStyle name="20% - akcent 5 5 2 4 5 2" xfId="12215"/>
    <cellStyle name="20% - akcent 5 5 2 4 6" xfId="12216"/>
    <cellStyle name="20% - akcent 5 5 2 5" xfId="12217"/>
    <cellStyle name="20% - akcent 5 5 2 6" xfId="12218"/>
    <cellStyle name="20% - akcent 5 5 2 6 2" xfId="12219"/>
    <cellStyle name="20% - akcent 5 5 2 6 2 2" xfId="12220"/>
    <cellStyle name="20% - akcent 5 5 2 6 2 2 2" xfId="12221"/>
    <cellStyle name="20% - akcent 5 5 2 6 2 3" xfId="12222"/>
    <cellStyle name="20% - akcent 5 5 2 6 3" xfId="12223"/>
    <cellStyle name="20% - akcent 5 5 2 6 3 2" xfId="12224"/>
    <cellStyle name="20% - akcent 5 5 2 6 3 2 2" xfId="12225"/>
    <cellStyle name="20% - akcent 5 5 2 6 3 3" xfId="12226"/>
    <cellStyle name="20% - akcent 5 5 2 6 4" xfId="12227"/>
    <cellStyle name="20% - akcent 5 5 2 6 4 2" xfId="12228"/>
    <cellStyle name="20% - akcent 5 5 2 6 4 2 2" xfId="12229"/>
    <cellStyle name="20% - akcent 5 5 2 6 4 3" xfId="12230"/>
    <cellStyle name="20% - akcent 5 5 2 6 5" xfId="12231"/>
    <cellStyle name="20% - akcent 5 5 2 6 5 2" xfId="12232"/>
    <cellStyle name="20% - akcent 5 5 2 6 6" xfId="12233"/>
    <cellStyle name="20% - akcent 5 5 3" xfId="12234"/>
    <cellStyle name="20% - akcent 5 5 3 2" xfId="12235"/>
    <cellStyle name="20% - akcent 5 5 3 2 2" xfId="12236"/>
    <cellStyle name="20% - akcent 5 5 3 2 2 2" xfId="12237"/>
    <cellStyle name="20% - akcent 5 5 3 2 2 2 2" xfId="12238"/>
    <cellStyle name="20% - akcent 5 5 3 2 2 3" xfId="12239"/>
    <cellStyle name="20% - akcent 5 5 3 2 3" xfId="12240"/>
    <cellStyle name="20% - akcent 5 5 3 2 3 2" xfId="12241"/>
    <cellStyle name="20% - akcent 5 5 3 2 3 2 2" xfId="12242"/>
    <cellStyle name="20% - akcent 5 5 3 2 3 3" xfId="12243"/>
    <cellStyle name="20% - akcent 5 5 3 2 4" xfId="12244"/>
    <cellStyle name="20% - akcent 5 5 3 2 4 2" xfId="12245"/>
    <cellStyle name="20% - akcent 5 5 3 2 4 2 2" xfId="12246"/>
    <cellStyle name="20% - akcent 5 5 3 2 4 3" xfId="12247"/>
    <cellStyle name="20% - akcent 5 5 3 2 5" xfId="12248"/>
    <cellStyle name="20% - akcent 5 5 3 2 5 2" xfId="12249"/>
    <cellStyle name="20% - akcent 5 5 3 2 6" xfId="12250"/>
    <cellStyle name="20% - akcent 5 5 3 3" xfId="12251"/>
    <cellStyle name="20% - akcent 5 5 3 3 2" xfId="12252"/>
    <cellStyle name="20% - akcent 5 5 3 3 2 2" xfId="12253"/>
    <cellStyle name="20% - akcent 5 5 3 3 3" xfId="12254"/>
    <cellStyle name="20% - akcent 5 5 3 4" xfId="12255"/>
    <cellStyle name="20% - akcent 5 5 3 4 2" xfId="12256"/>
    <cellStyle name="20% - akcent 5 5 3 4 2 2" xfId="12257"/>
    <cellStyle name="20% - akcent 5 5 3 4 3" xfId="12258"/>
    <cellStyle name="20% - akcent 5 5 3 5" xfId="12259"/>
    <cellStyle name="20% - akcent 5 5 3 5 2" xfId="12260"/>
    <cellStyle name="20% - akcent 5 5 3 5 2 2" xfId="12261"/>
    <cellStyle name="20% - akcent 5 5 3 5 3" xfId="12262"/>
    <cellStyle name="20% - akcent 5 5 3 6" xfId="12263"/>
    <cellStyle name="20% - akcent 5 5 3 6 2" xfId="12264"/>
    <cellStyle name="20% - akcent 5 5 3 7" xfId="12265"/>
    <cellStyle name="20% - akcent 5 5 4" xfId="12266"/>
    <cellStyle name="20% - akcent 5 5 4 2" xfId="12267"/>
    <cellStyle name="20% - akcent 5 5 4 2 2" xfId="12268"/>
    <cellStyle name="20% - akcent 5 5 4 2 2 2" xfId="12269"/>
    <cellStyle name="20% - akcent 5 5 4 2 3" xfId="12270"/>
    <cellStyle name="20% - akcent 5 5 4 3" xfId="12271"/>
    <cellStyle name="20% - akcent 5 5 4 3 2" xfId="12272"/>
    <cellStyle name="20% - akcent 5 5 4 3 2 2" xfId="12273"/>
    <cellStyle name="20% - akcent 5 5 4 3 3" xfId="12274"/>
    <cellStyle name="20% - akcent 5 5 4 4" xfId="12275"/>
    <cellStyle name="20% - akcent 5 5 4 4 2" xfId="12276"/>
    <cellStyle name="20% - akcent 5 5 4 4 2 2" xfId="12277"/>
    <cellStyle name="20% - akcent 5 5 4 4 3" xfId="12278"/>
    <cellStyle name="20% - akcent 5 5 4 5" xfId="12279"/>
    <cellStyle name="20% - akcent 5 5 4 5 2" xfId="12280"/>
    <cellStyle name="20% - akcent 5 5 4 6" xfId="12281"/>
    <cellStyle name="20% - akcent 5 5 5" xfId="12282"/>
    <cellStyle name="20% - akcent 5 5 5 2" xfId="12283"/>
    <cellStyle name="20% - akcent 5 5 5 2 2" xfId="12284"/>
    <cellStyle name="20% - akcent 5 5 5 2 2 2" xfId="12285"/>
    <cellStyle name="20% - akcent 5 5 5 2 3" xfId="12286"/>
    <cellStyle name="20% - akcent 5 5 5 3" xfId="12287"/>
    <cellStyle name="20% - akcent 5 5 5 3 2" xfId="12288"/>
    <cellStyle name="20% - akcent 5 5 5 3 2 2" xfId="12289"/>
    <cellStyle name="20% - akcent 5 5 5 3 3" xfId="12290"/>
    <cellStyle name="20% - akcent 5 5 5 4" xfId="12291"/>
    <cellStyle name="20% - akcent 5 5 5 4 2" xfId="12292"/>
    <cellStyle name="20% - akcent 5 5 5 4 2 2" xfId="12293"/>
    <cellStyle name="20% - akcent 5 5 5 4 3" xfId="12294"/>
    <cellStyle name="20% - akcent 5 5 5 5" xfId="12295"/>
    <cellStyle name="20% - akcent 5 5 5 5 2" xfId="12296"/>
    <cellStyle name="20% - akcent 5 5 5 6" xfId="12297"/>
    <cellStyle name="20% - akcent 5 5 6" xfId="12298"/>
    <cellStyle name="20% - akcent 5 5 7" xfId="12299"/>
    <cellStyle name="20% - akcent 5 5 7 2" xfId="12300"/>
    <cellStyle name="20% - akcent 5 5 7 2 2" xfId="12301"/>
    <cellStyle name="20% - akcent 5 5 7 2 2 2" xfId="12302"/>
    <cellStyle name="20% - akcent 5 5 7 2 3" xfId="12303"/>
    <cellStyle name="20% - akcent 5 5 7 3" xfId="12304"/>
    <cellStyle name="20% - akcent 5 5 7 3 2" xfId="12305"/>
    <cellStyle name="20% - akcent 5 5 7 3 2 2" xfId="12306"/>
    <cellStyle name="20% - akcent 5 5 7 3 3" xfId="12307"/>
    <cellStyle name="20% - akcent 5 5 7 4" xfId="12308"/>
    <cellStyle name="20% - akcent 5 5 7 4 2" xfId="12309"/>
    <cellStyle name="20% - akcent 5 5 7 4 2 2" xfId="12310"/>
    <cellStyle name="20% - akcent 5 5 7 4 3" xfId="12311"/>
    <cellStyle name="20% - akcent 5 5 7 5" xfId="12312"/>
    <cellStyle name="20% - akcent 5 5 7 5 2" xfId="12313"/>
    <cellStyle name="20% - akcent 5 5 7 6" xfId="12314"/>
    <cellStyle name="20% - akcent 5 5_2011'05 Raport PGE_DO-CO2" xfId="12315"/>
    <cellStyle name="20% - akcent 5 6" xfId="12316"/>
    <cellStyle name="20% - akcent 5 6 2" xfId="12317"/>
    <cellStyle name="20% - akcent 5 6 2 10" xfId="12318"/>
    <cellStyle name="20% - akcent 5 6 2 2" xfId="12319"/>
    <cellStyle name="20% - akcent 5 6 2 2 2" xfId="12320"/>
    <cellStyle name="20% - akcent 5 6 2 2 2 2" xfId="12321"/>
    <cellStyle name="20% - akcent 5 6 2 2 2 2 2" xfId="12322"/>
    <cellStyle name="20% - akcent 5 6 2 2 2 2 2 2" xfId="12323"/>
    <cellStyle name="20% - akcent 5 6 2 2 2 2 3" xfId="12324"/>
    <cellStyle name="20% - akcent 5 6 2 2 2 3" xfId="12325"/>
    <cellStyle name="20% - akcent 5 6 2 2 2 3 2" xfId="12326"/>
    <cellStyle name="20% - akcent 5 6 2 2 2 3 2 2" xfId="12327"/>
    <cellStyle name="20% - akcent 5 6 2 2 2 3 3" xfId="12328"/>
    <cellStyle name="20% - akcent 5 6 2 2 2 4" xfId="12329"/>
    <cellStyle name="20% - akcent 5 6 2 2 2 4 2" xfId="12330"/>
    <cellStyle name="20% - akcent 5 6 2 2 2 4 2 2" xfId="12331"/>
    <cellStyle name="20% - akcent 5 6 2 2 2 4 3" xfId="12332"/>
    <cellStyle name="20% - akcent 5 6 2 2 2 5" xfId="12333"/>
    <cellStyle name="20% - akcent 5 6 2 2 2 5 2" xfId="12334"/>
    <cellStyle name="20% - akcent 5 6 2 2 2 6" xfId="12335"/>
    <cellStyle name="20% - akcent 5 6 2 2 3" xfId="12336"/>
    <cellStyle name="20% - akcent 5 6 2 2 3 2" xfId="12337"/>
    <cellStyle name="20% - akcent 5 6 2 2 3 2 2" xfId="12338"/>
    <cellStyle name="20% - akcent 5 6 2 2 3 3" xfId="12339"/>
    <cellStyle name="20% - akcent 5 6 2 2 4" xfId="12340"/>
    <cellStyle name="20% - akcent 5 6 2 2 4 2" xfId="12341"/>
    <cellStyle name="20% - akcent 5 6 2 2 4 2 2" xfId="12342"/>
    <cellStyle name="20% - akcent 5 6 2 2 4 3" xfId="12343"/>
    <cellStyle name="20% - akcent 5 6 2 2 5" xfId="12344"/>
    <cellStyle name="20% - akcent 5 6 2 2 5 2" xfId="12345"/>
    <cellStyle name="20% - akcent 5 6 2 2 5 2 2" xfId="12346"/>
    <cellStyle name="20% - akcent 5 6 2 2 5 3" xfId="12347"/>
    <cellStyle name="20% - akcent 5 6 2 2 6" xfId="12348"/>
    <cellStyle name="20% - akcent 5 6 2 2 6 2" xfId="12349"/>
    <cellStyle name="20% - akcent 5 6 2 2 7" xfId="12350"/>
    <cellStyle name="20% - akcent 5 6 2 3" xfId="12351"/>
    <cellStyle name="20% - akcent 5 6 2 3 2" xfId="12352"/>
    <cellStyle name="20% - akcent 5 6 2 3 2 2" xfId="12353"/>
    <cellStyle name="20% - akcent 5 6 2 3 2 2 2" xfId="12354"/>
    <cellStyle name="20% - akcent 5 6 2 3 2 3" xfId="12355"/>
    <cellStyle name="20% - akcent 5 6 2 3 3" xfId="12356"/>
    <cellStyle name="20% - akcent 5 6 2 3 3 2" xfId="12357"/>
    <cellStyle name="20% - akcent 5 6 2 3 3 2 2" xfId="12358"/>
    <cellStyle name="20% - akcent 5 6 2 3 3 3" xfId="12359"/>
    <cellStyle name="20% - akcent 5 6 2 3 4" xfId="12360"/>
    <cellStyle name="20% - akcent 5 6 2 3 4 2" xfId="12361"/>
    <cellStyle name="20% - akcent 5 6 2 3 4 2 2" xfId="12362"/>
    <cellStyle name="20% - akcent 5 6 2 3 4 3" xfId="12363"/>
    <cellStyle name="20% - akcent 5 6 2 3 5" xfId="12364"/>
    <cellStyle name="20% - akcent 5 6 2 3 5 2" xfId="12365"/>
    <cellStyle name="20% - akcent 5 6 2 3 6" xfId="12366"/>
    <cellStyle name="20% - akcent 5 6 2 4" xfId="12367"/>
    <cellStyle name="20% - akcent 5 6 2 4 2" xfId="12368"/>
    <cellStyle name="20% - akcent 5 6 2 4 2 2" xfId="12369"/>
    <cellStyle name="20% - akcent 5 6 2 4 2 2 2" xfId="12370"/>
    <cellStyle name="20% - akcent 5 6 2 4 2 3" xfId="12371"/>
    <cellStyle name="20% - akcent 5 6 2 4 3" xfId="12372"/>
    <cellStyle name="20% - akcent 5 6 2 4 3 2" xfId="12373"/>
    <cellStyle name="20% - akcent 5 6 2 4 3 2 2" xfId="12374"/>
    <cellStyle name="20% - akcent 5 6 2 4 3 3" xfId="12375"/>
    <cellStyle name="20% - akcent 5 6 2 4 4" xfId="12376"/>
    <cellStyle name="20% - akcent 5 6 2 4 4 2" xfId="12377"/>
    <cellStyle name="20% - akcent 5 6 2 4 4 2 2" xfId="12378"/>
    <cellStyle name="20% - akcent 5 6 2 4 4 3" xfId="12379"/>
    <cellStyle name="20% - akcent 5 6 2 4 5" xfId="12380"/>
    <cellStyle name="20% - akcent 5 6 2 4 5 2" xfId="12381"/>
    <cellStyle name="20% - akcent 5 6 2 4 6" xfId="12382"/>
    <cellStyle name="20% - akcent 5 6 2 5" xfId="12383"/>
    <cellStyle name="20% - akcent 5 6 2 6" xfId="12384"/>
    <cellStyle name="20% - akcent 5 6 2 6 2" xfId="12385"/>
    <cellStyle name="20% - akcent 5 6 2 6 2 2" xfId="12386"/>
    <cellStyle name="20% - akcent 5 6 2 6 3" xfId="12387"/>
    <cellStyle name="20% - akcent 5 6 2 7" xfId="12388"/>
    <cellStyle name="20% - akcent 5 6 2 7 2" xfId="12389"/>
    <cellStyle name="20% - akcent 5 6 2 7 2 2" xfId="12390"/>
    <cellStyle name="20% - akcent 5 6 2 7 3" xfId="12391"/>
    <cellStyle name="20% - akcent 5 6 2 8" xfId="12392"/>
    <cellStyle name="20% - akcent 5 6 2 8 2" xfId="12393"/>
    <cellStyle name="20% - akcent 5 6 2 8 2 2" xfId="12394"/>
    <cellStyle name="20% - akcent 5 6 2 8 3" xfId="12395"/>
    <cellStyle name="20% - akcent 5 6 2 9" xfId="12396"/>
    <cellStyle name="20% - akcent 5 6 2 9 2" xfId="12397"/>
    <cellStyle name="20% - akcent 5 6 3" xfId="12398"/>
    <cellStyle name="20% - akcent 5 6 3 2" xfId="12399"/>
    <cellStyle name="20% - akcent 5 6 3 2 2" xfId="12400"/>
    <cellStyle name="20% - akcent 5 6 3 2 2 2" xfId="12401"/>
    <cellStyle name="20% - akcent 5 6 3 2 2 2 2" xfId="12402"/>
    <cellStyle name="20% - akcent 5 6 3 2 2 3" xfId="12403"/>
    <cellStyle name="20% - akcent 5 6 3 2 3" xfId="12404"/>
    <cellStyle name="20% - akcent 5 6 3 2 3 2" xfId="12405"/>
    <cellStyle name="20% - akcent 5 6 3 2 3 2 2" xfId="12406"/>
    <cellStyle name="20% - akcent 5 6 3 2 3 3" xfId="12407"/>
    <cellStyle name="20% - akcent 5 6 3 2 4" xfId="12408"/>
    <cellStyle name="20% - akcent 5 6 3 2 4 2" xfId="12409"/>
    <cellStyle name="20% - akcent 5 6 3 2 4 2 2" xfId="12410"/>
    <cellStyle name="20% - akcent 5 6 3 2 4 3" xfId="12411"/>
    <cellStyle name="20% - akcent 5 6 3 2 5" xfId="12412"/>
    <cellStyle name="20% - akcent 5 6 3 2 5 2" xfId="12413"/>
    <cellStyle name="20% - akcent 5 6 3 2 6" xfId="12414"/>
    <cellStyle name="20% - akcent 5 6 3 3" xfId="12415"/>
    <cellStyle name="20% - akcent 5 6 3 3 2" xfId="12416"/>
    <cellStyle name="20% - akcent 5 6 3 3 2 2" xfId="12417"/>
    <cellStyle name="20% - akcent 5 6 3 3 3" xfId="12418"/>
    <cellStyle name="20% - akcent 5 6 3 4" xfId="12419"/>
    <cellStyle name="20% - akcent 5 6 3 4 2" xfId="12420"/>
    <cellStyle name="20% - akcent 5 6 3 4 2 2" xfId="12421"/>
    <cellStyle name="20% - akcent 5 6 3 4 3" xfId="12422"/>
    <cellStyle name="20% - akcent 5 6 3 5" xfId="12423"/>
    <cellStyle name="20% - akcent 5 6 3 5 2" xfId="12424"/>
    <cellStyle name="20% - akcent 5 6 3 5 2 2" xfId="12425"/>
    <cellStyle name="20% - akcent 5 6 3 5 3" xfId="12426"/>
    <cellStyle name="20% - akcent 5 6 3 6" xfId="12427"/>
    <cellStyle name="20% - akcent 5 6 3 6 2" xfId="12428"/>
    <cellStyle name="20% - akcent 5 6 3 7" xfId="12429"/>
    <cellStyle name="20% - akcent 5 6 4" xfId="12430"/>
    <cellStyle name="20% - akcent 5 6 4 2" xfId="12431"/>
    <cellStyle name="20% - akcent 5 6 4 2 2" xfId="12432"/>
    <cellStyle name="20% - akcent 5 6 4 2 2 2" xfId="12433"/>
    <cellStyle name="20% - akcent 5 6 4 2 3" xfId="12434"/>
    <cellStyle name="20% - akcent 5 6 4 3" xfId="12435"/>
    <cellStyle name="20% - akcent 5 6 4 3 2" xfId="12436"/>
    <cellStyle name="20% - akcent 5 6 4 3 2 2" xfId="12437"/>
    <cellStyle name="20% - akcent 5 6 4 3 3" xfId="12438"/>
    <cellStyle name="20% - akcent 5 6 4 4" xfId="12439"/>
    <cellStyle name="20% - akcent 5 6 4 4 2" xfId="12440"/>
    <cellStyle name="20% - akcent 5 6 4 4 2 2" xfId="12441"/>
    <cellStyle name="20% - akcent 5 6 4 4 3" xfId="12442"/>
    <cellStyle name="20% - akcent 5 6 4 5" xfId="12443"/>
    <cellStyle name="20% - akcent 5 6 4 5 2" xfId="12444"/>
    <cellStyle name="20% - akcent 5 6 4 6" xfId="12445"/>
    <cellStyle name="20% - akcent 5 6 5" xfId="12446"/>
    <cellStyle name="20% - akcent 5 6 5 2" xfId="12447"/>
    <cellStyle name="20% - akcent 5 6 5 2 2" xfId="12448"/>
    <cellStyle name="20% - akcent 5 6 5 2 2 2" xfId="12449"/>
    <cellStyle name="20% - akcent 5 6 5 2 3" xfId="12450"/>
    <cellStyle name="20% - akcent 5 6 5 3" xfId="12451"/>
    <cellStyle name="20% - akcent 5 6 5 3 2" xfId="12452"/>
    <cellStyle name="20% - akcent 5 6 5 3 2 2" xfId="12453"/>
    <cellStyle name="20% - akcent 5 6 5 3 3" xfId="12454"/>
    <cellStyle name="20% - akcent 5 6 5 4" xfId="12455"/>
    <cellStyle name="20% - akcent 5 6 5 4 2" xfId="12456"/>
    <cellStyle name="20% - akcent 5 6 5 4 2 2" xfId="12457"/>
    <cellStyle name="20% - akcent 5 6 5 4 3" xfId="12458"/>
    <cellStyle name="20% - akcent 5 6 5 5" xfId="12459"/>
    <cellStyle name="20% - akcent 5 6 5 5 2" xfId="12460"/>
    <cellStyle name="20% - akcent 5 6 5 6" xfId="12461"/>
    <cellStyle name="20% - akcent 5 6 6" xfId="12462"/>
    <cellStyle name="20% - akcent 5 6 7" xfId="12463"/>
    <cellStyle name="20% - akcent 5 6 7 2" xfId="12464"/>
    <cellStyle name="20% - akcent 5 6 7 2 2" xfId="12465"/>
    <cellStyle name="20% - akcent 5 6 7 2 2 2" xfId="12466"/>
    <cellStyle name="20% - akcent 5 6 7 2 3" xfId="12467"/>
    <cellStyle name="20% - akcent 5 6 7 3" xfId="12468"/>
    <cellStyle name="20% - akcent 5 6 7 3 2" xfId="12469"/>
    <cellStyle name="20% - akcent 5 6 7 3 2 2" xfId="12470"/>
    <cellStyle name="20% - akcent 5 6 7 3 3" xfId="12471"/>
    <cellStyle name="20% - akcent 5 6 7 4" xfId="12472"/>
    <cellStyle name="20% - akcent 5 6 7 4 2" xfId="12473"/>
    <cellStyle name="20% - akcent 5 6 7 4 2 2" xfId="12474"/>
    <cellStyle name="20% - akcent 5 6 7 4 3" xfId="12475"/>
    <cellStyle name="20% - akcent 5 6 7 5" xfId="12476"/>
    <cellStyle name="20% - akcent 5 6 7 5 2" xfId="12477"/>
    <cellStyle name="20% - akcent 5 6 7 6" xfId="12478"/>
    <cellStyle name="20% - akcent 5 6_Arkusz1" xfId="12479"/>
    <cellStyle name="20% - akcent 5 7" xfId="12480"/>
    <cellStyle name="20% - akcent 5 7 2" xfId="12481"/>
    <cellStyle name="20% - akcent 5 7 2 10" xfId="12482"/>
    <cellStyle name="20% - akcent 5 7 2 2" xfId="12483"/>
    <cellStyle name="20% - akcent 5 7 2 2 2" xfId="12484"/>
    <cellStyle name="20% - akcent 5 7 2 2 2 2" xfId="12485"/>
    <cellStyle name="20% - akcent 5 7 2 2 2 2 2" xfId="12486"/>
    <cellStyle name="20% - akcent 5 7 2 2 2 2 2 2" xfId="12487"/>
    <cellStyle name="20% - akcent 5 7 2 2 2 2 3" xfId="12488"/>
    <cellStyle name="20% - akcent 5 7 2 2 2 3" xfId="12489"/>
    <cellStyle name="20% - akcent 5 7 2 2 2 3 2" xfId="12490"/>
    <cellStyle name="20% - akcent 5 7 2 2 2 3 2 2" xfId="12491"/>
    <cellStyle name="20% - akcent 5 7 2 2 2 3 3" xfId="12492"/>
    <cellStyle name="20% - akcent 5 7 2 2 2 4" xfId="12493"/>
    <cellStyle name="20% - akcent 5 7 2 2 2 4 2" xfId="12494"/>
    <cellStyle name="20% - akcent 5 7 2 2 2 4 2 2" xfId="12495"/>
    <cellStyle name="20% - akcent 5 7 2 2 2 4 3" xfId="12496"/>
    <cellStyle name="20% - akcent 5 7 2 2 2 5" xfId="12497"/>
    <cellStyle name="20% - akcent 5 7 2 2 2 5 2" xfId="12498"/>
    <cellStyle name="20% - akcent 5 7 2 2 2 6" xfId="12499"/>
    <cellStyle name="20% - akcent 5 7 2 2 3" xfId="12500"/>
    <cellStyle name="20% - akcent 5 7 2 2 3 2" xfId="12501"/>
    <cellStyle name="20% - akcent 5 7 2 2 3 2 2" xfId="12502"/>
    <cellStyle name="20% - akcent 5 7 2 2 3 3" xfId="12503"/>
    <cellStyle name="20% - akcent 5 7 2 2 4" xfId="12504"/>
    <cellStyle name="20% - akcent 5 7 2 2 4 2" xfId="12505"/>
    <cellStyle name="20% - akcent 5 7 2 2 4 2 2" xfId="12506"/>
    <cellStyle name="20% - akcent 5 7 2 2 4 3" xfId="12507"/>
    <cellStyle name="20% - akcent 5 7 2 2 5" xfId="12508"/>
    <cellStyle name="20% - akcent 5 7 2 2 5 2" xfId="12509"/>
    <cellStyle name="20% - akcent 5 7 2 2 5 2 2" xfId="12510"/>
    <cellStyle name="20% - akcent 5 7 2 2 5 3" xfId="12511"/>
    <cellStyle name="20% - akcent 5 7 2 2 6" xfId="12512"/>
    <cellStyle name="20% - akcent 5 7 2 2 6 2" xfId="12513"/>
    <cellStyle name="20% - akcent 5 7 2 2 7" xfId="12514"/>
    <cellStyle name="20% - akcent 5 7 2 3" xfId="12515"/>
    <cellStyle name="20% - akcent 5 7 2 3 2" xfId="12516"/>
    <cellStyle name="20% - akcent 5 7 2 3 2 2" xfId="12517"/>
    <cellStyle name="20% - akcent 5 7 2 3 2 2 2" xfId="12518"/>
    <cellStyle name="20% - akcent 5 7 2 3 2 3" xfId="12519"/>
    <cellStyle name="20% - akcent 5 7 2 3 3" xfId="12520"/>
    <cellStyle name="20% - akcent 5 7 2 3 3 2" xfId="12521"/>
    <cellStyle name="20% - akcent 5 7 2 3 3 2 2" xfId="12522"/>
    <cellStyle name="20% - akcent 5 7 2 3 3 3" xfId="12523"/>
    <cellStyle name="20% - akcent 5 7 2 3 4" xfId="12524"/>
    <cellStyle name="20% - akcent 5 7 2 3 4 2" xfId="12525"/>
    <cellStyle name="20% - akcent 5 7 2 3 4 2 2" xfId="12526"/>
    <cellStyle name="20% - akcent 5 7 2 3 4 3" xfId="12527"/>
    <cellStyle name="20% - akcent 5 7 2 3 5" xfId="12528"/>
    <cellStyle name="20% - akcent 5 7 2 3 5 2" xfId="12529"/>
    <cellStyle name="20% - akcent 5 7 2 3 6" xfId="12530"/>
    <cellStyle name="20% - akcent 5 7 2 4" xfId="12531"/>
    <cellStyle name="20% - akcent 5 7 2 4 2" xfId="12532"/>
    <cellStyle name="20% - akcent 5 7 2 4 2 2" xfId="12533"/>
    <cellStyle name="20% - akcent 5 7 2 4 2 2 2" xfId="12534"/>
    <cellStyle name="20% - akcent 5 7 2 4 2 3" xfId="12535"/>
    <cellStyle name="20% - akcent 5 7 2 4 3" xfId="12536"/>
    <cellStyle name="20% - akcent 5 7 2 4 3 2" xfId="12537"/>
    <cellStyle name="20% - akcent 5 7 2 4 3 2 2" xfId="12538"/>
    <cellStyle name="20% - akcent 5 7 2 4 3 3" xfId="12539"/>
    <cellStyle name="20% - akcent 5 7 2 4 4" xfId="12540"/>
    <cellStyle name="20% - akcent 5 7 2 4 4 2" xfId="12541"/>
    <cellStyle name="20% - akcent 5 7 2 4 4 2 2" xfId="12542"/>
    <cellStyle name="20% - akcent 5 7 2 4 4 3" xfId="12543"/>
    <cellStyle name="20% - akcent 5 7 2 4 5" xfId="12544"/>
    <cellStyle name="20% - akcent 5 7 2 4 5 2" xfId="12545"/>
    <cellStyle name="20% - akcent 5 7 2 4 6" xfId="12546"/>
    <cellStyle name="20% - akcent 5 7 2 5" xfId="12547"/>
    <cellStyle name="20% - akcent 5 7 2 6" xfId="12548"/>
    <cellStyle name="20% - akcent 5 7 2 6 2" xfId="12549"/>
    <cellStyle name="20% - akcent 5 7 2 6 2 2" xfId="12550"/>
    <cellStyle name="20% - akcent 5 7 2 6 3" xfId="12551"/>
    <cellStyle name="20% - akcent 5 7 2 7" xfId="12552"/>
    <cellStyle name="20% - akcent 5 7 2 7 2" xfId="12553"/>
    <cellStyle name="20% - akcent 5 7 2 7 2 2" xfId="12554"/>
    <cellStyle name="20% - akcent 5 7 2 7 3" xfId="12555"/>
    <cellStyle name="20% - akcent 5 7 2 8" xfId="12556"/>
    <cellStyle name="20% - akcent 5 7 2 8 2" xfId="12557"/>
    <cellStyle name="20% - akcent 5 7 2 8 2 2" xfId="12558"/>
    <cellStyle name="20% - akcent 5 7 2 8 3" xfId="12559"/>
    <cellStyle name="20% - akcent 5 7 2 9" xfId="12560"/>
    <cellStyle name="20% - akcent 5 7 2 9 2" xfId="12561"/>
    <cellStyle name="20% - akcent 5 7 3" xfId="12562"/>
    <cellStyle name="20% - akcent 5 7 3 2" xfId="12563"/>
    <cellStyle name="20% - akcent 5 7 3 2 2" xfId="12564"/>
    <cellStyle name="20% - akcent 5 7 3 2 2 2" xfId="12565"/>
    <cellStyle name="20% - akcent 5 7 3 2 2 2 2" xfId="12566"/>
    <cellStyle name="20% - akcent 5 7 3 2 2 3" xfId="12567"/>
    <cellStyle name="20% - akcent 5 7 3 2 3" xfId="12568"/>
    <cellStyle name="20% - akcent 5 7 3 2 3 2" xfId="12569"/>
    <cellStyle name="20% - akcent 5 7 3 2 3 2 2" xfId="12570"/>
    <cellStyle name="20% - akcent 5 7 3 2 3 3" xfId="12571"/>
    <cellStyle name="20% - akcent 5 7 3 2 4" xfId="12572"/>
    <cellStyle name="20% - akcent 5 7 3 2 4 2" xfId="12573"/>
    <cellStyle name="20% - akcent 5 7 3 2 4 2 2" xfId="12574"/>
    <cellStyle name="20% - akcent 5 7 3 2 4 3" xfId="12575"/>
    <cellStyle name="20% - akcent 5 7 3 2 5" xfId="12576"/>
    <cellStyle name="20% - akcent 5 7 3 2 5 2" xfId="12577"/>
    <cellStyle name="20% - akcent 5 7 3 2 6" xfId="12578"/>
    <cellStyle name="20% - akcent 5 7 3 3" xfId="12579"/>
    <cellStyle name="20% - akcent 5 7 3 3 2" xfId="12580"/>
    <cellStyle name="20% - akcent 5 7 3 3 2 2" xfId="12581"/>
    <cellStyle name="20% - akcent 5 7 3 3 3" xfId="12582"/>
    <cellStyle name="20% - akcent 5 7 3 4" xfId="12583"/>
    <cellStyle name="20% - akcent 5 7 3 4 2" xfId="12584"/>
    <cellStyle name="20% - akcent 5 7 3 4 2 2" xfId="12585"/>
    <cellStyle name="20% - akcent 5 7 3 4 3" xfId="12586"/>
    <cellStyle name="20% - akcent 5 7 3 5" xfId="12587"/>
    <cellStyle name="20% - akcent 5 7 3 5 2" xfId="12588"/>
    <cellStyle name="20% - akcent 5 7 3 5 2 2" xfId="12589"/>
    <cellStyle name="20% - akcent 5 7 3 5 3" xfId="12590"/>
    <cellStyle name="20% - akcent 5 7 3 6" xfId="12591"/>
    <cellStyle name="20% - akcent 5 7 3 6 2" xfId="12592"/>
    <cellStyle name="20% - akcent 5 7 3 7" xfId="12593"/>
    <cellStyle name="20% - akcent 5 7 4" xfId="12594"/>
    <cellStyle name="20% - akcent 5 7 4 2" xfId="12595"/>
    <cellStyle name="20% - akcent 5 7 4 2 2" xfId="12596"/>
    <cellStyle name="20% - akcent 5 7 4 2 2 2" xfId="12597"/>
    <cellStyle name="20% - akcent 5 7 4 2 3" xfId="12598"/>
    <cellStyle name="20% - akcent 5 7 4 3" xfId="12599"/>
    <cellStyle name="20% - akcent 5 7 4 3 2" xfId="12600"/>
    <cellStyle name="20% - akcent 5 7 4 3 2 2" xfId="12601"/>
    <cellStyle name="20% - akcent 5 7 4 3 3" xfId="12602"/>
    <cellStyle name="20% - akcent 5 7 4 4" xfId="12603"/>
    <cellStyle name="20% - akcent 5 7 4 4 2" xfId="12604"/>
    <cellStyle name="20% - akcent 5 7 4 4 2 2" xfId="12605"/>
    <cellStyle name="20% - akcent 5 7 4 4 3" xfId="12606"/>
    <cellStyle name="20% - akcent 5 7 4 5" xfId="12607"/>
    <cellStyle name="20% - akcent 5 7 4 5 2" xfId="12608"/>
    <cellStyle name="20% - akcent 5 7 4 6" xfId="12609"/>
    <cellStyle name="20% - akcent 5 7 5" xfId="12610"/>
    <cellStyle name="20% - akcent 5 7 5 2" xfId="12611"/>
    <cellStyle name="20% - akcent 5 7 5 2 2" xfId="12612"/>
    <cellStyle name="20% - akcent 5 7 5 2 2 2" xfId="12613"/>
    <cellStyle name="20% - akcent 5 7 5 2 3" xfId="12614"/>
    <cellStyle name="20% - akcent 5 7 5 3" xfId="12615"/>
    <cellStyle name="20% - akcent 5 7 5 3 2" xfId="12616"/>
    <cellStyle name="20% - akcent 5 7 5 3 2 2" xfId="12617"/>
    <cellStyle name="20% - akcent 5 7 5 3 3" xfId="12618"/>
    <cellStyle name="20% - akcent 5 7 5 4" xfId="12619"/>
    <cellStyle name="20% - akcent 5 7 5 4 2" xfId="12620"/>
    <cellStyle name="20% - akcent 5 7 5 4 2 2" xfId="12621"/>
    <cellStyle name="20% - akcent 5 7 5 4 3" xfId="12622"/>
    <cellStyle name="20% - akcent 5 7 5 5" xfId="12623"/>
    <cellStyle name="20% - akcent 5 7 5 5 2" xfId="12624"/>
    <cellStyle name="20% - akcent 5 7 5 6" xfId="12625"/>
    <cellStyle name="20% - akcent 5 7 6" xfId="12626"/>
    <cellStyle name="20% - akcent 5 7 7" xfId="12627"/>
    <cellStyle name="20% - akcent 5 7 7 2" xfId="12628"/>
    <cellStyle name="20% - akcent 5 7 7 2 2" xfId="12629"/>
    <cellStyle name="20% - akcent 5 7 7 2 2 2" xfId="12630"/>
    <cellStyle name="20% - akcent 5 7 7 2 3" xfId="12631"/>
    <cellStyle name="20% - akcent 5 7 7 3" xfId="12632"/>
    <cellStyle name="20% - akcent 5 7 7 3 2" xfId="12633"/>
    <cellStyle name="20% - akcent 5 7 7 3 2 2" xfId="12634"/>
    <cellStyle name="20% - akcent 5 7 7 3 3" xfId="12635"/>
    <cellStyle name="20% - akcent 5 7 7 4" xfId="12636"/>
    <cellStyle name="20% - akcent 5 7 7 4 2" xfId="12637"/>
    <cellStyle name="20% - akcent 5 7 7 4 2 2" xfId="12638"/>
    <cellStyle name="20% - akcent 5 7 7 4 3" xfId="12639"/>
    <cellStyle name="20% - akcent 5 7 7 5" xfId="12640"/>
    <cellStyle name="20% - akcent 5 7 7 5 2" xfId="12641"/>
    <cellStyle name="20% - akcent 5 7 7 6" xfId="12642"/>
    <cellStyle name="20% - akcent 5 7_Arkusz1" xfId="12643"/>
    <cellStyle name="20% - akcent 5 8" xfId="12644"/>
    <cellStyle name="20% - akcent 5 8 2" xfId="12645"/>
    <cellStyle name="20% - akcent 5 8 3" xfId="12646"/>
    <cellStyle name="20% - akcent 5 8_Arkusz1" xfId="12647"/>
    <cellStyle name="20% - akcent 5 9" xfId="12648"/>
    <cellStyle name="20% - akcent 5 9 2" xfId="12649"/>
    <cellStyle name="20% - akcent 5 9_Arkusz1" xfId="12650"/>
    <cellStyle name="20% - akcent 6 10" xfId="12651"/>
    <cellStyle name="20% - akcent 6 10 2" xfId="12652"/>
    <cellStyle name="20% - akcent 6 10_Arkusz1" xfId="12653"/>
    <cellStyle name="20% - akcent 6 11" xfId="12654"/>
    <cellStyle name="20% - akcent 6 12" xfId="12655"/>
    <cellStyle name="20% - akcent 6 13" xfId="12656"/>
    <cellStyle name="20% - akcent 6 2" xfId="12657"/>
    <cellStyle name="20% - akcent 6 2 10" xfId="12658"/>
    <cellStyle name="20% - akcent 6 2 11" xfId="12659"/>
    <cellStyle name="20% - akcent 6 2 11 2" xfId="12660"/>
    <cellStyle name="20% - akcent 6 2 2" xfId="12661"/>
    <cellStyle name="20% - akcent 6 2 2 2" xfId="12662"/>
    <cellStyle name="20% - akcent 6 2 2 2 2" xfId="12663"/>
    <cellStyle name="20% - akcent 6 2 2 2 2 2" xfId="12664"/>
    <cellStyle name="20% - akcent 6 2 2 2 2 2 2" xfId="12665"/>
    <cellStyle name="20% - akcent 6 2 2 2 2 2 2 2" xfId="12666"/>
    <cellStyle name="20% - akcent 6 2 2 2 2 2 2 2 2" xfId="12667"/>
    <cellStyle name="20% - akcent 6 2 2 2 2 2 2 2 2 2" xfId="12668"/>
    <cellStyle name="20% - akcent 6 2 2 2 2 2 2 2 3" xfId="12669"/>
    <cellStyle name="20% - akcent 6 2 2 2 2 2 2 3" xfId="12670"/>
    <cellStyle name="20% - akcent 6 2 2 2 2 2 2 3 2" xfId="12671"/>
    <cellStyle name="20% - akcent 6 2 2 2 2 2 2 3 2 2" xfId="12672"/>
    <cellStyle name="20% - akcent 6 2 2 2 2 2 2 3 3" xfId="12673"/>
    <cellStyle name="20% - akcent 6 2 2 2 2 2 2 4" xfId="12674"/>
    <cellStyle name="20% - akcent 6 2 2 2 2 2 2 4 2" xfId="12675"/>
    <cellStyle name="20% - akcent 6 2 2 2 2 2 2 4 2 2" xfId="12676"/>
    <cellStyle name="20% - akcent 6 2 2 2 2 2 2 4 3" xfId="12677"/>
    <cellStyle name="20% - akcent 6 2 2 2 2 2 2 5" xfId="12678"/>
    <cellStyle name="20% - akcent 6 2 2 2 2 2 2 5 2" xfId="12679"/>
    <cellStyle name="20% - akcent 6 2 2 2 2 2 2 6" xfId="12680"/>
    <cellStyle name="20% - akcent 6 2 2 2 2 2 3" xfId="12681"/>
    <cellStyle name="20% - akcent 6 2 2 2 2 2 3 2" xfId="12682"/>
    <cellStyle name="20% - akcent 6 2 2 2 2 2 3 2 2" xfId="12683"/>
    <cellStyle name="20% - akcent 6 2 2 2 2 2 3 3" xfId="12684"/>
    <cellStyle name="20% - akcent 6 2 2 2 2 2 4" xfId="12685"/>
    <cellStyle name="20% - akcent 6 2 2 2 2 2 4 2" xfId="12686"/>
    <cellStyle name="20% - akcent 6 2 2 2 2 2 4 2 2" xfId="12687"/>
    <cellStyle name="20% - akcent 6 2 2 2 2 2 4 3" xfId="12688"/>
    <cellStyle name="20% - akcent 6 2 2 2 2 2 5" xfId="12689"/>
    <cellStyle name="20% - akcent 6 2 2 2 2 2 5 2" xfId="12690"/>
    <cellStyle name="20% - akcent 6 2 2 2 2 2 5 2 2" xfId="12691"/>
    <cellStyle name="20% - akcent 6 2 2 2 2 2 5 3" xfId="12692"/>
    <cellStyle name="20% - akcent 6 2 2 2 2 2 6" xfId="12693"/>
    <cellStyle name="20% - akcent 6 2 2 2 2 2 6 2" xfId="12694"/>
    <cellStyle name="20% - akcent 6 2 2 2 2 2 7" xfId="12695"/>
    <cellStyle name="20% - akcent 6 2 2 2 2 3" xfId="12696"/>
    <cellStyle name="20% - akcent 6 2 2 2 2 3 2" xfId="12697"/>
    <cellStyle name="20% - akcent 6 2 2 2 2 3 2 2" xfId="12698"/>
    <cellStyle name="20% - akcent 6 2 2 2 2 3 2 2 2" xfId="12699"/>
    <cellStyle name="20% - akcent 6 2 2 2 2 3 2 3" xfId="12700"/>
    <cellStyle name="20% - akcent 6 2 2 2 2 3 3" xfId="12701"/>
    <cellStyle name="20% - akcent 6 2 2 2 2 3 3 2" xfId="12702"/>
    <cellStyle name="20% - akcent 6 2 2 2 2 3 3 2 2" xfId="12703"/>
    <cellStyle name="20% - akcent 6 2 2 2 2 3 3 3" xfId="12704"/>
    <cellStyle name="20% - akcent 6 2 2 2 2 3 4" xfId="12705"/>
    <cellStyle name="20% - akcent 6 2 2 2 2 3 4 2" xfId="12706"/>
    <cellStyle name="20% - akcent 6 2 2 2 2 3 4 2 2" xfId="12707"/>
    <cellStyle name="20% - akcent 6 2 2 2 2 3 4 3" xfId="12708"/>
    <cellStyle name="20% - akcent 6 2 2 2 2 3 5" xfId="12709"/>
    <cellStyle name="20% - akcent 6 2 2 2 2 3 5 2" xfId="12710"/>
    <cellStyle name="20% - akcent 6 2 2 2 2 3 6" xfId="12711"/>
    <cellStyle name="20% - akcent 6 2 2 2 2 4" xfId="12712"/>
    <cellStyle name="20% - akcent 6 2 2 2 2 4 2" xfId="12713"/>
    <cellStyle name="20% - akcent 6 2 2 2 2 4 2 2" xfId="12714"/>
    <cellStyle name="20% - akcent 6 2 2 2 2 4 2 2 2" xfId="12715"/>
    <cellStyle name="20% - akcent 6 2 2 2 2 4 2 3" xfId="12716"/>
    <cellStyle name="20% - akcent 6 2 2 2 2 4 3" xfId="12717"/>
    <cellStyle name="20% - akcent 6 2 2 2 2 4 3 2" xfId="12718"/>
    <cellStyle name="20% - akcent 6 2 2 2 2 4 3 2 2" xfId="12719"/>
    <cellStyle name="20% - akcent 6 2 2 2 2 4 3 3" xfId="12720"/>
    <cellStyle name="20% - akcent 6 2 2 2 2 4 4" xfId="12721"/>
    <cellStyle name="20% - akcent 6 2 2 2 2 4 4 2" xfId="12722"/>
    <cellStyle name="20% - akcent 6 2 2 2 2 4 4 2 2" xfId="12723"/>
    <cellStyle name="20% - akcent 6 2 2 2 2 4 4 3" xfId="12724"/>
    <cellStyle name="20% - akcent 6 2 2 2 2 4 5" xfId="12725"/>
    <cellStyle name="20% - akcent 6 2 2 2 2 4 5 2" xfId="12726"/>
    <cellStyle name="20% - akcent 6 2 2 2 2 4 6" xfId="12727"/>
    <cellStyle name="20% - akcent 6 2 2 2 2 5" xfId="12728"/>
    <cellStyle name="20% - akcent 6 2 2 2 2 5 2" xfId="12729"/>
    <cellStyle name="20% - akcent 6 2 2 2 2 5 2 2" xfId="12730"/>
    <cellStyle name="20% - akcent 6 2 2 2 2 5 3" xfId="12731"/>
    <cellStyle name="20% - akcent 6 2 2 2 2 6" xfId="12732"/>
    <cellStyle name="20% - akcent 6 2 2 2 2 6 2" xfId="12733"/>
    <cellStyle name="20% - akcent 6 2 2 2 2 6 2 2" xfId="12734"/>
    <cellStyle name="20% - akcent 6 2 2 2 2 6 3" xfId="12735"/>
    <cellStyle name="20% - akcent 6 2 2 2 2 7" xfId="12736"/>
    <cellStyle name="20% - akcent 6 2 2 2 2 7 2" xfId="12737"/>
    <cellStyle name="20% - akcent 6 2 2 2 2 7 2 2" xfId="12738"/>
    <cellStyle name="20% - akcent 6 2 2 2 2 7 3" xfId="12739"/>
    <cellStyle name="20% - akcent 6 2 2 2 2 8" xfId="12740"/>
    <cellStyle name="20% - akcent 6 2 2 2 2 8 2" xfId="12741"/>
    <cellStyle name="20% - akcent 6 2 2 2 2 9" xfId="12742"/>
    <cellStyle name="20% - akcent 6 2 2 2 3" xfId="12743"/>
    <cellStyle name="20% - akcent 6 2 2 2 3 2" xfId="12744"/>
    <cellStyle name="20% - akcent 6 2 2 2 3 2 2" xfId="12745"/>
    <cellStyle name="20% - akcent 6 2 2 2 3 2 2 2" xfId="12746"/>
    <cellStyle name="20% - akcent 6 2 2 2 3 2 2 2 2" xfId="12747"/>
    <cellStyle name="20% - akcent 6 2 2 2 3 2 2 3" xfId="12748"/>
    <cellStyle name="20% - akcent 6 2 2 2 3 2 3" xfId="12749"/>
    <cellStyle name="20% - akcent 6 2 2 2 3 2 3 2" xfId="12750"/>
    <cellStyle name="20% - akcent 6 2 2 2 3 2 3 2 2" xfId="12751"/>
    <cellStyle name="20% - akcent 6 2 2 2 3 2 3 3" xfId="12752"/>
    <cellStyle name="20% - akcent 6 2 2 2 3 2 4" xfId="12753"/>
    <cellStyle name="20% - akcent 6 2 2 2 3 2 4 2" xfId="12754"/>
    <cellStyle name="20% - akcent 6 2 2 2 3 2 4 2 2" xfId="12755"/>
    <cellStyle name="20% - akcent 6 2 2 2 3 2 4 3" xfId="12756"/>
    <cellStyle name="20% - akcent 6 2 2 2 3 2 5" xfId="12757"/>
    <cellStyle name="20% - akcent 6 2 2 2 3 2 5 2" xfId="12758"/>
    <cellStyle name="20% - akcent 6 2 2 2 3 2 6" xfId="12759"/>
    <cellStyle name="20% - akcent 6 2 2 2 3 3" xfId="12760"/>
    <cellStyle name="20% - akcent 6 2 2 2 3 3 2" xfId="12761"/>
    <cellStyle name="20% - akcent 6 2 2 2 3 3 2 2" xfId="12762"/>
    <cellStyle name="20% - akcent 6 2 2 2 3 3 3" xfId="12763"/>
    <cellStyle name="20% - akcent 6 2 2 2 3 4" xfId="12764"/>
    <cellStyle name="20% - akcent 6 2 2 2 3 4 2" xfId="12765"/>
    <cellStyle name="20% - akcent 6 2 2 2 3 4 2 2" xfId="12766"/>
    <cellStyle name="20% - akcent 6 2 2 2 3 4 3" xfId="12767"/>
    <cellStyle name="20% - akcent 6 2 2 2 3 5" xfId="12768"/>
    <cellStyle name="20% - akcent 6 2 2 2 3 5 2" xfId="12769"/>
    <cellStyle name="20% - akcent 6 2 2 2 3 5 2 2" xfId="12770"/>
    <cellStyle name="20% - akcent 6 2 2 2 3 5 3" xfId="12771"/>
    <cellStyle name="20% - akcent 6 2 2 2 3 6" xfId="12772"/>
    <cellStyle name="20% - akcent 6 2 2 2 3 6 2" xfId="12773"/>
    <cellStyle name="20% - akcent 6 2 2 2 3 7" xfId="12774"/>
    <cellStyle name="20% - akcent 6 2 2 2 4" xfId="12775"/>
    <cellStyle name="20% - akcent 6 2 2 2 4 2" xfId="12776"/>
    <cellStyle name="20% - akcent 6 2 2 2 4 2 2" xfId="12777"/>
    <cellStyle name="20% - akcent 6 2 2 2 4 2 2 2" xfId="12778"/>
    <cellStyle name="20% - akcent 6 2 2 2 4 2 3" xfId="12779"/>
    <cellStyle name="20% - akcent 6 2 2 2 4 3" xfId="12780"/>
    <cellStyle name="20% - akcent 6 2 2 2 4 3 2" xfId="12781"/>
    <cellStyle name="20% - akcent 6 2 2 2 4 3 2 2" xfId="12782"/>
    <cellStyle name="20% - akcent 6 2 2 2 4 3 3" xfId="12783"/>
    <cellStyle name="20% - akcent 6 2 2 2 4 4" xfId="12784"/>
    <cellStyle name="20% - akcent 6 2 2 2 4 4 2" xfId="12785"/>
    <cellStyle name="20% - akcent 6 2 2 2 4 4 2 2" xfId="12786"/>
    <cellStyle name="20% - akcent 6 2 2 2 4 4 3" xfId="12787"/>
    <cellStyle name="20% - akcent 6 2 2 2 4 5" xfId="12788"/>
    <cellStyle name="20% - akcent 6 2 2 2 4 5 2" xfId="12789"/>
    <cellStyle name="20% - akcent 6 2 2 2 4 6" xfId="12790"/>
    <cellStyle name="20% - akcent 6 2 2 2 5" xfId="12791"/>
    <cellStyle name="20% - akcent 6 2 2 2 5 2" xfId="12792"/>
    <cellStyle name="20% - akcent 6 2 2 2 5 2 2" xfId="12793"/>
    <cellStyle name="20% - akcent 6 2 2 2 5 2 2 2" xfId="12794"/>
    <cellStyle name="20% - akcent 6 2 2 2 5 2 3" xfId="12795"/>
    <cellStyle name="20% - akcent 6 2 2 2 5 3" xfId="12796"/>
    <cellStyle name="20% - akcent 6 2 2 2 5 3 2" xfId="12797"/>
    <cellStyle name="20% - akcent 6 2 2 2 5 3 2 2" xfId="12798"/>
    <cellStyle name="20% - akcent 6 2 2 2 5 3 3" xfId="12799"/>
    <cellStyle name="20% - akcent 6 2 2 2 5 4" xfId="12800"/>
    <cellStyle name="20% - akcent 6 2 2 2 5 4 2" xfId="12801"/>
    <cellStyle name="20% - akcent 6 2 2 2 5 4 2 2" xfId="12802"/>
    <cellStyle name="20% - akcent 6 2 2 2 5 4 3" xfId="12803"/>
    <cellStyle name="20% - akcent 6 2 2 2 5 5" xfId="12804"/>
    <cellStyle name="20% - akcent 6 2 2 2 5 5 2" xfId="12805"/>
    <cellStyle name="20% - akcent 6 2 2 2 5 6" xfId="12806"/>
    <cellStyle name="20% - akcent 6 2 2 2 6" xfId="12807"/>
    <cellStyle name="20% - akcent 6 2 2 2 6 2" xfId="12808"/>
    <cellStyle name="20% - akcent 6 2 2 2 6 2 2" xfId="12809"/>
    <cellStyle name="20% - akcent 6 2 2 2 6 2 2 2" xfId="12810"/>
    <cellStyle name="20% - akcent 6 2 2 2 6 2 3" xfId="12811"/>
    <cellStyle name="20% - akcent 6 2 2 2 6 3" xfId="12812"/>
    <cellStyle name="20% - akcent 6 2 2 2 6 3 2" xfId="12813"/>
    <cellStyle name="20% - akcent 6 2 2 2 6 3 2 2" xfId="12814"/>
    <cellStyle name="20% - akcent 6 2 2 2 6 3 3" xfId="12815"/>
    <cellStyle name="20% - akcent 6 2 2 2 6 4" xfId="12816"/>
    <cellStyle name="20% - akcent 6 2 2 2 6 4 2" xfId="12817"/>
    <cellStyle name="20% - akcent 6 2 2 2 6 4 2 2" xfId="12818"/>
    <cellStyle name="20% - akcent 6 2 2 2 6 4 3" xfId="12819"/>
    <cellStyle name="20% - akcent 6 2 2 2 6 5" xfId="12820"/>
    <cellStyle name="20% - akcent 6 2 2 2 6 5 2" xfId="12821"/>
    <cellStyle name="20% - akcent 6 2 2 2 6 6" xfId="12822"/>
    <cellStyle name="20% - akcent 6 2 2 3" xfId="12823"/>
    <cellStyle name="20% - akcent 6 2 2 3 2" xfId="12824"/>
    <cellStyle name="20% - akcent 6 2 2 3 2 2" xfId="12825"/>
    <cellStyle name="20% - akcent 6 2 2 3 2 2 2" xfId="12826"/>
    <cellStyle name="20% - akcent 6 2 2 3 2 2 2 2" xfId="12827"/>
    <cellStyle name="20% - akcent 6 2 2 3 2 2 2 2 2" xfId="12828"/>
    <cellStyle name="20% - akcent 6 2 2 3 2 2 2 3" xfId="12829"/>
    <cellStyle name="20% - akcent 6 2 2 3 2 2 3" xfId="12830"/>
    <cellStyle name="20% - akcent 6 2 2 3 2 2 3 2" xfId="12831"/>
    <cellStyle name="20% - akcent 6 2 2 3 2 2 3 2 2" xfId="12832"/>
    <cellStyle name="20% - akcent 6 2 2 3 2 2 3 3" xfId="12833"/>
    <cellStyle name="20% - akcent 6 2 2 3 2 2 4" xfId="12834"/>
    <cellStyle name="20% - akcent 6 2 2 3 2 2 4 2" xfId="12835"/>
    <cellStyle name="20% - akcent 6 2 2 3 2 2 4 2 2" xfId="12836"/>
    <cellStyle name="20% - akcent 6 2 2 3 2 2 4 3" xfId="12837"/>
    <cellStyle name="20% - akcent 6 2 2 3 2 2 5" xfId="12838"/>
    <cellStyle name="20% - akcent 6 2 2 3 2 2 5 2" xfId="12839"/>
    <cellStyle name="20% - akcent 6 2 2 3 2 2 6" xfId="12840"/>
    <cellStyle name="20% - akcent 6 2 2 3 2 3" xfId="12841"/>
    <cellStyle name="20% - akcent 6 2 2 3 2 3 2" xfId="12842"/>
    <cellStyle name="20% - akcent 6 2 2 3 2 3 2 2" xfId="12843"/>
    <cellStyle name="20% - akcent 6 2 2 3 2 3 3" xfId="12844"/>
    <cellStyle name="20% - akcent 6 2 2 3 2 4" xfId="12845"/>
    <cellStyle name="20% - akcent 6 2 2 3 2 4 2" xfId="12846"/>
    <cellStyle name="20% - akcent 6 2 2 3 2 4 2 2" xfId="12847"/>
    <cellStyle name="20% - akcent 6 2 2 3 2 4 3" xfId="12848"/>
    <cellStyle name="20% - akcent 6 2 2 3 2 5" xfId="12849"/>
    <cellStyle name="20% - akcent 6 2 2 3 2 5 2" xfId="12850"/>
    <cellStyle name="20% - akcent 6 2 2 3 2 5 2 2" xfId="12851"/>
    <cellStyle name="20% - akcent 6 2 2 3 2 5 3" xfId="12852"/>
    <cellStyle name="20% - akcent 6 2 2 3 2 6" xfId="12853"/>
    <cellStyle name="20% - akcent 6 2 2 3 2 6 2" xfId="12854"/>
    <cellStyle name="20% - akcent 6 2 2 3 2 7" xfId="12855"/>
    <cellStyle name="20% - akcent 6 2 2 3 3" xfId="12856"/>
    <cellStyle name="20% - akcent 6 2 2 3 3 2" xfId="12857"/>
    <cellStyle name="20% - akcent 6 2 2 3 3 2 2" xfId="12858"/>
    <cellStyle name="20% - akcent 6 2 2 3 3 2 2 2" xfId="12859"/>
    <cellStyle name="20% - akcent 6 2 2 3 3 2 3" xfId="12860"/>
    <cellStyle name="20% - akcent 6 2 2 3 3 3" xfId="12861"/>
    <cellStyle name="20% - akcent 6 2 2 3 3 3 2" xfId="12862"/>
    <cellStyle name="20% - akcent 6 2 2 3 3 3 2 2" xfId="12863"/>
    <cellStyle name="20% - akcent 6 2 2 3 3 3 3" xfId="12864"/>
    <cellStyle name="20% - akcent 6 2 2 3 3 4" xfId="12865"/>
    <cellStyle name="20% - akcent 6 2 2 3 3 4 2" xfId="12866"/>
    <cellStyle name="20% - akcent 6 2 2 3 3 4 2 2" xfId="12867"/>
    <cellStyle name="20% - akcent 6 2 2 3 3 4 3" xfId="12868"/>
    <cellStyle name="20% - akcent 6 2 2 3 3 5" xfId="12869"/>
    <cellStyle name="20% - akcent 6 2 2 3 3 5 2" xfId="12870"/>
    <cellStyle name="20% - akcent 6 2 2 3 3 6" xfId="12871"/>
    <cellStyle name="20% - akcent 6 2 2 3 4" xfId="12872"/>
    <cellStyle name="20% - akcent 6 2 2 3 4 2" xfId="12873"/>
    <cellStyle name="20% - akcent 6 2 2 3 4 2 2" xfId="12874"/>
    <cellStyle name="20% - akcent 6 2 2 3 4 2 2 2" xfId="12875"/>
    <cellStyle name="20% - akcent 6 2 2 3 4 2 3" xfId="12876"/>
    <cellStyle name="20% - akcent 6 2 2 3 4 3" xfId="12877"/>
    <cellStyle name="20% - akcent 6 2 2 3 4 3 2" xfId="12878"/>
    <cellStyle name="20% - akcent 6 2 2 3 4 3 2 2" xfId="12879"/>
    <cellStyle name="20% - akcent 6 2 2 3 4 3 3" xfId="12880"/>
    <cellStyle name="20% - akcent 6 2 2 3 4 4" xfId="12881"/>
    <cellStyle name="20% - akcent 6 2 2 3 4 4 2" xfId="12882"/>
    <cellStyle name="20% - akcent 6 2 2 3 4 4 2 2" xfId="12883"/>
    <cellStyle name="20% - akcent 6 2 2 3 4 4 3" xfId="12884"/>
    <cellStyle name="20% - akcent 6 2 2 3 4 5" xfId="12885"/>
    <cellStyle name="20% - akcent 6 2 2 3 4 5 2" xfId="12886"/>
    <cellStyle name="20% - akcent 6 2 2 3 4 6" xfId="12887"/>
    <cellStyle name="20% - akcent 6 2 2 3 5" xfId="12888"/>
    <cellStyle name="20% - akcent 6 2 2 3 5 2" xfId="12889"/>
    <cellStyle name="20% - akcent 6 2 2 3 5 2 2" xfId="12890"/>
    <cellStyle name="20% - akcent 6 2 2 3 5 2 2 2" xfId="12891"/>
    <cellStyle name="20% - akcent 6 2 2 3 5 2 3" xfId="12892"/>
    <cellStyle name="20% - akcent 6 2 2 3 5 3" xfId="12893"/>
    <cellStyle name="20% - akcent 6 2 2 3 5 3 2" xfId="12894"/>
    <cellStyle name="20% - akcent 6 2 2 3 5 3 2 2" xfId="12895"/>
    <cellStyle name="20% - akcent 6 2 2 3 5 3 3" xfId="12896"/>
    <cellStyle name="20% - akcent 6 2 2 3 5 4" xfId="12897"/>
    <cellStyle name="20% - akcent 6 2 2 3 5 4 2" xfId="12898"/>
    <cellStyle name="20% - akcent 6 2 2 3 5 4 2 2" xfId="12899"/>
    <cellStyle name="20% - akcent 6 2 2 3 5 4 3" xfId="12900"/>
    <cellStyle name="20% - akcent 6 2 2 3 5 5" xfId="12901"/>
    <cellStyle name="20% - akcent 6 2 2 3 5 5 2" xfId="12902"/>
    <cellStyle name="20% - akcent 6 2 2 3 5 6" xfId="12903"/>
    <cellStyle name="20% - akcent 6 2 2 4" xfId="12904"/>
    <cellStyle name="20% - akcent 6 2 2 4 2" xfId="12905"/>
    <cellStyle name="20% - akcent 6 2 2 4 2 2" xfId="12906"/>
    <cellStyle name="20% - akcent 6 2 2 4 2 2 2" xfId="12907"/>
    <cellStyle name="20% - akcent 6 2 2 4 2 2 2 2" xfId="12908"/>
    <cellStyle name="20% - akcent 6 2 2 4 2 2 3" xfId="12909"/>
    <cellStyle name="20% - akcent 6 2 2 4 2 3" xfId="12910"/>
    <cellStyle name="20% - akcent 6 2 2 4 2 3 2" xfId="12911"/>
    <cellStyle name="20% - akcent 6 2 2 4 2 3 2 2" xfId="12912"/>
    <cellStyle name="20% - akcent 6 2 2 4 2 3 3" xfId="12913"/>
    <cellStyle name="20% - akcent 6 2 2 4 2 4" xfId="12914"/>
    <cellStyle name="20% - akcent 6 2 2 4 2 4 2" xfId="12915"/>
    <cellStyle name="20% - akcent 6 2 2 4 2 4 2 2" xfId="12916"/>
    <cellStyle name="20% - akcent 6 2 2 4 2 4 3" xfId="12917"/>
    <cellStyle name="20% - akcent 6 2 2 4 2 5" xfId="12918"/>
    <cellStyle name="20% - akcent 6 2 2 4 2 5 2" xfId="12919"/>
    <cellStyle name="20% - akcent 6 2 2 4 2 6" xfId="12920"/>
    <cellStyle name="20% - akcent 6 2 2 4 3" xfId="12921"/>
    <cellStyle name="20% - akcent 6 2 2 4 3 2" xfId="12922"/>
    <cellStyle name="20% - akcent 6 2 2 4 3 2 2" xfId="12923"/>
    <cellStyle name="20% - akcent 6 2 2 4 3 3" xfId="12924"/>
    <cellStyle name="20% - akcent 6 2 2 4 4" xfId="12925"/>
    <cellStyle name="20% - akcent 6 2 2 4 4 2" xfId="12926"/>
    <cellStyle name="20% - akcent 6 2 2 4 4 2 2" xfId="12927"/>
    <cellStyle name="20% - akcent 6 2 2 4 4 3" xfId="12928"/>
    <cellStyle name="20% - akcent 6 2 2 4 5" xfId="12929"/>
    <cellStyle name="20% - akcent 6 2 2 4 5 2" xfId="12930"/>
    <cellStyle name="20% - akcent 6 2 2 4 5 2 2" xfId="12931"/>
    <cellStyle name="20% - akcent 6 2 2 4 5 3" xfId="12932"/>
    <cellStyle name="20% - akcent 6 2 2 4 6" xfId="12933"/>
    <cellStyle name="20% - akcent 6 2 2 4 6 2" xfId="12934"/>
    <cellStyle name="20% - akcent 6 2 2 4 7" xfId="12935"/>
    <cellStyle name="20% - akcent 6 2 2 5" xfId="12936"/>
    <cellStyle name="20% - akcent 6 2 2 5 2" xfId="12937"/>
    <cellStyle name="20% - akcent 6 2 2 5 2 2" xfId="12938"/>
    <cellStyle name="20% - akcent 6 2 2 5 2 2 2" xfId="12939"/>
    <cellStyle name="20% - akcent 6 2 2 5 2 3" xfId="12940"/>
    <cellStyle name="20% - akcent 6 2 2 5 3" xfId="12941"/>
    <cellStyle name="20% - akcent 6 2 2 5 3 2" xfId="12942"/>
    <cellStyle name="20% - akcent 6 2 2 5 3 2 2" xfId="12943"/>
    <cellStyle name="20% - akcent 6 2 2 5 3 3" xfId="12944"/>
    <cellStyle name="20% - akcent 6 2 2 5 4" xfId="12945"/>
    <cellStyle name="20% - akcent 6 2 2 5 4 2" xfId="12946"/>
    <cellStyle name="20% - akcent 6 2 2 5 4 2 2" xfId="12947"/>
    <cellStyle name="20% - akcent 6 2 2 5 4 3" xfId="12948"/>
    <cellStyle name="20% - akcent 6 2 2 5 5" xfId="12949"/>
    <cellStyle name="20% - akcent 6 2 2 5 5 2" xfId="12950"/>
    <cellStyle name="20% - akcent 6 2 2 5 6" xfId="12951"/>
    <cellStyle name="20% - akcent 6 2 2 6" xfId="12952"/>
    <cellStyle name="20% - akcent 6 2 2 6 2" xfId="12953"/>
    <cellStyle name="20% - akcent 6 2 2 6 2 2" xfId="12954"/>
    <cellStyle name="20% - akcent 6 2 2 6 2 2 2" xfId="12955"/>
    <cellStyle name="20% - akcent 6 2 2 6 2 3" xfId="12956"/>
    <cellStyle name="20% - akcent 6 2 2 6 3" xfId="12957"/>
    <cellStyle name="20% - akcent 6 2 2 6 3 2" xfId="12958"/>
    <cellStyle name="20% - akcent 6 2 2 6 3 2 2" xfId="12959"/>
    <cellStyle name="20% - akcent 6 2 2 6 3 3" xfId="12960"/>
    <cellStyle name="20% - akcent 6 2 2 6 4" xfId="12961"/>
    <cellStyle name="20% - akcent 6 2 2 6 4 2" xfId="12962"/>
    <cellStyle name="20% - akcent 6 2 2 6 4 2 2" xfId="12963"/>
    <cellStyle name="20% - akcent 6 2 2 6 4 3" xfId="12964"/>
    <cellStyle name="20% - akcent 6 2 2 6 5" xfId="12965"/>
    <cellStyle name="20% - akcent 6 2 2 6 5 2" xfId="12966"/>
    <cellStyle name="20% - akcent 6 2 2 6 6" xfId="12967"/>
    <cellStyle name="20% - akcent 6 2 2 7" xfId="12968"/>
    <cellStyle name="20% - akcent 6 2 2 8" xfId="12969"/>
    <cellStyle name="20% - akcent 6 2 2 8 2" xfId="12970"/>
    <cellStyle name="20% - akcent 6 2 2 8 2 2" xfId="12971"/>
    <cellStyle name="20% - akcent 6 2 2 8 2 2 2" xfId="12972"/>
    <cellStyle name="20% - akcent 6 2 2 8 2 3" xfId="12973"/>
    <cellStyle name="20% - akcent 6 2 2 8 3" xfId="12974"/>
    <cellStyle name="20% - akcent 6 2 2 8 3 2" xfId="12975"/>
    <cellStyle name="20% - akcent 6 2 2 8 3 2 2" xfId="12976"/>
    <cellStyle name="20% - akcent 6 2 2 8 3 3" xfId="12977"/>
    <cellStyle name="20% - akcent 6 2 2 8 4" xfId="12978"/>
    <cellStyle name="20% - akcent 6 2 2 8 4 2" xfId="12979"/>
    <cellStyle name="20% - akcent 6 2 2 8 4 2 2" xfId="12980"/>
    <cellStyle name="20% - akcent 6 2 2 8 4 3" xfId="12981"/>
    <cellStyle name="20% - akcent 6 2 2 8 5" xfId="12982"/>
    <cellStyle name="20% - akcent 6 2 2 8 5 2" xfId="12983"/>
    <cellStyle name="20% - akcent 6 2 2 8 6" xfId="12984"/>
    <cellStyle name="20% - akcent 6 2 2_2011'05 Raport PGE_DO-CO2" xfId="12985"/>
    <cellStyle name="20% - akcent 6 2 3" xfId="12986"/>
    <cellStyle name="20% - akcent 6 2 3 2" xfId="12987"/>
    <cellStyle name="20% - akcent 6 2 3 2 2" xfId="12988"/>
    <cellStyle name="20% - akcent 6 2 3 2 2 2" xfId="12989"/>
    <cellStyle name="20% - akcent 6 2 3 2 2 2 2" xfId="12990"/>
    <cellStyle name="20% - akcent 6 2 3 2 2 2 2 2" xfId="12991"/>
    <cellStyle name="20% - akcent 6 2 3 2 2 2 2 2 2" xfId="12992"/>
    <cellStyle name="20% - akcent 6 2 3 2 2 2 2 3" xfId="12993"/>
    <cellStyle name="20% - akcent 6 2 3 2 2 2 3" xfId="12994"/>
    <cellStyle name="20% - akcent 6 2 3 2 2 2 3 2" xfId="12995"/>
    <cellStyle name="20% - akcent 6 2 3 2 2 2 3 2 2" xfId="12996"/>
    <cellStyle name="20% - akcent 6 2 3 2 2 2 3 3" xfId="12997"/>
    <cellStyle name="20% - akcent 6 2 3 2 2 2 4" xfId="12998"/>
    <cellStyle name="20% - akcent 6 2 3 2 2 2 4 2" xfId="12999"/>
    <cellStyle name="20% - akcent 6 2 3 2 2 2 4 2 2" xfId="13000"/>
    <cellStyle name="20% - akcent 6 2 3 2 2 2 4 3" xfId="13001"/>
    <cellStyle name="20% - akcent 6 2 3 2 2 2 5" xfId="13002"/>
    <cellStyle name="20% - akcent 6 2 3 2 2 2 5 2" xfId="13003"/>
    <cellStyle name="20% - akcent 6 2 3 2 2 2 6" xfId="13004"/>
    <cellStyle name="20% - akcent 6 2 3 2 2 3" xfId="13005"/>
    <cellStyle name="20% - akcent 6 2 3 2 2 3 2" xfId="13006"/>
    <cellStyle name="20% - akcent 6 2 3 2 2 3 2 2" xfId="13007"/>
    <cellStyle name="20% - akcent 6 2 3 2 2 3 3" xfId="13008"/>
    <cellStyle name="20% - akcent 6 2 3 2 2 4" xfId="13009"/>
    <cellStyle name="20% - akcent 6 2 3 2 2 4 2" xfId="13010"/>
    <cellStyle name="20% - akcent 6 2 3 2 2 4 2 2" xfId="13011"/>
    <cellStyle name="20% - akcent 6 2 3 2 2 4 3" xfId="13012"/>
    <cellStyle name="20% - akcent 6 2 3 2 2 5" xfId="13013"/>
    <cellStyle name="20% - akcent 6 2 3 2 2 5 2" xfId="13014"/>
    <cellStyle name="20% - akcent 6 2 3 2 2 5 2 2" xfId="13015"/>
    <cellStyle name="20% - akcent 6 2 3 2 2 5 3" xfId="13016"/>
    <cellStyle name="20% - akcent 6 2 3 2 2 6" xfId="13017"/>
    <cellStyle name="20% - akcent 6 2 3 2 2 6 2" xfId="13018"/>
    <cellStyle name="20% - akcent 6 2 3 2 2 7" xfId="13019"/>
    <cellStyle name="20% - akcent 6 2 3 2 3" xfId="13020"/>
    <cellStyle name="20% - akcent 6 2 3 2 3 2" xfId="13021"/>
    <cellStyle name="20% - akcent 6 2 3 2 3 2 2" xfId="13022"/>
    <cellStyle name="20% - akcent 6 2 3 2 3 2 2 2" xfId="13023"/>
    <cellStyle name="20% - akcent 6 2 3 2 3 2 3" xfId="13024"/>
    <cellStyle name="20% - akcent 6 2 3 2 3 3" xfId="13025"/>
    <cellStyle name="20% - akcent 6 2 3 2 3 3 2" xfId="13026"/>
    <cellStyle name="20% - akcent 6 2 3 2 3 3 2 2" xfId="13027"/>
    <cellStyle name="20% - akcent 6 2 3 2 3 3 3" xfId="13028"/>
    <cellStyle name="20% - akcent 6 2 3 2 3 4" xfId="13029"/>
    <cellStyle name="20% - akcent 6 2 3 2 3 4 2" xfId="13030"/>
    <cellStyle name="20% - akcent 6 2 3 2 3 4 2 2" xfId="13031"/>
    <cellStyle name="20% - akcent 6 2 3 2 3 4 3" xfId="13032"/>
    <cellStyle name="20% - akcent 6 2 3 2 3 5" xfId="13033"/>
    <cellStyle name="20% - akcent 6 2 3 2 3 5 2" xfId="13034"/>
    <cellStyle name="20% - akcent 6 2 3 2 3 6" xfId="13035"/>
    <cellStyle name="20% - akcent 6 2 3 2 4" xfId="13036"/>
    <cellStyle name="20% - akcent 6 2 3 2 4 2" xfId="13037"/>
    <cellStyle name="20% - akcent 6 2 3 2 4 2 2" xfId="13038"/>
    <cellStyle name="20% - akcent 6 2 3 2 4 2 2 2" xfId="13039"/>
    <cellStyle name="20% - akcent 6 2 3 2 4 2 3" xfId="13040"/>
    <cellStyle name="20% - akcent 6 2 3 2 4 3" xfId="13041"/>
    <cellStyle name="20% - akcent 6 2 3 2 4 3 2" xfId="13042"/>
    <cellStyle name="20% - akcent 6 2 3 2 4 3 2 2" xfId="13043"/>
    <cellStyle name="20% - akcent 6 2 3 2 4 3 3" xfId="13044"/>
    <cellStyle name="20% - akcent 6 2 3 2 4 4" xfId="13045"/>
    <cellStyle name="20% - akcent 6 2 3 2 4 4 2" xfId="13046"/>
    <cellStyle name="20% - akcent 6 2 3 2 4 4 2 2" xfId="13047"/>
    <cellStyle name="20% - akcent 6 2 3 2 4 4 3" xfId="13048"/>
    <cellStyle name="20% - akcent 6 2 3 2 4 5" xfId="13049"/>
    <cellStyle name="20% - akcent 6 2 3 2 4 5 2" xfId="13050"/>
    <cellStyle name="20% - akcent 6 2 3 2 4 6" xfId="13051"/>
    <cellStyle name="20% - akcent 6 2 3 2 5" xfId="13052"/>
    <cellStyle name="20% - akcent 6 2 3 2 5 2" xfId="13053"/>
    <cellStyle name="20% - akcent 6 2 3 2 5 2 2" xfId="13054"/>
    <cellStyle name="20% - akcent 6 2 3 2 5 2 2 2" xfId="13055"/>
    <cellStyle name="20% - akcent 6 2 3 2 5 2 3" xfId="13056"/>
    <cellStyle name="20% - akcent 6 2 3 2 5 3" xfId="13057"/>
    <cellStyle name="20% - akcent 6 2 3 2 5 3 2" xfId="13058"/>
    <cellStyle name="20% - akcent 6 2 3 2 5 3 2 2" xfId="13059"/>
    <cellStyle name="20% - akcent 6 2 3 2 5 3 3" xfId="13060"/>
    <cellStyle name="20% - akcent 6 2 3 2 5 4" xfId="13061"/>
    <cellStyle name="20% - akcent 6 2 3 2 5 4 2" xfId="13062"/>
    <cellStyle name="20% - akcent 6 2 3 2 5 4 2 2" xfId="13063"/>
    <cellStyle name="20% - akcent 6 2 3 2 5 4 3" xfId="13064"/>
    <cellStyle name="20% - akcent 6 2 3 2 5 5" xfId="13065"/>
    <cellStyle name="20% - akcent 6 2 3 2 5 5 2" xfId="13066"/>
    <cellStyle name="20% - akcent 6 2 3 2 5 6" xfId="13067"/>
    <cellStyle name="20% - akcent 6 2 3 3" xfId="13068"/>
    <cellStyle name="20% - akcent 6 2 3 3 2" xfId="13069"/>
    <cellStyle name="20% - akcent 6 2 3 3 2 2" xfId="13070"/>
    <cellStyle name="20% - akcent 6 2 3 3 2 2 2" xfId="13071"/>
    <cellStyle name="20% - akcent 6 2 3 3 2 2 2 2" xfId="13072"/>
    <cellStyle name="20% - akcent 6 2 3 3 2 2 3" xfId="13073"/>
    <cellStyle name="20% - akcent 6 2 3 3 2 3" xfId="13074"/>
    <cellStyle name="20% - akcent 6 2 3 3 2 3 2" xfId="13075"/>
    <cellStyle name="20% - akcent 6 2 3 3 2 3 2 2" xfId="13076"/>
    <cellStyle name="20% - akcent 6 2 3 3 2 3 3" xfId="13077"/>
    <cellStyle name="20% - akcent 6 2 3 3 2 4" xfId="13078"/>
    <cellStyle name="20% - akcent 6 2 3 3 2 4 2" xfId="13079"/>
    <cellStyle name="20% - akcent 6 2 3 3 2 4 2 2" xfId="13080"/>
    <cellStyle name="20% - akcent 6 2 3 3 2 4 3" xfId="13081"/>
    <cellStyle name="20% - akcent 6 2 3 3 2 5" xfId="13082"/>
    <cellStyle name="20% - akcent 6 2 3 3 2 5 2" xfId="13083"/>
    <cellStyle name="20% - akcent 6 2 3 3 2 6" xfId="13084"/>
    <cellStyle name="20% - akcent 6 2 3 3 3" xfId="13085"/>
    <cellStyle name="20% - akcent 6 2 3 3 3 2" xfId="13086"/>
    <cellStyle name="20% - akcent 6 2 3 3 3 2 2" xfId="13087"/>
    <cellStyle name="20% - akcent 6 2 3 3 3 3" xfId="13088"/>
    <cellStyle name="20% - akcent 6 2 3 3 4" xfId="13089"/>
    <cellStyle name="20% - akcent 6 2 3 3 4 2" xfId="13090"/>
    <cellStyle name="20% - akcent 6 2 3 3 4 2 2" xfId="13091"/>
    <cellStyle name="20% - akcent 6 2 3 3 4 3" xfId="13092"/>
    <cellStyle name="20% - akcent 6 2 3 3 5" xfId="13093"/>
    <cellStyle name="20% - akcent 6 2 3 3 5 2" xfId="13094"/>
    <cellStyle name="20% - akcent 6 2 3 3 5 2 2" xfId="13095"/>
    <cellStyle name="20% - akcent 6 2 3 3 5 3" xfId="13096"/>
    <cellStyle name="20% - akcent 6 2 3 3 6" xfId="13097"/>
    <cellStyle name="20% - akcent 6 2 3 3 6 2" xfId="13098"/>
    <cellStyle name="20% - akcent 6 2 3 3 7" xfId="13099"/>
    <cellStyle name="20% - akcent 6 2 3 4" xfId="13100"/>
    <cellStyle name="20% - akcent 6 2 3 4 2" xfId="13101"/>
    <cellStyle name="20% - akcent 6 2 3 4 2 2" xfId="13102"/>
    <cellStyle name="20% - akcent 6 2 3 4 2 2 2" xfId="13103"/>
    <cellStyle name="20% - akcent 6 2 3 4 2 3" xfId="13104"/>
    <cellStyle name="20% - akcent 6 2 3 4 3" xfId="13105"/>
    <cellStyle name="20% - akcent 6 2 3 4 3 2" xfId="13106"/>
    <cellStyle name="20% - akcent 6 2 3 4 3 2 2" xfId="13107"/>
    <cellStyle name="20% - akcent 6 2 3 4 3 3" xfId="13108"/>
    <cellStyle name="20% - akcent 6 2 3 4 4" xfId="13109"/>
    <cellStyle name="20% - akcent 6 2 3 4 4 2" xfId="13110"/>
    <cellStyle name="20% - akcent 6 2 3 4 4 2 2" xfId="13111"/>
    <cellStyle name="20% - akcent 6 2 3 4 4 3" xfId="13112"/>
    <cellStyle name="20% - akcent 6 2 3 4 5" xfId="13113"/>
    <cellStyle name="20% - akcent 6 2 3 4 5 2" xfId="13114"/>
    <cellStyle name="20% - akcent 6 2 3 4 6" xfId="13115"/>
    <cellStyle name="20% - akcent 6 2 3 5" xfId="13116"/>
    <cellStyle name="20% - akcent 6 2 3 5 2" xfId="13117"/>
    <cellStyle name="20% - akcent 6 2 3 5 2 2" xfId="13118"/>
    <cellStyle name="20% - akcent 6 2 3 5 2 2 2" xfId="13119"/>
    <cellStyle name="20% - akcent 6 2 3 5 2 3" xfId="13120"/>
    <cellStyle name="20% - akcent 6 2 3 5 3" xfId="13121"/>
    <cellStyle name="20% - akcent 6 2 3 5 3 2" xfId="13122"/>
    <cellStyle name="20% - akcent 6 2 3 5 3 2 2" xfId="13123"/>
    <cellStyle name="20% - akcent 6 2 3 5 3 3" xfId="13124"/>
    <cellStyle name="20% - akcent 6 2 3 5 4" xfId="13125"/>
    <cellStyle name="20% - akcent 6 2 3 5 4 2" xfId="13126"/>
    <cellStyle name="20% - akcent 6 2 3 5 4 2 2" xfId="13127"/>
    <cellStyle name="20% - akcent 6 2 3 5 4 3" xfId="13128"/>
    <cellStyle name="20% - akcent 6 2 3 5 5" xfId="13129"/>
    <cellStyle name="20% - akcent 6 2 3 5 5 2" xfId="13130"/>
    <cellStyle name="20% - akcent 6 2 3 5 6" xfId="13131"/>
    <cellStyle name="20% - akcent 6 2 3 6" xfId="13132"/>
    <cellStyle name="20% - akcent 6 2 3 6 2" xfId="13133"/>
    <cellStyle name="20% - akcent 6 2 3 6 2 2" xfId="13134"/>
    <cellStyle name="20% - akcent 6 2 3 6 2 2 2" xfId="13135"/>
    <cellStyle name="20% - akcent 6 2 3 6 2 3" xfId="13136"/>
    <cellStyle name="20% - akcent 6 2 3 6 3" xfId="13137"/>
    <cellStyle name="20% - akcent 6 2 3 6 3 2" xfId="13138"/>
    <cellStyle name="20% - akcent 6 2 3 6 3 2 2" xfId="13139"/>
    <cellStyle name="20% - akcent 6 2 3 6 3 3" xfId="13140"/>
    <cellStyle name="20% - akcent 6 2 3 6 4" xfId="13141"/>
    <cellStyle name="20% - akcent 6 2 3 6 4 2" xfId="13142"/>
    <cellStyle name="20% - akcent 6 2 3 6 4 2 2" xfId="13143"/>
    <cellStyle name="20% - akcent 6 2 3 6 4 3" xfId="13144"/>
    <cellStyle name="20% - akcent 6 2 3 6 5" xfId="13145"/>
    <cellStyle name="20% - akcent 6 2 3 6 5 2" xfId="13146"/>
    <cellStyle name="20% - akcent 6 2 3 6 6" xfId="13147"/>
    <cellStyle name="20% - akcent 6 2 3_2011'05 Raport PGE_DO-CO2" xfId="13148"/>
    <cellStyle name="20% - akcent 6 2 4" xfId="13149"/>
    <cellStyle name="20% - akcent 6 2 4 2" xfId="13150"/>
    <cellStyle name="20% - akcent 6 2 4 2 2" xfId="13151"/>
    <cellStyle name="20% - akcent 6 2 4 2 2 2" xfId="13152"/>
    <cellStyle name="20% - akcent 6 2 4 2 2 2 2" xfId="13153"/>
    <cellStyle name="20% - akcent 6 2 4 2 2 2 2 2" xfId="13154"/>
    <cellStyle name="20% - akcent 6 2 4 2 2 2 2 2 2" xfId="13155"/>
    <cellStyle name="20% - akcent 6 2 4 2 2 2 2 3" xfId="13156"/>
    <cellStyle name="20% - akcent 6 2 4 2 2 2 3" xfId="13157"/>
    <cellStyle name="20% - akcent 6 2 4 2 2 2 3 2" xfId="13158"/>
    <cellStyle name="20% - akcent 6 2 4 2 2 2 3 2 2" xfId="13159"/>
    <cellStyle name="20% - akcent 6 2 4 2 2 2 3 3" xfId="13160"/>
    <cellStyle name="20% - akcent 6 2 4 2 2 2 4" xfId="13161"/>
    <cellStyle name="20% - akcent 6 2 4 2 2 2 4 2" xfId="13162"/>
    <cellStyle name="20% - akcent 6 2 4 2 2 2 4 2 2" xfId="13163"/>
    <cellStyle name="20% - akcent 6 2 4 2 2 2 4 3" xfId="13164"/>
    <cellStyle name="20% - akcent 6 2 4 2 2 2 5" xfId="13165"/>
    <cellStyle name="20% - akcent 6 2 4 2 2 2 5 2" xfId="13166"/>
    <cellStyle name="20% - akcent 6 2 4 2 2 2 6" xfId="13167"/>
    <cellStyle name="20% - akcent 6 2 4 2 2 3" xfId="13168"/>
    <cellStyle name="20% - akcent 6 2 4 2 2 3 2" xfId="13169"/>
    <cellStyle name="20% - akcent 6 2 4 2 2 3 2 2" xfId="13170"/>
    <cellStyle name="20% - akcent 6 2 4 2 2 3 3" xfId="13171"/>
    <cellStyle name="20% - akcent 6 2 4 2 2 4" xfId="13172"/>
    <cellStyle name="20% - akcent 6 2 4 2 2 4 2" xfId="13173"/>
    <cellStyle name="20% - akcent 6 2 4 2 2 4 2 2" xfId="13174"/>
    <cellStyle name="20% - akcent 6 2 4 2 2 4 3" xfId="13175"/>
    <cellStyle name="20% - akcent 6 2 4 2 2 5" xfId="13176"/>
    <cellStyle name="20% - akcent 6 2 4 2 2 5 2" xfId="13177"/>
    <cellStyle name="20% - akcent 6 2 4 2 2 5 2 2" xfId="13178"/>
    <cellStyle name="20% - akcent 6 2 4 2 2 5 3" xfId="13179"/>
    <cellStyle name="20% - akcent 6 2 4 2 2 6" xfId="13180"/>
    <cellStyle name="20% - akcent 6 2 4 2 2 6 2" xfId="13181"/>
    <cellStyle name="20% - akcent 6 2 4 2 2 7" xfId="13182"/>
    <cellStyle name="20% - akcent 6 2 4 2 3" xfId="13183"/>
    <cellStyle name="20% - akcent 6 2 4 2 3 2" xfId="13184"/>
    <cellStyle name="20% - akcent 6 2 4 2 3 2 2" xfId="13185"/>
    <cellStyle name="20% - akcent 6 2 4 2 3 2 2 2" xfId="13186"/>
    <cellStyle name="20% - akcent 6 2 4 2 3 2 3" xfId="13187"/>
    <cellStyle name="20% - akcent 6 2 4 2 3 3" xfId="13188"/>
    <cellStyle name="20% - akcent 6 2 4 2 3 3 2" xfId="13189"/>
    <cellStyle name="20% - akcent 6 2 4 2 3 3 2 2" xfId="13190"/>
    <cellStyle name="20% - akcent 6 2 4 2 3 3 3" xfId="13191"/>
    <cellStyle name="20% - akcent 6 2 4 2 3 4" xfId="13192"/>
    <cellStyle name="20% - akcent 6 2 4 2 3 4 2" xfId="13193"/>
    <cellStyle name="20% - akcent 6 2 4 2 3 4 2 2" xfId="13194"/>
    <cellStyle name="20% - akcent 6 2 4 2 3 4 3" xfId="13195"/>
    <cellStyle name="20% - akcent 6 2 4 2 3 5" xfId="13196"/>
    <cellStyle name="20% - akcent 6 2 4 2 3 5 2" xfId="13197"/>
    <cellStyle name="20% - akcent 6 2 4 2 3 6" xfId="13198"/>
    <cellStyle name="20% - akcent 6 2 4 2 4" xfId="13199"/>
    <cellStyle name="20% - akcent 6 2 4 2 4 2" xfId="13200"/>
    <cellStyle name="20% - akcent 6 2 4 2 4 2 2" xfId="13201"/>
    <cellStyle name="20% - akcent 6 2 4 2 4 2 2 2" xfId="13202"/>
    <cellStyle name="20% - akcent 6 2 4 2 4 2 3" xfId="13203"/>
    <cellStyle name="20% - akcent 6 2 4 2 4 3" xfId="13204"/>
    <cellStyle name="20% - akcent 6 2 4 2 4 3 2" xfId="13205"/>
    <cellStyle name="20% - akcent 6 2 4 2 4 3 2 2" xfId="13206"/>
    <cellStyle name="20% - akcent 6 2 4 2 4 3 3" xfId="13207"/>
    <cellStyle name="20% - akcent 6 2 4 2 4 4" xfId="13208"/>
    <cellStyle name="20% - akcent 6 2 4 2 4 4 2" xfId="13209"/>
    <cellStyle name="20% - akcent 6 2 4 2 4 4 2 2" xfId="13210"/>
    <cellStyle name="20% - akcent 6 2 4 2 4 4 3" xfId="13211"/>
    <cellStyle name="20% - akcent 6 2 4 2 4 5" xfId="13212"/>
    <cellStyle name="20% - akcent 6 2 4 2 4 5 2" xfId="13213"/>
    <cellStyle name="20% - akcent 6 2 4 2 4 6" xfId="13214"/>
    <cellStyle name="20% - akcent 6 2 4 2 5" xfId="13215"/>
    <cellStyle name="20% - akcent 6 2 4 2 5 2" xfId="13216"/>
    <cellStyle name="20% - akcent 6 2 4 2 5 2 2" xfId="13217"/>
    <cellStyle name="20% - akcent 6 2 4 2 5 3" xfId="13218"/>
    <cellStyle name="20% - akcent 6 2 4 2 6" xfId="13219"/>
    <cellStyle name="20% - akcent 6 2 4 2 6 2" xfId="13220"/>
    <cellStyle name="20% - akcent 6 2 4 2 6 2 2" xfId="13221"/>
    <cellStyle name="20% - akcent 6 2 4 2 6 3" xfId="13222"/>
    <cellStyle name="20% - akcent 6 2 4 2 7" xfId="13223"/>
    <cellStyle name="20% - akcent 6 2 4 2 7 2" xfId="13224"/>
    <cellStyle name="20% - akcent 6 2 4 2 7 2 2" xfId="13225"/>
    <cellStyle name="20% - akcent 6 2 4 2 7 3" xfId="13226"/>
    <cellStyle name="20% - akcent 6 2 4 2 8" xfId="13227"/>
    <cellStyle name="20% - akcent 6 2 4 2 8 2" xfId="13228"/>
    <cellStyle name="20% - akcent 6 2 4 2 9" xfId="13229"/>
    <cellStyle name="20% - akcent 6 2 4 3" xfId="13230"/>
    <cellStyle name="20% - akcent 6 2 4 3 2" xfId="13231"/>
    <cellStyle name="20% - akcent 6 2 4 3 2 2" xfId="13232"/>
    <cellStyle name="20% - akcent 6 2 4 3 2 2 2" xfId="13233"/>
    <cellStyle name="20% - akcent 6 2 4 3 2 2 2 2" xfId="13234"/>
    <cellStyle name="20% - akcent 6 2 4 3 2 2 3" xfId="13235"/>
    <cellStyle name="20% - akcent 6 2 4 3 2 3" xfId="13236"/>
    <cellStyle name="20% - akcent 6 2 4 3 2 3 2" xfId="13237"/>
    <cellStyle name="20% - akcent 6 2 4 3 2 3 2 2" xfId="13238"/>
    <cellStyle name="20% - akcent 6 2 4 3 2 3 3" xfId="13239"/>
    <cellStyle name="20% - akcent 6 2 4 3 2 4" xfId="13240"/>
    <cellStyle name="20% - akcent 6 2 4 3 2 4 2" xfId="13241"/>
    <cellStyle name="20% - akcent 6 2 4 3 2 4 2 2" xfId="13242"/>
    <cellStyle name="20% - akcent 6 2 4 3 2 4 3" xfId="13243"/>
    <cellStyle name="20% - akcent 6 2 4 3 2 5" xfId="13244"/>
    <cellStyle name="20% - akcent 6 2 4 3 2 5 2" xfId="13245"/>
    <cellStyle name="20% - akcent 6 2 4 3 2 6" xfId="13246"/>
    <cellStyle name="20% - akcent 6 2 4 3 3" xfId="13247"/>
    <cellStyle name="20% - akcent 6 2 4 3 3 2" xfId="13248"/>
    <cellStyle name="20% - akcent 6 2 4 3 3 2 2" xfId="13249"/>
    <cellStyle name="20% - akcent 6 2 4 3 3 3" xfId="13250"/>
    <cellStyle name="20% - akcent 6 2 4 3 4" xfId="13251"/>
    <cellStyle name="20% - akcent 6 2 4 3 4 2" xfId="13252"/>
    <cellStyle name="20% - akcent 6 2 4 3 4 2 2" xfId="13253"/>
    <cellStyle name="20% - akcent 6 2 4 3 4 3" xfId="13254"/>
    <cellStyle name="20% - akcent 6 2 4 3 5" xfId="13255"/>
    <cellStyle name="20% - akcent 6 2 4 3 5 2" xfId="13256"/>
    <cellStyle name="20% - akcent 6 2 4 3 5 2 2" xfId="13257"/>
    <cellStyle name="20% - akcent 6 2 4 3 5 3" xfId="13258"/>
    <cellStyle name="20% - akcent 6 2 4 3 6" xfId="13259"/>
    <cellStyle name="20% - akcent 6 2 4 3 6 2" xfId="13260"/>
    <cellStyle name="20% - akcent 6 2 4 3 7" xfId="13261"/>
    <cellStyle name="20% - akcent 6 2 4 4" xfId="13262"/>
    <cellStyle name="20% - akcent 6 2 4 4 2" xfId="13263"/>
    <cellStyle name="20% - akcent 6 2 4 4 2 2" xfId="13264"/>
    <cellStyle name="20% - akcent 6 2 4 4 2 2 2" xfId="13265"/>
    <cellStyle name="20% - akcent 6 2 4 4 2 3" xfId="13266"/>
    <cellStyle name="20% - akcent 6 2 4 4 3" xfId="13267"/>
    <cellStyle name="20% - akcent 6 2 4 4 3 2" xfId="13268"/>
    <cellStyle name="20% - akcent 6 2 4 4 3 2 2" xfId="13269"/>
    <cellStyle name="20% - akcent 6 2 4 4 3 3" xfId="13270"/>
    <cellStyle name="20% - akcent 6 2 4 4 4" xfId="13271"/>
    <cellStyle name="20% - akcent 6 2 4 4 4 2" xfId="13272"/>
    <cellStyle name="20% - akcent 6 2 4 4 4 2 2" xfId="13273"/>
    <cellStyle name="20% - akcent 6 2 4 4 4 3" xfId="13274"/>
    <cellStyle name="20% - akcent 6 2 4 4 5" xfId="13275"/>
    <cellStyle name="20% - akcent 6 2 4 4 5 2" xfId="13276"/>
    <cellStyle name="20% - akcent 6 2 4 4 6" xfId="13277"/>
    <cellStyle name="20% - akcent 6 2 4 5" xfId="13278"/>
    <cellStyle name="20% - akcent 6 2 4 5 2" xfId="13279"/>
    <cellStyle name="20% - akcent 6 2 4 5 2 2" xfId="13280"/>
    <cellStyle name="20% - akcent 6 2 4 5 2 2 2" xfId="13281"/>
    <cellStyle name="20% - akcent 6 2 4 5 2 3" xfId="13282"/>
    <cellStyle name="20% - akcent 6 2 4 5 3" xfId="13283"/>
    <cellStyle name="20% - akcent 6 2 4 5 3 2" xfId="13284"/>
    <cellStyle name="20% - akcent 6 2 4 5 3 2 2" xfId="13285"/>
    <cellStyle name="20% - akcent 6 2 4 5 3 3" xfId="13286"/>
    <cellStyle name="20% - akcent 6 2 4 5 4" xfId="13287"/>
    <cellStyle name="20% - akcent 6 2 4 5 4 2" xfId="13288"/>
    <cellStyle name="20% - akcent 6 2 4 5 4 2 2" xfId="13289"/>
    <cellStyle name="20% - akcent 6 2 4 5 4 3" xfId="13290"/>
    <cellStyle name="20% - akcent 6 2 4 5 5" xfId="13291"/>
    <cellStyle name="20% - akcent 6 2 4 5 5 2" xfId="13292"/>
    <cellStyle name="20% - akcent 6 2 4 5 6" xfId="13293"/>
    <cellStyle name="20% - akcent 6 2 4 6" xfId="13294"/>
    <cellStyle name="20% - akcent 6 2 4 6 2" xfId="13295"/>
    <cellStyle name="20% - akcent 6 2 4 6 2 2" xfId="13296"/>
    <cellStyle name="20% - akcent 6 2 4 6 2 2 2" xfId="13297"/>
    <cellStyle name="20% - akcent 6 2 4 6 2 3" xfId="13298"/>
    <cellStyle name="20% - akcent 6 2 4 6 3" xfId="13299"/>
    <cellStyle name="20% - akcent 6 2 4 6 3 2" xfId="13300"/>
    <cellStyle name="20% - akcent 6 2 4 6 3 2 2" xfId="13301"/>
    <cellStyle name="20% - akcent 6 2 4 6 3 3" xfId="13302"/>
    <cellStyle name="20% - akcent 6 2 4 6 4" xfId="13303"/>
    <cellStyle name="20% - akcent 6 2 4 6 4 2" xfId="13304"/>
    <cellStyle name="20% - akcent 6 2 4 6 4 2 2" xfId="13305"/>
    <cellStyle name="20% - akcent 6 2 4 6 4 3" xfId="13306"/>
    <cellStyle name="20% - akcent 6 2 4 6 5" xfId="13307"/>
    <cellStyle name="20% - akcent 6 2 4 6 5 2" xfId="13308"/>
    <cellStyle name="20% - akcent 6 2 4 6 6" xfId="13309"/>
    <cellStyle name="20% - akcent 6 2 5" xfId="13310"/>
    <cellStyle name="20% - akcent 6 2 5 2" xfId="13311"/>
    <cellStyle name="20% - akcent 6 2 6" xfId="13312"/>
    <cellStyle name="20% - akcent 6 2 7" xfId="13313"/>
    <cellStyle name="20% - akcent 6 2 8" xfId="13314"/>
    <cellStyle name="20% - akcent 6 2 9" xfId="13315"/>
    <cellStyle name="20% - akcent 6 2_2011'05 Raport PGE_DO-CO2" xfId="13316"/>
    <cellStyle name="20% - akcent 6 3" xfId="13317"/>
    <cellStyle name="20% - akcent 6 3 10" xfId="13318"/>
    <cellStyle name="20% - akcent 6 3 10 2" xfId="13319"/>
    <cellStyle name="20% - akcent 6 3 10 2 2" xfId="13320"/>
    <cellStyle name="20% - akcent 6 3 10 2 2 2" xfId="13321"/>
    <cellStyle name="20% - akcent 6 3 10 2 3" xfId="13322"/>
    <cellStyle name="20% - akcent 6 3 10 3" xfId="13323"/>
    <cellStyle name="20% - akcent 6 3 10 3 2" xfId="13324"/>
    <cellStyle name="20% - akcent 6 3 10 3 2 2" xfId="13325"/>
    <cellStyle name="20% - akcent 6 3 10 3 3" xfId="13326"/>
    <cellStyle name="20% - akcent 6 3 10 4" xfId="13327"/>
    <cellStyle name="20% - akcent 6 3 10 4 2" xfId="13328"/>
    <cellStyle name="20% - akcent 6 3 10 4 2 2" xfId="13329"/>
    <cellStyle name="20% - akcent 6 3 10 4 3" xfId="13330"/>
    <cellStyle name="20% - akcent 6 3 10 5" xfId="13331"/>
    <cellStyle name="20% - akcent 6 3 10 5 2" xfId="13332"/>
    <cellStyle name="20% - akcent 6 3 10 6" xfId="13333"/>
    <cellStyle name="20% - akcent 6 3 2" xfId="13334"/>
    <cellStyle name="20% - akcent 6 3 2 2" xfId="13335"/>
    <cellStyle name="20% - akcent 6 3 2 2 10" xfId="13336"/>
    <cellStyle name="20% - akcent 6 3 2 2 2" xfId="13337"/>
    <cellStyle name="20% - akcent 6 3 2 2 2 2" xfId="13338"/>
    <cellStyle name="20% - akcent 6 3 2 2 2 2 2" xfId="13339"/>
    <cellStyle name="20% - akcent 6 3 2 2 2 2 2 2" xfId="13340"/>
    <cellStyle name="20% - akcent 6 3 2 2 2 2 2 2 2" xfId="13341"/>
    <cellStyle name="20% - akcent 6 3 2 2 2 2 2 2 2 2" xfId="13342"/>
    <cellStyle name="20% - akcent 6 3 2 2 2 2 2 2 3" xfId="13343"/>
    <cellStyle name="20% - akcent 6 3 2 2 2 2 2 3" xfId="13344"/>
    <cellStyle name="20% - akcent 6 3 2 2 2 2 2 3 2" xfId="13345"/>
    <cellStyle name="20% - akcent 6 3 2 2 2 2 2 3 2 2" xfId="13346"/>
    <cellStyle name="20% - akcent 6 3 2 2 2 2 2 3 3" xfId="13347"/>
    <cellStyle name="20% - akcent 6 3 2 2 2 2 2 4" xfId="13348"/>
    <cellStyle name="20% - akcent 6 3 2 2 2 2 2 4 2" xfId="13349"/>
    <cellStyle name="20% - akcent 6 3 2 2 2 2 2 4 2 2" xfId="13350"/>
    <cellStyle name="20% - akcent 6 3 2 2 2 2 2 4 3" xfId="13351"/>
    <cellStyle name="20% - akcent 6 3 2 2 2 2 2 5" xfId="13352"/>
    <cellStyle name="20% - akcent 6 3 2 2 2 2 2 5 2" xfId="13353"/>
    <cellStyle name="20% - akcent 6 3 2 2 2 2 2 6" xfId="13354"/>
    <cellStyle name="20% - akcent 6 3 2 2 2 2 3" xfId="13355"/>
    <cellStyle name="20% - akcent 6 3 2 2 2 2 3 2" xfId="13356"/>
    <cellStyle name="20% - akcent 6 3 2 2 2 2 3 2 2" xfId="13357"/>
    <cellStyle name="20% - akcent 6 3 2 2 2 2 3 3" xfId="13358"/>
    <cellStyle name="20% - akcent 6 3 2 2 2 2 4" xfId="13359"/>
    <cellStyle name="20% - akcent 6 3 2 2 2 2 4 2" xfId="13360"/>
    <cellStyle name="20% - akcent 6 3 2 2 2 2 4 2 2" xfId="13361"/>
    <cellStyle name="20% - akcent 6 3 2 2 2 2 4 3" xfId="13362"/>
    <cellStyle name="20% - akcent 6 3 2 2 2 2 5" xfId="13363"/>
    <cellStyle name="20% - akcent 6 3 2 2 2 2 5 2" xfId="13364"/>
    <cellStyle name="20% - akcent 6 3 2 2 2 2 5 2 2" xfId="13365"/>
    <cellStyle name="20% - akcent 6 3 2 2 2 2 5 3" xfId="13366"/>
    <cellStyle name="20% - akcent 6 3 2 2 2 2 6" xfId="13367"/>
    <cellStyle name="20% - akcent 6 3 2 2 2 2 6 2" xfId="13368"/>
    <cellStyle name="20% - akcent 6 3 2 2 2 2 7" xfId="13369"/>
    <cellStyle name="20% - akcent 6 3 2 2 2 3" xfId="13370"/>
    <cellStyle name="20% - akcent 6 3 2 2 2 3 2" xfId="13371"/>
    <cellStyle name="20% - akcent 6 3 2 2 2 3 2 2" xfId="13372"/>
    <cellStyle name="20% - akcent 6 3 2 2 2 3 2 2 2" xfId="13373"/>
    <cellStyle name="20% - akcent 6 3 2 2 2 3 2 3" xfId="13374"/>
    <cellStyle name="20% - akcent 6 3 2 2 2 3 3" xfId="13375"/>
    <cellStyle name="20% - akcent 6 3 2 2 2 3 3 2" xfId="13376"/>
    <cellStyle name="20% - akcent 6 3 2 2 2 3 3 2 2" xfId="13377"/>
    <cellStyle name="20% - akcent 6 3 2 2 2 3 3 3" xfId="13378"/>
    <cellStyle name="20% - akcent 6 3 2 2 2 3 4" xfId="13379"/>
    <cellStyle name="20% - akcent 6 3 2 2 2 3 4 2" xfId="13380"/>
    <cellStyle name="20% - akcent 6 3 2 2 2 3 4 2 2" xfId="13381"/>
    <cellStyle name="20% - akcent 6 3 2 2 2 3 4 3" xfId="13382"/>
    <cellStyle name="20% - akcent 6 3 2 2 2 3 5" xfId="13383"/>
    <cellStyle name="20% - akcent 6 3 2 2 2 3 5 2" xfId="13384"/>
    <cellStyle name="20% - akcent 6 3 2 2 2 3 6" xfId="13385"/>
    <cellStyle name="20% - akcent 6 3 2 2 2 4" xfId="13386"/>
    <cellStyle name="20% - akcent 6 3 2 2 2 4 2" xfId="13387"/>
    <cellStyle name="20% - akcent 6 3 2 2 2 4 2 2" xfId="13388"/>
    <cellStyle name="20% - akcent 6 3 2 2 2 4 2 2 2" xfId="13389"/>
    <cellStyle name="20% - akcent 6 3 2 2 2 4 2 3" xfId="13390"/>
    <cellStyle name="20% - akcent 6 3 2 2 2 4 3" xfId="13391"/>
    <cellStyle name="20% - akcent 6 3 2 2 2 4 3 2" xfId="13392"/>
    <cellStyle name="20% - akcent 6 3 2 2 2 4 3 2 2" xfId="13393"/>
    <cellStyle name="20% - akcent 6 3 2 2 2 4 3 3" xfId="13394"/>
    <cellStyle name="20% - akcent 6 3 2 2 2 4 4" xfId="13395"/>
    <cellStyle name="20% - akcent 6 3 2 2 2 4 4 2" xfId="13396"/>
    <cellStyle name="20% - akcent 6 3 2 2 2 4 4 2 2" xfId="13397"/>
    <cellStyle name="20% - akcent 6 3 2 2 2 4 4 3" xfId="13398"/>
    <cellStyle name="20% - akcent 6 3 2 2 2 4 5" xfId="13399"/>
    <cellStyle name="20% - akcent 6 3 2 2 2 4 5 2" xfId="13400"/>
    <cellStyle name="20% - akcent 6 3 2 2 2 4 6" xfId="13401"/>
    <cellStyle name="20% - akcent 6 3 2 2 2 5" xfId="13402"/>
    <cellStyle name="20% - akcent 6 3 2 2 2 5 2" xfId="13403"/>
    <cellStyle name="20% - akcent 6 3 2 2 2 5 2 2" xfId="13404"/>
    <cellStyle name="20% - akcent 6 3 2 2 2 5 3" xfId="13405"/>
    <cellStyle name="20% - akcent 6 3 2 2 2 6" xfId="13406"/>
    <cellStyle name="20% - akcent 6 3 2 2 2 6 2" xfId="13407"/>
    <cellStyle name="20% - akcent 6 3 2 2 2 6 2 2" xfId="13408"/>
    <cellStyle name="20% - akcent 6 3 2 2 2 6 3" xfId="13409"/>
    <cellStyle name="20% - akcent 6 3 2 2 2 7" xfId="13410"/>
    <cellStyle name="20% - akcent 6 3 2 2 2 7 2" xfId="13411"/>
    <cellStyle name="20% - akcent 6 3 2 2 2 7 2 2" xfId="13412"/>
    <cellStyle name="20% - akcent 6 3 2 2 2 7 3" xfId="13413"/>
    <cellStyle name="20% - akcent 6 3 2 2 2 8" xfId="13414"/>
    <cellStyle name="20% - akcent 6 3 2 2 2 8 2" xfId="13415"/>
    <cellStyle name="20% - akcent 6 3 2 2 2 9" xfId="13416"/>
    <cellStyle name="20% - akcent 6 3 2 2 3" xfId="13417"/>
    <cellStyle name="20% - akcent 6 3 2 2 3 2" xfId="13418"/>
    <cellStyle name="20% - akcent 6 3 2 2 3 2 2" xfId="13419"/>
    <cellStyle name="20% - akcent 6 3 2 2 3 2 2 2" xfId="13420"/>
    <cellStyle name="20% - akcent 6 3 2 2 3 2 2 2 2" xfId="13421"/>
    <cellStyle name="20% - akcent 6 3 2 2 3 2 2 3" xfId="13422"/>
    <cellStyle name="20% - akcent 6 3 2 2 3 2 3" xfId="13423"/>
    <cellStyle name="20% - akcent 6 3 2 2 3 2 3 2" xfId="13424"/>
    <cellStyle name="20% - akcent 6 3 2 2 3 2 3 2 2" xfId="13425"/>
    <cellStyle name="20% - akcent 6 3 2 2 3 2 3 3" xfId="13426"/>
    <cellStyle name="20% - akcent 6 3 2 2 3 2 4" xfId="13427"/>
    <cellStyle name="20% - akcent 6 3 2 2 3 2 4 2" xfId="13428"/>
    <cellStyle name="20% - akcent 6 3 2 2 3 2 4 2 2" xfId="13429"/>
    <cellStyle name="20% - akcent 6 3 2 2 3 2 4 3" xfId="13430"/>
    <cellStyle name="20% - akcent 6 3 2 2 3 2 5" xfId="13431"/>
    <cellStyle name="20% - akcent 6 3 2 2 3 2 5 2" xfId="13432"/>
    <cellStyle name="20% - akcent 6 3 2 2 3 2 6" xfId="13433"/>
    <cellStyle name="20% - akcent 6 3 2 2 3 3" xfId="13434"/>
    <cellStyle name="20% - akcent 6 3 2 2 3 3 2" xfId="13435"/>
    <cellStyle name="20% - akcent 6 3 2 2 3 3 2 2" xfId="13436"/>
    <cellStyle name="20% - akcent 6 3 2 2 3 3 3" xfId="13437"/>
    <cellStyle name="20% - akcent 6 3 2 2 3 4" xfId="13438"/>
    <cellStyle name="20% - akcent 6 3 2 2 3 4 2" xfId="13439"/>
    <cellStyle name="20% - akcent 6 3 2 2 3 4 2 2" xfId="13440"/>
    <cellStyle name="20% - akcent 6 3 2 2 3 4 3" xfId="13441"/>
    <cellStyle name="20% - akcent 6 3 2 2 3 5" xfId="13442"/>
    <cellStyle name="20% - akcent 6 3 2 2 3 5 2" xfId="13443"/>
    <cellStyle name="20% - akcent 6 3 2 2 3 5 2 2" xfId="13444"/>
    <cellStyle name="20% - akcent 6 3 2 2 3 5 3" xfId="13445"/>
    <cellStyle name="20% - akcent 6 3 2 2 3 6" xfId="13446"/>
    <cellStyle name="20% - akcent 6 3 2 2 3 6 2" xfId="13447"/>
    <cellStyle name="20% - akcent 6 3 2 2 3 7" xfId="13448"/>
    <cellStyle name="20% - akcent 6 3 2 2 4" xfId="13449"/>
    <cellStyle name="20% - akcent 6 3 2 2 4 2" xfId="13450"/>
    <cellStyle name="20% - akcent 6 3 2 2 4 2 2" xfId="13451"/>
    <cellStyle name="20% - akcent 6 3 2 2 4 2 2 2" xfId="13452"/>
    <cellStyle name="20% - akcent 6 3 2 2 4 2 3" xfId="13453"/>
    <cellStyle name="20% - akcent 6 3 2 2 4 3" xfId="13454"/>
    <cellStyle name="20% - akcent 6 3 2 2 4 3 2" xfId="13455"/>
    <cellStyle name="20% - akcent 6 3 2 2 4 3 2 2" xfId="13456"/>
    <cellStyle name="20% - akcent 6 3 2 2 4 3 3" xfId="13457"/>
    <cellStyle name="20% - akcent 6 3 2 2 4 4" xfId="13458"/>
    <cellStyle name="20% - akcent 6 3 2 2 4 4 2" xfId="13459"/>
    <cellStyle name="20% - akcent 6 3 2 2 4 4 2 2" xfId="13460"/>
    <cellStyle name="20% - akcent 6 3 2 2 4 4 3" xfId="13461"/>
    <cellStyle name="20% - akcent 6 3 2 2 4 5" xfId="13462"/>
    <cellStyle name="20% - akcent 6 3 2 2 4 5 2" xfId="13463"/>
    <cellStyle name="20% - akcent 6 3 2 2 4 6" xfId="13464"/>
    <cellStyle name="20% - akcent 6 3 2 2 5" xfId="13465"/>
    <cellStyle name="20% - akcent 6 3 2 2 5 2" xfId="13466"/>
    <cellStyle name="20% - akcent 6 3 2 2 5 2 2" xfId="13467"/>
    <cellStyle name="20% - akcent 6 3 2 2 5 2 2 2" xfId="13468"/>
    <cellStyle name="20% - akcent 6 3 2 2 5 2 3" xfId="13469"/>
    <cellStyle name="20% - akcent 6 3 2 2 5 3" xfId="13470"/>
    <cellStyle name="20% - akcent 6 3 2 2 5 3 2" xfId="13471"/>
    <cellStyle name="20% - akcent 6 3 2 2 5 3 2 2" xfId="13472"/>
    <cellStyle name="20% - akcent 6 3 2 2 5 3 3" xfId="13473"/>
    <cellStyle name="20% - akcent 6 3 2 2 5 4" xfId="13474"/>
    <cellStyle name="20% - akcent 6 3 2 2 5 4 2" xfId="13475"/>
    <cellStyle name="20% - akcent 6 3 2 2 5 4 2 2" xfId="13476"/>
    <cellStyle name="20% - akcent 6 3 2 2 5 4 3" xfId="13477"/>
    <cellStyle name="20% - akcent 6 3 2 2 5 5" xfId="13478"/>
    <cellStyle name="20% - akcent 6 3 2 2 5 5 2" xfId="13479"/>
    <cellStyle name="20% - akcent 6 3 2 2 5 6" xfId="13480"/>
    <cellStyle name="20% - akcent 6 3 2 2 6" xfId="13481"/>
    <cellStyle name="20% - akcent 6 3 2 2 6 2" xfId="13482"/>
    <cellStyle name="20% - akcent 6 3 2 2 6 2 2" xfId="13483"/>
    <cellStyle name="20% - akcent 6 3 2 2 6 3" xfId="13484"/>
    <cellStyle name="20% - akcent 6 3 2 2 7" xfId="13485"/>
    <cellStyle name="20% - akcent 6 3 2 2 7 2" xfId="13486"/>
    <cellStyle name="20% - akcent 6 3 2 2 7 2 2" xfId="13487"/>
    <cellStyle name="20% - akcent 6 3 2 2 7 3" xfId="13488"/>
    <cellStyle name="20% - akcent 6 3 2 2 8" xfId="13489"/>
    <cellStyle name="20% - akcent 6 3 2 2 8 2" xfId="13490"/>
    <cellStyle name="20% - akcent 6 3 2 2 8 2 2" xfId="13491"/>
    <cellStyle name="20% - akcent 6 3 2 2 8 3" xfId="13492"/>
    <cellStyle name="20% - akcent 6 3 2 2 9" xfId="13493"/>
    <cellStyle name="20% - akcent 6 3 2 2 9 2" xfId="13494"/>
    <cellStyle name="20% - akcent 6 3 2 3" xfId="13495"/>
    <cellStyle name="20% - akcent 6 3 2 3 2" xfId="13496"/>
    <cellStyle name="20% - akcent 6 3 2 3 2 2" xfId="13497"/>
    <cellStyle name="20% - akcent 6 3 2 3 2 2 2" xfId="13498"/>
    <cellStyle name="20% - akcent 6 3 2 3 2 2 2 2" xfId="13499"/>
    <cellStyle name="20% - akcent 6 3 2 3 2 2 2 2 2" xfId="13500"/>
    <cellStyle name="20% - akcent 6 3 2 3 2 2 2 3" xfId="13501"/>
    <cellStyle name="20% - akcent 6 3 2 3 2 2 3" xfId="13502"/>
    <cellStyle name="20% - akcent 6 3 2 3 2 2 3 2" xfId="13503"/>
    <cellStyle name="20% - akcent 6 3 2 3 2 2 3 2 2" xfId="13504"/>
    <cellStyle name="20% - akcent 6 3 2 3 2 2 3 3" xfId="13505"/>
    <cellStyle name="20% - akcent 6 3 2 3 2 2 4" xfId="13506"/>
    <cellStyle name="20% - akcent 6 3 2 3 2 2 4 2" xfId="13507"/>
    <cellStyle name="20% - akcent 6 3 2 3 2 2 4 2 2" xfId="13508"/>
    <cellStyle name="20% - akcent 6 3 2 3 2 2 4 3" xfId="13509"/>
    <cellStyle name="20% - akcent 6 3 2 3 2 2 5" xfId="13510"/>
    <cellStyle name="20% - akcent 6 3 2 3 2 2 5 2" xfId="13511"/>
    <cellStyle name="20% - akcent 6 3 2 3 2 2 6" xfId="13512"/>
    <cellStyle name="20% - akcent 6 3 2 3 2 3" xfId="13513"/>
    <cellStyle name="20% - akcent 6 3 2 3 2 3 2" xfId="13514"/>
    <cellStyle name="20% - akcent 6 3 2 3 2 3 2 2" xfId="13515"/>
    <cellStyle name="20% - akcent 6 3 2 3 2 3 3" xfId="13516"/>
    <cellStyle name="20% - akcent 6 3 2 3 2 4" xfId="13517"/>
    <cellStyle name="20% - akcent 6 3 2 3 2 4 2" xfId="13518"/>
    <cellStyle name="20% - akcent 6 3 2 3 2 4 2 2" xfId="13519"/>
    <cellStyle name="20% - akcent 6 3 2 3 2 4 3" xfId="13520"/>
    <cellStyle name="20% - akcent 6 3 2 3 2 5" xfId="13521"/>
    <cellStyle name="20% - akcent 6 3 2 3 2 5 2" xfId="13522"/>
    <cellStyle name="20% - akcent 6 3 2 3 2 5 2 2" xfId="13523"/>
    <cellStyle name="20% - akcent 6 3 2 3 2 5 3" xfId="13524"/>
    <cellStyle name="20% - akcent 6 3 2 3 2 6" xfId="13525"/>
    <cellStyle name="20% - akcent 6 3 2 3 2 6 2" xfId="13526"/>
    <cellStyle name="20% - akcent 6 3 2 3 2 7" xfId="13527"/>
    <cellStyle name="20% - akcent 6 3 2 3 3" xfId="13528"/>
    <cellStyle name="20% - akcent 6 3 2 3 3 2" xfId="13529"/>
    <cellStyle name="20% - akcent 6 3 2 3 3 2 2" xfId="13530"/>
    <cellStyle name="20% - akcent 6 3 2 3 3 2 2 2" xfId="13531"/>
    <cellStyle name="20% - akcent 6 3 2 3 3 2 3" xfId="13532"/>
    <cellStyle name="20% - akcent 6 3 2 3 3 3" xfId="13533"/>
    <cellStyle name="20% - akcent 6 3 2 3 3 3 2" xfId="13534"/>
    <cellStyle name="20% - akcent 6 3 2 3 3 3 2 2" xfId="13535"/>
    <cellStyle name="20% - akcent 6 3 2 3 3 3 3" xfId="13536"/>
    <cellStyle name="20% - akcent 6 3 2 3 3 4" xfId="13537"/>
    <cellStyle name="20% - akcent 6 3 2 3 3 4 2" xfId="13538"/>
    <cellStyle name="20% - akcent 6 3 2 3 3 4 2 2" xfId="13539"/>
    <cellStyle name="20% - akcent 6 3 2 3 3 4 3" xfId="13540"/>
    <cellStyle name="20% - akcent 6 3 2 3 3 5" xfId="13541"/>
    <cellStyle name="20% - akcent 6 3 2 3 3 5 2" xfId="13542"/>
    <cellStyle name="20% - akcent 6 3 2 3 3 6" xfId="13543"/>
    <cellStyle name="20% - akcent 6 3 2 3 4" xfId="13544"/>
    <cellStyle name="20% - akcent 6 3 2 3 4 2" xfId="13545"/>
    <cellStyle name="20% - akcent 6 3 2 3 4 2 2" xfId="13546"/>
    <cellStyle name="20% - akcent 6 3 2 3 4 2 2 2" xfId="13547"/>
    <cellStyle name="20% - akcent 6 3 2 3 4 2 3" xfId="13548"/>
    <cellStyle name="20% - akcent 6 3 2 3 4 3" xfId="13549"/>
    <cellStyle name="20% - akcent 6 3 2 3 4 3 2" xfId="13550"/>
    <cellStyle name="20% - akcent 6 3 2 3 4 3 2 2" xfId="13551"/>
    <cellStyle name="20% - akcent 6 3 2 3 4 3 3" xfId="13552"/>
    <cellStyle name="20% - akcent 6 3 2 3 4 4" xfId="13553"/>
    <cellStyle name="20% - akcent 6 3 2 3 4 4 2" xfId="13554"/>
    <cellStyle name="20% - akcent 6 3 2 3 4 4 2 2" xfId="13555"/>
    <cellStyle name="20% - akcent 6 3 2 3 4 4 3" xfId="13556"/>
    <cellStyle name="20% - akcent 6 3 2 3 4 5" xfId="13557"/>
    <cellStyle name="20% - akcent 6 3 2 3 4 5 2" xfId="13558"/>
    <cellStyle name="20% - akcent 6 3 2 3 4 6" xfId="13559"/>
    <cellStyle name="20% - akcent 6 3 2 3 5" xfId="13560"/>
    <cellStyle name="20% - akcent 6 3 2 3 5 2" xfId="13561"/>
    <cellStyle name="20% - akcent 6 3 2 3 5 2 2" xfId="13562"/>
    <cellStyle name="20% - akcent 6 3 2 3 5 3" xfId="13563"/>
    <cellStyle name="20% - akcent 6 3 2 3 6" xfId="13564"/>
    <cellStyle name="20% - akcent 6 3 2 3 6 2" xfId="13565"/>
    <cellStyle name="20% - akcent 6 3 2 3 6 2 2" xfId="13566"/>
    <cellStyle name="20% - akcent 6 3 2 3 6 3" xfId="13567"/>
    <cellStyle name="20% - akcent 6 3 2 3 7" xfId="13568"/>
    <cellStyle name="20% - akcent 6 3 2 3 7 2" xfId="13569"/>
    <cellStyle name="20% - akcent 6 3 2 3 7 2 2" xfId="13570"/>
    <cellStyle name="20% - akcent 6 3 2 3 7 3" xfId="13571"/>
    <cellStyle name="20% - akcent 6 3 2 3 8" xfId="13572"/>
    <cellStyle name="20% - akcent 6 3 2 3 8 2" xfId="13573"/>
    <cellStyle name="20% - akcent 6 3 2 3 9" xfId="13574"/>
    <cellStyle name="20% - akcent 6 3 2 4" xfId="13575"/>
    <cellStyle name="20% - akcent 6 3 2 4 2" xfId="13576"/>
    <cellStyle name="20% - akcent 6 3 2 4 2 2" xfId="13577"/>
    <cellStyle name="20% - akcent 6 3 2 4 2 2 2" xfId="13578"/>
    <cellStyle name="20% - akcent 6 3 2 4 2 2 2 2" xfId="13579"/>
    <cellStyle name="20% - akcent 6 3 2 4 2 2 3" xfId="13580"/>
    <cellStyle name="20% - akcent 6 3 2 4 2 3" xfId="13581"/>
    <cellStyle name="20% - akcent 6 3 2 4 2 3 2" xfId="13582"/>
    <cellStyle name="20% - akcent 6 3 2 4 2 3 2 2" xfId="13583"/>
    <cellStyle name="20% - akcent 6 3 2 4 2 3 3" xfId="13584"/>
    <cellStyle name="20% - akcent 6 3 2 4 2 4" xfId="13585"/>
    <cellStyle name="20% - akcent 6 3 2 4 2 4 2" xfId="13586"/>
    <cellStyle name="20% - akcent 6 3 2 4 2 4 2 2" xfId="13587"/>
    <cellStyle name="20% - akcent 6 3 2 4 2 4 3" xfId="13588"/>
    <cellStyle name="20% - akcent 6 3 2 4 2 5" xfId="13589"/>
    <cellStyle name="20% - akcent 6 3 2 4 2 5 2" xfId="13590"/>
    <cellStyle name="20% - akcent 6 3 2 4 2 6" xfId="13591"/>
    <cellStyle name="20% - akcent 6 3 2 4 3" xfId="13592"/>
    <cellStyle name="20% - akcent 6 3 2 4 3 2" xfId="13593"/>
    <cellStyle name="20% - akcent 6 3 2 4 3 2 2" xfId="13594"/>
    <cellStyle name="20% - akcent 6 3 2 4 3 3" xfId="13595"/>
    <cellStyle name="20% - akcent 6 3 2 4 4" xfId="13596"/>
    <cellStyle name="20% - akcent 6 3 2 4 4 2" xfId="13597"/>
    <cellStyle name="20% - akcent 6 3 2 4 4 2 2" xfId="13598"/>
    <cellStyle name="20% - akcent 6 3 2 4 4 3" xfId="13599"/>
    <cellStyle name="20% - akcent 6 3 2 4 5" xfId="13600"/>
    <cellStyle name="20% - akcent 6 3 2 4 5 2" xfId="13601"/>
    <cellStyle name="20% - akcent 6 3 2 4 5 2 2" xfId="13602"/>
    <cellStyle name="20% - akcent 6 3 2 4 5 3" xfId="13603"/>
    <cellStyle name="20% - akcent 6 3 2 4 6" xfId="13604"/>
    <cellStyle name="20% - akcent 6 3 2 4 6 2" xfId="13605"/>
    <cellStyle name="20% - akcent 6 3 2 4 7" xfId="13606"/>
    <cellStyle name="20% - akcent 6 3 2 5" xfId="13607"/>
    <cellStyle name="20% - akcent 6 3 2 5 2" xfId="13608"/>
    <cellStyle name="20% - akcent 6 3 2 5 2 2" xfId="13609"/>
    <cellStyle name="20% - akcent 6 3 2 5 2 2 2" xfId="13610"/>
    <cellStyle name="20% - akcent 6 3 2 5 2 3" xfId="13611"/>
    <cellStyle name="20% - akcent 6 3 2 5 3" xfId="13612"/>
    <cellStyle name="20% - akcent 6 3 2 5 3 2" xfId="13613"/>
    <cellStyle name="20% - akcent 6 3 2 5 3 2 2" xfId="13614"/>
    <cellStyle name="20% - akcent 6 3 2 5 3 3" xfId="13615"/>
    <cellStyle name="20% - akcent 6 3 2 5 4" xfId="13616"/>
    <cellStyle name="20% - akcent 6 3 2 5 4 2" xfId="13617"/>
    <cellStyle name="20% - akcent 6 3 2 5 4 2 2" xfId="13618"/>
    <cellStyle name="20% - akcent 6 3 2 5 4 3" xfId="13619"/>
    <cellStyle name="20% - akcent 6 3 2 5 5" xfId="13620"/>
    <cellStyle name="20% - akcent 6 3 2 5 5 2" xfId="13621"/>
    <cellStyle name="20% - akcent 6 3 2 5 6" xfId="13622"/>
    <cellStyle name="20% - akcent 6 3 2 6" xfId="13623"/>
    <cellStyle name="20% - akcent 6 3 2 6 2" xfId="13624"/>
    <cellStyle name="20% - akcent 6 3 2 6 2 2" xfId="13625"/>
    <cellStyle name="20% - akcent 6 3 2 6 2 2 2" xfId="13626"/>
    <cellStyle name="20% - akcent 6 3 2 6 2 3" xfId="13627"/>
    <cellStyle name="20% - akcent 6 3 2 6 3" xfId="13628"/>
    <cellStyle name="20% - akcent 6 3 2 6 3 2" xfId="13629"/>
    <cellStyle name="20% - akcent 6 3 2 6 3 2 2" xfId="13630"/>
    <cellStyle name="20% - akcent 6 3 2 6 3 3" xfId="13631"/>
    <cellStyle name="20% - akcent 6 3 2 6 4" xfId="13632"/>
    <cellStyle name="20% - akcent 6 3 2 6 4 2" xfId="13633"/>
    <cellStyle name="20% - akcent 6 3 2 6 4 2 2" xfId="13634"/>
    <cellStyle name="20% - akcent 6 3 2 6 4 3" xfId="13635"/>
    <cellStyle name="20% - akcent 6 3 2 6 5" xfId="13636"/>
    <cellStyle name="20% - akcent 6 3 2 6 5 2" xfId="13637"/>
    <cellStyle name="20% - akcent 6 3 2 6 6" xfId="13638"/>
    <cellStyle name="20% - akcent 6 3 2 7" xfId="13639"/>
    <cellStyle name="20% - akcent 6 3 2 8" xfId="13640"/>
    <cellStyle name="20% - akcent 6 3 2 8 2" xfId="13641"/>
    <cellStyle name="20% - akcent 6 3 2 8 2 2" xfId="13642"/>
    <cellStyle name="20% - akcent 6 3 2 8 2 2 2" xfId="13643"/>
    <cellStyle name="20% - akcent 6 3 2 8 2 3" xfId="13644"/>
    <cellStyle name="20% - akcent 6 3 2 8 3" xfId="13645"/>
    <cellStyle name="20% - akcent 6 3 2 8 3 2" xfId="13646"/>
    <cellStyle name="20% - akcent 6 3 2 8 3 2 2" xfId="13647"/>
    <cellStyle name="20% - akcent 6 3 2 8 3 3" xfId="13648"/>
    <cellStyle name="20% - akcent 6 3 2 8 4" xfId="13649"/>
    <cellStyle name="20% - akcent 6 3 2 8 4 2" xfId="13650"/>
    <cellStyle name="20% - akcent 6 3 2 8 4 2 2" xfId="13651"/>
    <cellStyle name="20% - akcent 6 3 2 8 4 3" xfId="13652"/>
    <cellStyle name="20% - akcent 6 3 2 8 5" xfId="13653"/>
    <cellStyle name="20% - akcent 6 3 2 8 5 2" xfId="13654"/>
    <cellStyle name="20% - akcent 6 3 2 8 6" xfId="13655"/>
    <cellStyle name="20% - akcent 6 3 3" xfId="13656"/>
    <cellStyle name="20% - akcent 6 3 3 2" xfId="13657"/>
    <cellStyle name="20% - akcent 6 3 3 2 2" xfId="13658"/>
    <cellStyle name="20% - akcent 6 3 3 2 2 2" xfId="13659"/>
    <cellStyle name="20% - akcent 6 3 3 2 2 2 2" xfId="13660"/>
    <cellStyle name="20% - akcent 6 3 3 2 2 2 2 2" xfId="13661"/>
    <cellStyle name="20% - akcent 6 3 3 2 2 2 2 2 2" xfId="13662"/>
    <cellStyle name="20% - akcent 6 3 3 2 2 2 2 3" xfId="13663"/>
    <cellStyle name="20% - akcent 6 3 3 2 2 2 3" xfId="13664"/>
    <cellStyle name="20% - akcent 6 3 3 2 2 2 3 2" xfId="13665"/>
    <cellStyle name="20% - akcent 6 3 3 2 2 2 3 2 2" xfId="13666"/>
    <cellStyle name="20% - akcent 6 3 3 2 2 2 3 3" xfId="13667"/>
    <cellStyle name="20% - akcent 6 3 3 2 2 2 4" xfId="13668"/>
    <cellStyle name="20% - akcent 6 3 3 2 2 2 4 2" xfId="13669"/>
    <cellStyle name="20% - akcent 6 3 3 2 2 2 4 2 2" xfId="13670"/>
    <cellStyle name="20% - akcent 6 3 3 2 2 2 4 3" xfId="13671"/>
    <cellStyle name="20% - akcent 6 3 3 2 2 2 5" xfId="13672"/>
    <cellStyle name="20% - akcent 6 3 3 2 2 2 5 2" xfId="13673"/>
    <cellStyle name="20% - akcent 6 3 3 2 2 2 6" xfId="13674"/>
    <cellStyle name="20% - akcent 6 3 3 2 2 3" xfId="13675"/>
    <cellStyle name="20% - akcent 6 3 3 2 2 3 2" xfId="13676"/>
    <cellStyle name="20% - akcent 6 3 3 2 2 3 2 2" xfId="13677"/>
    <cellStyle name="20% - akcent 6 3 3 2 2 3 3" xfId="13678"/>
    <cellStyle name="20% - akcent 6 3 3 2 2 4" xfId="13679"/>
    <cellStyle name="20% - akcent 6 3 3 2 2 4 2" xfId="13680"/>
    <cellStyle name="20% - akcent 6 3 3 2 2 4 2 2" xfId="13681"/>
    <cellStyle name="20% - akcent 6 3 3 2 2 4 3" xfId="13682"/>
    <cellStyle name="20% - akcent 6 3 3 2 2 5" xfId="13683"/>
    <cellStyle name="20% - akcent 6 3 3 2 2 5 2" xfId="13684"/>
    <cellStyle name="20% - akcent 6 3 3 2 2 5 2 2" xfId="13685"/>
    <cellStyle name="20% - akcent 6 3 3 2 2 5 3" xfId="13686"/>
    <cellStyle name="20% - akcent 6 3 3 2 2 6" xfId="13687"/>
    <cellStyle name="20% - akcent 6 3 3 2 2 6 2" xfId="13688"/>
    <cellStyle name="20% - akcent 6 3 3 2 2 7" xfId="13689"/>
    <cellStyle name="20% - akcent 6 3 3 2 3" xfId="13690"/>
    <cellStyle name="20% - akcent 6 3 3 2 3 2" xfId="13691"/>
    <cellStyle name="20% - akcent 6 3 3 2 3 2 2" xfId="13692"/>
    <cellStyle name="20% - akcent 6 3 3 2 3 2 2 2" xfId="13693"/>
    <cellStyle name="20% - akcent 6 3 3 2 3 2 3" xfId="13694"/>
    <cellStyle name="20% - akcent 6 3 3 2 3 3" xfId="13695"/>
    <cellStyle name="20% - akcent 6 3 3 2 3 3 2" xfId="13696"/>
    <cellStyle name="20% - akcent 6 3 3 2 3 3 2 2" xfId="13697"/>
    <cellStyle name="20% - akcent 6 3 3 2 3 3 3" xfId="13698"/>
    <cellStyle name="20% - akcent 6 3 3 2 3 4" xfId="13699"/>
    <cellStyle name="20% - akcent 6 3 3 2 3 4 2" xfId="13700"/>
    <cellStyle name="20% - akcent 6 3 3 2 3 4 2 2" xfId="13701"/>
    <cellStyle name="20% - akcent 6 3 3 2 3 4 3" xfId="13702"/>
    <cellStyle name="20% - akcent 6 3 3 2 3 5" xfId="13703"/>
    <cellStyle name="20% - akcent 6 3 3 2 3 5 2" xfId="13704"/>
    <cellStyle name="20% - akcent 6 3 3 2 3 6" xfId="13705"/>
    <cellStyle name="20% - akcent 6 3 3 2 4" xfId="13706"/>
    <cellStyle name="20% - akcent 6 3 3 2 4 2" xfId="13707"/>
    <cellStyle name="20% - akcent 6 3 3 2 4 2 2" xfId="13708"/>
    <cellStyle name="20% - akcent 6 3 3 2 4 2 2 2" xfId="13709"/>
    <cellStyle name="20% - akcent 6 3 3 2 4 2 3" xfId="13710"/>
    <cellStyle name="20% - akcent 6 3 3 2 4 3" xfId="13711"/>
    <cellStyle name="20% - akcent 6 3 3 2 4 3 2" xfId="13712"/>
    <cellStyle name="20% - akcent 6 3 3 2 4 3 2 2" xfId="13713"/>
    <cellStyle name="20% - akcent 6 3 3 2 4 3 3" xfId="13714"/>
    <cellStyle name="20% - akcent 6 3 3 2 4 4" xfId="13715"/>
    <cellStyle name="20% - akcent 6 3 3 2 4 4 2" xfId="13716"/>
    <cellStyle name="20% - akcent 6 3 3 2 4 4 2 2" xfId="13717"/>
    <cellStyle name="20% - akcent 6 3 3 2 4 4 3" xfId="13718"/>
    <cellStyle name="20% - akcent 6 3 3 2 4 5" xfId="13719"/>
    <cellStyle name="20% - akcent 6 3 3 2 4 5 2" xfId="13720"/>
    <cellStyle name="20% - akcent 6 3 3 2 4 6" xfId="13721"/>
    <cellStyle name="20% - akcent 6 3 3 2 5" xfId="13722"/>
    <cellStyle name="20% - akcent 6 3 3 2 5 2" xfId="13723"/>
    <cellStyle name="20% - akcent 6 3 3 2 5 2 2" xfId="13724"/>
    <cellStyle name="20% - akcent 6 3 3 2 5 3" xfId="13725"/>
    <cellStyle name="20% - akcent 6 3 3 2 6" xfId="13726"/>
    <cellStyle name="20% - akcent 6 3 3 2 6 2" xfId="13727"/>
    <cellStyle name="20% - akcent 6 3 3 2 6 2 2" xfId="13728"/>
    <cellStyle name="20% - akcent 6 3 3 2 6 3" xfId="13729"/>
    <cellStyle name="20% - akcent 6 3 3 2 7" xfId="13730"/>
    <cellStyle name="20% - akcent 6 3 3 2 7 2" xfId="13731"/>
    <cellStyle name="20% - akcent 6 3 3 2 7 2 2" xfId="13732"/>
    <cellStyle name="20% - akcent 6 3 3 2 7 3" xfId="13733"/>
    <cellStyle name="20% - akcent 6 3 3 2 8" xfId="13734"/>
    <cellStyle name="20% - akcent 6 3 3 2 8 2" xfId="13735"/>
    <cellStyle name="20% - akcent 6 3 3 2 9" xfId="13736"/>
    <cellStyle name="20% - akcent 6 3 3 3" xfId="13737"/>
    <cellStyle name="20% - akcent 6 3 3 3 2" xfId="13738"/>
    <cellStyle name="20% - akcent 6 3 3 3 2 2" xfId="13739"/>
    <cellStyle name="20% - akcent 6 3 3 3 2 2 2" xfId="13740"/>
    <cellStyle name="20% - akcent 6 3 3 3 2 2 2 2" xfId="13741"/>
    <cellStyle name="20% - akcent 6 3 3 3 2 2 3" xfId="13742"/>
    <cellStyle name="20% - akcent 6 3 3 3 2 3" xfId="13743"/>
    <cellStyle name="20% - akcent 6 3 3 3 2 3 2" xfId="13744"/>
    <cellStyle name="20% - akcent 6 3 3 3 2 3 2 2" xfId="13745"/>
    <cellStyle name="20% - akcent 6 3 3 3 2 3 3" xfId="13746"/>
    <cellStyle name="20% - akcent 6 3 3 3 2 4" xfId="13747"/>
    <cellStyle name="20% - akcent 6 3 3 3 2 4 2" xfId="13748"/>
    <cellStyle name="20% - akcent 6 3 3 3 2 4 2 2" xfId="13749"/>
    <cellStyle name="20% - akcent 6 3 3 3 2 4 3" xfId="13750"/>
    <cellStyle name="20% - akcent 6 3 3 3 2 5" xfId="13751"/>
    <cellStyle name="20% - akcent 6 3 3 3 2 5 2" xfId="13752"/>
    <cellStyle name="20% - akcent 6 3 3 3 2 6" xfId="13753"/>
    <cellStyle name="20% - akcent 6 3 3 3 3" xfId="13754"/>
    <cellStyle name="20% - akcent 6 3 3 3 3 2" xfId="13755"/>
    <cellStyle name="20% - akcent 6 3 3 3 3 2 2" xfId="13756"/>
    <cellStyle name="20% - akcent 6 3 3 3 3 3" xfId="13757"/>
    <cellStyle name="20% - akcent 6 3 3 3 4" xfId="13758"/>
    <cellStyle name="20% - akcent 6 3 3 3 4 2" xfId="13759"/>
    <cellStyle name="20% - akcent 6 3 3 3 4 2 2" xfId="13760"/>
    <cellStyle name="20% - akcent 6 3 3 3 4 3" xfId="13761"/>
    <cellStyle name="20% - akcent 6 3 3 3 5" xfId="13762"/>
    <cellStyle name="20% - akcent 6 3 3 3 5 2" xfId="13763"/>
    <cellStyle name="20% - akcent 6 3 3 3 5 2 2" xfId="13764"/>
    <cellStyle name="20% - akcent 6 3 3 3 5 3" xfId="13765"/>
    <cellStyle name="20% - akcent 6 3 3 3 6" xfId="13766"/>
    <cellStyle name="20% - akcent 6 3 3 3 6 2" xfId="13767"/>
    <cellStyle name="20% - akcent 6 3 3 3 7" xfId="13768"/>
    <cellStyle name="20% - akcent 6 3 3 4" xfId="13769"/>
    <cellStyle name="20% - akcent 6 3 3 4 2" xfId="13770"/>
    <cellStyle name="20% - akcent 6 3 3 4 2 2" xfId="13771"/>
    <cellStyle name="20% - akcent 6 3 3 4 2 2 2" xfId="13772"/>
    <cellStyle name="20% - akcent 6 3 3 4 2 3" xfId="13773"/>
    <cellStyle name="20% - akcent 6 3 3 4 3" xfId="13774"/>
    <cellStyle name="20% - akcent 6 3 3 4 3 2" xfId="13775"/>
    <cellStyle name="20% - akcent 6 3 3 4 3 2 2" xfId="13776"/>
    <cellStyle name="20% - akcent 6 3 3 4 3 3" xfId="13777"/>
    <cellStyle name="20% - akcent 6 3 3 4 4" xfId="13778"/>
    <cellStyle name="20% - akcent 6 3 3 4 4 2" xfId="13779"/>
    <cellStyle name="20% - akcent 6 3 3 4 4 2 2" xfId="13780"/>
    <cellStyle name="20% - akcent 6 3 3 4 4 3" xfId="13781"/>
    <cellStyle name="20% - akcent 6 3 3 4 5" xfId="13782"/>
    <cellStyle name="20% - akcent 6 3 3 4 5 2" xfId="13783"/>
    <cellStyle name="20% - akcent 6 3 3 4 6" xfId="13784"/>
    <cellStyle name="20% - akcent 6 3 3 5" xfId="13785"/>
    <cellStyle name="20% - akcent 6 3 3 5 2" xfId="13786"/>
    <cellStyle name="20% - akcent 6 3 3 5 2 2" xfId="13787"/>
    <cellStyle name="20% - akcent 6 3 3 5 2 2 2" xfId="13788"/>
    <cellStyle name="20% - akcent 6 3 3 5 2 3" xfId="13789"/>
    <cellStyle name="20% - akcent 6 3 3 5 3" xfId="13790"/>
    <cellStyle name="20% - akcent 6 3 3 5 3 2" xfId="13791"/>
    <cellStyle name="20% - akcent 6 3 3 5 3 2 2" xfId="13792"/>
    <cellStyle name="20% - akcent 6 3 3 5 3 3" xfId="13793"/>
    <cellStyle name="20% - akcent 6 3 3 5 4" xfId="13794"/>
    <cellStyle name="20% - akcent 6 3 3 5 4 2" xfId="13795"/>
    <cellStyle name="20% - akcent 6 3 3 5 4 2 2" xfId="13796"/>
    <cellStyle name="20% - akcent 6 3 3 5 4 3" xfId="13797"/>
    <cellStyle name="20% - akcent 6 3 3 5 5" xfId="13798"/>
    <cellStyle name="20% - akcent 6 3 3 5 5 2" xfId="13799"/>
    <cellStyle name="20% - akcent 6 3 3 5 6" xfId="13800"/>
    <cellStyle name="20% - akcent 6 3 3 6" xfId="13801"/>
    <cellStyle name="20% - akcent 6 3 3 6 2" xfId="13802"/>
    <cellStyle name="20% - akcent 6 3 3 6 2 2" xfId="13803"/>
    <cellStyle name="20% - akcent 6 3 3 6 2 2 2" xfId="13804"/>
    <cellStyle name="20% - akcent 6 3 3 6 2 3" xfId="13805"/>
    <cellStyle name="20% - akcent 6 3 3 6 3" xfId="13806"/>
    <cellStyle name="20% - akcent 6 3 3 6 3 2" xfId="13807"/>
    <cellStyle name="20% - akcent 6 3 3 6 3 2 2" xfId="13808"/>
    <cellStyle name="20% - akcent 6 3 3 6 3 3" xfId="13809"/>
    <cellStyle name="20% - akcent 6 3 3 6 4" xfId="13810"/>
    <cellStyle name="20% - akcent 6 3 3 6 4 2" xfId="13811"/>
    <cellStyle name="20% - akcent 6 3 3 6 4 2 2" xfId="13812"/>
    <cellStyle name="20% - akcent 6 3 3 6 4 3" xfId="13813"/>
    <cellStyle name="20% - akcent 6 3 3 6 5" xfId="13814"/>
    <cellStyle name="20% - akcent 6 3 3 6 5 2" xfId="13815"/>
    <cellStyle name="20% - akcent 6 3 3 6 6" xfId="13816"/>
    <cellStyle name="20% - akcent 6 3 4" xfId="13817"/>
    <cellStyle name="20% - akcent 6 3 4 10" xfId="13818"/>
    <cellStyle name="20% - akcent 6 3 4 2" xfId="13819"/>
    <cellStyle name="20% - akcent 6 3 4 2 2" xfId="13820"/>
    <cellStyle name="20% - akcent 6 3 4 2 2 2" xfId="13821"/>
    <cellStyle name="20% - akcent 6 3 4 2 2 2 2" xfId="13822"/>
    <cellStyle name="20% - akcent 6 3 4 2 2 2 2 2" xfId="13823"/>
    <cellStyle name="20% - akcent 6 3 4 2 2 2 2 2 2" xfId="13824"/>
    <cellStyle name="20% - akcent 6 3 4 2 2 2 2 3" xfId="13825"/>
    <cellStyle name="20% - akcent 6 3 4 2 2 2 3" xfId="13826"/>
    <cellStyle name="20% - akcent 6 3 4 2 2 2 3 2" xfId="13827"/>
    <cellStyle name="20% - akcent 6 3 4 2 2 2 3 2 2" xfId="13828"/>
    <cellStyle name="20% - akcent 6 3 4 2 2 2 3 3" xfId="13829"/>
    <cellStyle name="20% - akcent 6 3 4 2 2 2 4" xfId="13830"/>
    <cellStyle name="20% - akcent 6 3 4 2 2 2 4 2" xfId="13831"/>
    <cellStyle name="20% - akcent 6 3 4 2 2 2 4 2 2" xfId="13832"/>
    <cellStyle name="20% - akcent 6 3 4 2 2 2 4 3" xfId="13833"/>
    <cellStyle name="20% - akcent 6 3 4 2 2 2 5" xfId="13834"/>
    <cellStyle name="20% - akcent 6 3 4 2 2 2 5 2" xfId="13835"/>
    <cellStyle name="20% - akcent 6 3 4 2 2 2 6" xfId="13836"/>
    <cellStyle name="20% - akcent 6 3 4 2 2 3" xfId="13837"/>
    <cellStyle name="20% - akcent 6 3 4 2 2 3 2" xfId="13838"/>
    <cellStyle name="20% - akcent 6 3 4 2 2 3 2 2" xfId="13839"/>
    <cellStyle name="20% - akcent 6 3 4 2 2 3 3" xfId="13840"/>
    <cellStyle name="20% - akcent 6 3 4 2 2 4" xfId="13841"/>
    <cellStyle name="20% - akcent 6 3 4 2 2 4 2" xfId="13842"/>
    <cellStyle name="20% - akcent 6 3 4 2 2 4 2 2" xfId="13843"/>
    <cellStyle name="20% - akcent 6 3 4 2 2 4 3" xfId="13844"/>
    <cellStyle name="20% - akcent 6 3 4 2 2 5" xfId="13845"/>
    <cellStyle name="20% - akcent 6 3 4 2 2 5 2" xfId="13846"/>
    <cellStyle name="20% - akcent 6 3 4 2 2 5 2 2" xfId="13847"/>
    <cellStyle name="20% - akcent 6 3 4 2 2 5 3" xfId="13848"/>
    <cellStyle name="20% - akcent 6 3 4 2 2 6" xfId="13849"/>
    <cellStyle name="20% - akcent 6 3 4 2 2 6 2" xfId="13850"/>
    <cellStyle name="20% - akcent 6 3 4 2 2 7" xfId="13851"/>
    <cellStyle name="20% - akcent 6 3 4 2 3" xfId="13852"/>
    <cellStyle name="20% - akcent 6 3 4 2 3 2" xfId="13853"/>
    <cellStyle name="20% - akcent 6 3 4 2 3 2 2" xfId="13854"/>
    <cellStyle name="20% - akcent 6 3 4 2 3 2 2 2" xfId="13855"/>
    <cellStyle name="20% - akcent 6 3 4 2 3 2 3" xfId="13856"/>
    <cellStyle name="20% - akcent 6 3 4 2 3 3" xfId="13857"/>
    <cellStyle name="20% - akcent 6 3 4 2 3 3 2" xfId="13858"/>
    <cellStyle name="20% - akcent 6 3 4 2 3 3 2 2" xfId="13859"/>
    <cellStyle name="20% - akcent 6 3 4 2 3 3 3" xfId="13860"/>
    <cellStyle name="20% - akcent 6 3 4 2 3 4" xfId="13861"/>
    <cellStyle name="20% - akcent 6 3 4 2 3 4 2" xfId="13862"/>
    <cellStyle name="20% - akcent 6 3 4 2 3 4 2 2" xfId="13863"/>
    <cellStyle name="20% - akcent 6 3 4 2 3 4 3" xfId="13864"/>
    <cellStyle name="20% - akcent 6 3 4 2 3 5" xfId="13865"/>
    <cellStyle name="20% - akcent 6 3 4 2 3 5 2" xfId="13866"/>
    <cellStyle name="20% - akcent 6 3 4 2 3 6" xfId="13867"/>
    <cellStyle name="20% - akcent 6 3 4 2 4" xfId="13868"/>
    <cellStyle name="20% - akcent 6 3 4 2 4 2" xfId="13869"/>
    <cellStyle name="20% - akcent 6 3 4 2 4 2 2" xfId="13870"/>
    <cellStyle name="20% - akcent 6 3 4 2 4 2 2 2" xfId="13871"/>
    <cellStyle name="20% - akcent 6 3 4 2 4 2 3" xfId="13872"/>
    <cellStyle name="20% - akcent 6 3 4 2 4 3" xfId="13873"/>
    <cellStyle name="20% - akcent 6 3 4 2 4 3 2" xfId="13874"/>
    <cellStyle name="20% - akcent 6 3 4 2 4 3 2 2" xfId="13875"/>
    <cellStyle name="20% - akcent 6 3 4 2 4 3 3" xfId="13876"/>
    <cellStyle name="20% - akcent 6 3 4 2 4 4" xfId="13877"/>
    <cellStyle name="20% - akcent 6 3 4 2 4 4 2" xfId="13878"/>
    <cellStyle name="20% - akcent 6 3 4 2 4 4 2 2" xfId="13879"/>
    <cellStyle name="20% - akcent 6 3 4 2 4 4 3" xfId="13880"/>
    <cellStyle name="20% - akcent 6 3 4 2 4 5" xfId="13881"/>
    <cellStyle name="20% - akcent 6 3 4 2 4 5 2" xfId="13882"/>
    <cellStyle name="20% - akcent 6 3 4 2 4 6" xfId="13883"/>
    <cellStyle name="20% - akcent 6 3 4 2 5" xfId="13884"/>
    <cellStyle name="20% - akcent 6 3 4 2 5 2" xfId="13885"/>
    <cellStyle name="20% - akcent 6 3 4 2 5 2 2" xfId="13886"/>
    <cellStyle name="20% - akcent 6 3 4 2 5 3" xfId="13887"/>
    <cellStyle name="20% - akcent 6 3 4 2 6" xfId="13888"/>
    <cellStyle name="20% - akcent 6 3 4 2 6 2" xfId="13889"/>
    <cellStyle name="20% - akcent 6 3 4 2 6 2 2" xfId="13890"/>
    <cellStyle name="20% - akcent 6 3 4 2 6 3" xfId="13891"/>
    <cellStyle name="20% - akcent 6 3 4 2 7" xfId="13892"/>
    <cellStyle name="20% - akcent 6 3 4 2 7 2" xfId="13893"/>
    <cellStyle name="20% - akcent 6 3 4 2 7 2 2" xfId="13894"/>
    <cellStyle name="20% - akcent 6 3 4 2 7 3" xfId="13895"/>
    <cellStyle name="20% - akcent 6 3 4 2 8" xfId="13896"/>
    <cellStyle name="20% - akcent 6 3 4 2 8 2" xfId="13897"/>
    <cellStyle name="20% - akcent 6 3 4 2 9" xfId="13898"/>
    <cellStyle name="20% - akcent 6 3 4 3" xfId="13899"/>
    <cellStyle name="20% - akcent 6 3 4 3 2" xfId="13900"/>
    <cellStyle name="20% - akcent 6 3 4 3 2 2" xfId="13901"/>
    <cellStyle name="20% - akcent 6 3 4 3 2 2 2" xfId="13902"/>
    <cellStyle name="20% - akcent 6 3 4 3 2 2 2 2" xfId="13903"/>
    <cellStyle name="20% - akcent 6 3 4 3 2 2 3" xfId="13904"/>
    <cellStyle name="20% - akcent 6 3 4 3 2 3" xfId="13905"/>
    <cellStyle name="20% - akcent 6 3 4 3 2 3 2" xfId="13906"/>
    <cellStyle name="20% - akcent 6 3 4 3 2 3 2 2" xfId="13907"/>
    <cellStyle name="20% - akcent 6 3 4 3 2 3 3" xfId="13908"/>
    <cellStyle name="20% - akcent 6 3 4 3 2 4" xfId="13909"/>
    <cellStyle name="20% - akcent 6 3 4 3 2 4 2" xfId="13910"/>
    <cellStyle name="20% - akcent 6 3 4 3 2 4 2 2" xfId="13911"/>
    <cellStyle name="20% - akcent 6 3 4 3 2 4 3" xfId="13912"/>
    <cellStyle name="20% - akcent 6 3 4 3 2 5" xfId="13913"/>
    <cellStyle name="20% - akcent 6 3 4 3 2 5 2" xfId="13914"/>
    <cellStyle name="20% - akcent 6 3 4 3 2 6" xfId="13915"/>
    <cellStyle name="20% - akcent 6 3 4 3 3" xfId="13916"/>
    <cellStyle name="20% - akcent 6 3 4 3 3 2" xfId="13917"/>
    <cellStyle name="20% - akcent 6 3 4 3 3 2 2" xfId="13918"/>
    <cellStyle name="20% - akcent 6 3 4 3 3 3" xfId="13919"/>
    <cellStyle name="20% - akcent 6 3 4 3 4" xfId="13920"/>
    <cellStyle name="20% - akcent 6 3 4 3 4 2" xfId="13921"/>
    <cellStyle name="20% - akcent 6 3 4 3 4 2 2" xfId="13922"/>
    <cellStyle name="20% - akcent 6 3 4 3 4 3" xfId="13923"/>
    <cellStyle name="20% - akcent 6 3 4 3 5" xfId="13924"/>
    <cellStyle name="20% - akcent 6 3 4 3 5 2" xfId="13925"/>
    <cellStyle name="20% - akcent 6 3 4 3 5 2 2" xfId="13926"/>
    <cellStyle name="20% - akcent 6 3 4 3 5 3" xfId="13927"/>
    <cellStyle name="20% - akcent 6 3 4 3 6" xfId="13928"/>
    <cellStyle name="20% - akcent 6 3 4 3 6 2" xfId="13929"/>
    <cellStyle name="20% - akcent 6 3 4 3 7" xfId="13930"/>
    <cellStyle name="20% - akcent 6 3 4 4" xfId="13931"/>
    <cellStyle name="20% - akcent 6 3 4 4 2" xfId="13932"/>
    <cellStyle name="20% - akcent 6 3 4 4 2 2" xfId="13933"/>
    <cellStyle name="20% - akcent 6 3 4 4 2 2 2" xfId="13934"/>
    <cellStyle name="20% - akcent 6 3 4 4 2 3" xfId="13935"/>
    <cellStyle name="20% - akcent 6 3 4 4 3" xfId="13936"/>
    <cellStyle name="20% - akcent 6 3 4 4 3 2" xfId="13937"/>
    <cellStyle name="20% - akcent 6 3 4 4 3 2 2" xfId="13938"/>
    <cellStyle name="20% - akcent 6 3 4 4 3 3" xfId="13939"/>
    <cellStyle name="20% - akcent 6 3 4 4 4" xfId="13940"/>
    <cellStyle name="20% - akcent 6 3 4 4 4 2" xfId="13941"/>
    <cellStyle name="20% - akcent 6 3 4 4 4 2 2" xfId="13942"/>
    <cellStyle name="20% - akcent 6 3 4 4 4 3" xfId="13943"/>
    <cellStyle name="20% - akcent 6 3 4 4 5" xfId="13944"/>
    <cellStyle name="20% - akcent 6 3 4 4 5 2" xfId="13945"/>
    <cellStyle name="20% - akcent 6 3 4 4 6" xfId="13946"/>
    <cellStyle name="20% - akcent 6 3 4 5" xfId="13947"/>
    <cellStyle name="20% - akcent 6 3 4 5 2" xfId="13948"/>
    <cellStyle name="20% - akcent 6 3 4 5 2 2" xfId="13949"/>
    <cellStyle name="20% - akcent 6 3 4 5 2 2 2" xfId="13950"/>
    <cellStyle name="20% - akcent 6 3 4 5 2 3" xfId="13951"/>
    <cellStyle name="20% - akcent 6 3 4 5 3" xfId="13952"/>
    <cellStyle name="20% - akcent 6 3 4 5 3 2" xfId="13953"/>
    <cellStyle name="20% - akcent 6 3 4 5 3 2 2" xfId="13954"/>
    <cellStyle name="20% - akcent 6 3 4 5 3 3" xfId="13955"/>
    <cellStyle name="20% - akcent 6 3 4 5 4" xfId="13956"/>
    <cellStyle name="20% - akcent 6 3 4 5 4 2" xfId="13957"/>
    <cellStyle name="20% - akcent 6 3 4 5 4 2 2" xfId="13958"/>
    <cellStyle name="20% - akcent 6 3 4 5 4 3" xfId="13959"/>
    <cellStyle name="20% - akcent 6 3 4 5 5" xfId="13960"/>
    <cellStyle name="20% - akcent 6 3 4 5 5 2" xfId="13961"/>
    <cellStyle name="20% - akcent 6 3 4 5 6" xfId="13962"/>
    <cellStyle name="20% - akcent 6 3 4 6" xfId="13963"/>
    <cellStyle name="20% - akcent 6 3 4 6 2" xfId="13964"/>
    <cellStyle name="20% - akcent 6 3 4 6 2 2" xfId="13965"/>
    <cellStyle name="20% - akcent 6 3 4 6 3" xfId="13966"/>
    <cellStyle name="20% - akcent 6 3 4 7" xfId="13967"/>
    <cellStyle name="20% - akcent 6 3 4 7 2" xfId="13968"/>
    <cellStyle name="20% - akcent 6 3 4 7 2 2" xfId="13969"/>
    <cellStyle name="20% - akcent 6 3 4 7 3" xfId="13970"/>
    <cellStyle name="20% - akcent 6 3 4 8" xfId="13971"/>
    <cellStyle name="20% - akcent 6 3 4 8 2" xfId="13972"/>
    <cellStyle name="20% - akcent 6 3 4 8 2 2" xfId="13973"/>
    <cellStyle name="20% - akcent 6 3 4 8 3" xfId="13974"/>
    <cellStyle name="20% - akcent 6 3 4 9" xfId="13975"/>
    <cellStyle name="20% - akcent 6 3 4 9 2" xfId="13976"/>
    <cellStyle name="20% - akcent 6 3 5" xfId="13977"/>
    <cellStyle name="20% - akcent 6 3 5 2" xfId="13978"/>
    <cellStyle name="20% - akcent 6 3 5 2 2" xfId="13979"/>
    <cellStyle name="20% - akcent 6 3 5 2 2 2" xfId="13980"/>
    <cellStyle name="20% - akcent 6 3 5 2 2 2 2" xfId="13981"/>
    <cellStyle name="20% - akcent 6 3 5 2 2 2 2 2" xfId="13982"/>
    <cellStyle name="20% - akcent 6 3 5 2 2 2 3" xfId="13983"/>
    <cellStyle name="20% - akcent 6 3 5 2 2 3" xfId="13984"/>
    <cellStyle name="20% - akcent 6 3 5 2 2 3 2" xfId="13985"/>
    <cellStyle name="20% - akcent 6 3 5 2 2 3 2 2" xfId="13986"/>
    <cellStyle name="20% - akcent 6 3 5 2 2 3 3" xfId="13987"/>
    <cellStyle name="20% - akcent 6 3 5 2 2 4" xfId="13988"/>
    <cellStyle name="20% - akcent 6 3 5 2 2 4 2" xfId="13989"/>
    <cellStyle name="20% - akcent 6 3 5 2 2 4 2 2" xfId="13990"/>
    <cellStyle name="20% - akcent 6 3 5 2 2 4 3" xfId="13991"/>
    <cellStyle name="20% - akcent 6 3 5 2 2 5" xfId="13992"/>
    <cellStyle name="20% - akcent 6 3 5 2 2 5 2" xfId="13993"/>
    <cellStyle name="20% - akcent 6 3 5 2 2 6" xfId="13994"/>
    <cellStyle name="20% - akcent 6 3 5 2 3" xfId="13995"/>
    <cellStyle name="20% - akcent 6 3 5 2 3 2" xfId="13996"/>
    <cellStyle name="20% - akcent 6 3 5 2 3 2 2" xfId="13997"/>
    <cellStyle name="20% - akcent 6 3 5 2 3 3" xfId="13998"/>
    <cellStyle name="20% - akcent 6 3 5 2 4" xfId="13999"/>
    <cellStyle name="20% - akcent 6 3 5 2 4 2" xfId="14000"/>
    <cellStyle name="20% - akcent 6 3 5 2 4 2 2" xfId="14001"/>
    <cellStyle name="20% - akcent 6 3 5 2 4 3" xfId="14002"/>
    <cellStyle name="20% - akcent 6 3 5 2 5" xfId="14003"/>
    <cellStyle name="20% - akcent 6 3 5 2 5 2" xfId="14004"/>
    <cellStyle name="20% - akcent 6 3 5 2 5 2 2" xfId="14005"/>
    <cellStyle name="20% - akcent 6 3 5 2 5 3" xfId="14006"/>
    <cellStyle name="20% - akcent 6 3 5 2 6" xfId="14007"/>
    <cellStyle name="20% - akcent 6 3 5 2 6 2" xfId="14008"/>
    <cellStyle name="20% - akcent 6 3 5 2 7" xfId="14009"/>
    <cellStyle name="20% - akcent 6 3 5 3" xfId="14010"/>
    <cellStyle name="20% - akcent 6 3 5 3 2" xfId="14011"/>
    <cellStyle name="20% - akcent 6 3 5 3 2 2" xfId="14012"/>
    <cellStyle name="20% - akcent 6 3 5 3 2 2 2" xfId="14013"/>
    <cellStyle name="20% - akcent 6 3 5 3 2 3" xfId="14014"/>
    <cellStyle name="20% - akcent 6 3 5 3 3" xfId="14015"/>
    <cellStyle name="20% - akcent 6 3 5 3 3 2" xfId="14016"/>
    <cellStyle name="20% - akcent 6 3 5 3 3 2 2" xfId="14017"/>
    <cellStyle name="20% - akcent 6 3 5 3 3 3" xfId="14018"/>
    <cellStyle name="20% - akcent 6 3 5 3 4" xfId="14019"/>
    <cellStyle name="20% - akcent 6 3 5 3 4 2" xfId="14020"/>
    <cellStyle name="20% - akcent 6 3 5 3 4 2 2" xfId="14021"/>
    <cellStyle name="20% - akcent 6 3 5 3 4 3" xfId="14022"/>
    <cellStyle name="20% - akcent 6 3 5 3 5" xfId="14023"/>
    <cellStyle name="20% - akcent 6 3 5 3 5 2" xfId="14024"/>
    <cellStyle name="20% - akcent 6 3 5 3 6" xfId="14025"/>
    <cellStyle name="20% - akcent 6 3 5 4" xfId="14026"/>
    <cellStyle name="20% - akcent 6 3 5 4 2" xfId="14027"/>
    <cellStyle name="20% - akcent 6 3 5 4 2 2" xfId="14028"/>
    <cellStyle name="20% - akcent 6 3 5 4 2 2 2" xfId="14029"/>
    <cellStyle name="20% - akcent 6 3 5 4 2 3" xfId="14030"/>
    <cellStyle name="20% - akcent 6 3 5 4 3" xfId="14031"/>
    <cellStyle name="20% - akcent 6 3 5 4 3 2" xfId="14032"/>
    <cellStyle name="20% - akcent 6 3 5 4 3 2 2" xfId="14033"/>
    <cellStyle name="20% - akcent 6 3 5 4 3 3" xfId="14034"/>
    <cellStyle name="20% - akcent 6 3 5 4 4" xfId="14035"/>
    <cellStyle name="20% - akcent 6 3 5 4 4 2" xfId="14036"/>
    <cellStyle name="20% - akcent 6 3 5 4 4 2 2" xfId="14037"/>
    <cellStyle name="20% - akcent 6 3 5 4 4 3" xfId="14038"/>
    <cellStyle name="20% - akcent 6 3 5 4 5" xfId="14039"/>
    <cellStyle name="20% - akcent 6 3 5 4 5 2" xfId="14040"/>
    <cellStyle name="20% - akcent 6 3 5 4 6" xfId="14041"/>
    <cellStyle name="20% - akcent 6 3 5 5" xfId="14042"/>
    <cellStyle name="20% - akcent 6 3 5 5 2" xfId="14043"/>
    <cellStyle name="20% - akcent 6 3 5 5 2 2" xfId="14044"/>
    <cellStyle name="20% - akcent 6 3 5 5 3" xfId="14045"/>
    <cellStyle name="20% - akcent 6 3 5 6" xfId="14046"/>
    <cellStyle name="20% - akcent 6 3 5 6 2" xfId="14047"/>
    <cellStyle name="20% - akcent 6 3 5 6 2 2" xfId="14048"/>
    <cellStyle name="20% - akcent 6 3 5 6 3" xfId="14049"/>
    <cellStyle name="20% - akcent 6 3 5 7" xfId="14050"/>
    <cellStyle name="20% - akcent 6 3 5 7 2" xfId="14051"/>
    <cellStyle name="20% - akcent 6 3 5 7 2 2" xfId="14052"/>
    <cellStyle name="20% - akcent 6 3 5 7 3" xfId="14053"/>
    <cellStyle name="20% - akcent 6 3 5 8" xfId="14054"/>
    <cellStyle name="20% - akcent 6 3 5 8 2" xfId="14055"/>
    <cellStyle name="20% - akcent 6 3 5 9" xfId="14056"/>
    <cellStyle name="20% - akcent 6 3 6" xfId="14057"/>
    <cellStyle name="20% - akcent 6 3 6 2" xfId="14058"/>
    <cellStyle name="20% - akcent 6 3 6 2 2" xfId="14059"/>
    <cellStyle name="20% - akcent 6 3 6 2 2 2" xfId="14060"/>
    <cellStyle name="20% - akcent 6 3 6 2 2 2 2" xfId="14061"/>
    <cellStyle name="20% - akcent 6 3 6 2 2 2 2 2" xfId="14062"/>
    <cellStyle name="20% - akcent 6 3 6 2 2 2 3" xfId="14063"/>
    <cellStyle name="20% - akcent 6 3 6 2 2 3" xfId="14064"/>
    <cellStyle name="20% - akcent 6 3 6 2 2 3 2" xfId="14065"/>
    <cellStyle name="20% - akcent 6 3 6 2 2 3 2 2" xfId="14066"/>
    <cellStyle name="20% - akcent 6 3 6 2 2 3 3" xfId="14067"/>
    <cellStyle name="20% - akcent 6 3 6 2 2 4" xfId="14068"/>
    <cellStyle name="20% - akcent 6 3 6 2 2 4 2" xfId="14069"/>
    <cellStyle name="20% - akcent 6 3 6 2 2 4 2 2" xfId="14070"/>
    <cellStyle name="20% - akcent 6 3 6 2 2 4 3" xfId="14071"/>
    <cellStyle name="20% - akcent 6 3 6 2 2 5" xfId="14072"/>
    <cellStyle name="20% - akcent 6 3 6 2 2 5 2" xfId="14073"/>
    <cellStyle name="20% - akcent 6 3 6 2 2 6" xfId="14074"/>
    <cellStyle name="20% - akcent 6 3 6 2 3" xfId="14075"/>
    <cellStyle name="20% - akcent 6 3 6 2 3 2" xfId="14076"/>
    <cellStyle name="20% - akcent 6 3 6 2 3 2 2" xfId="14077"/>
    <cellStyle name="20% - akcent 6 3 6 2 3 3" xfId="14078"/>
    <cellStyle name="20% - akcent 6 3 6 2 4" xfId="14079"/>
    <cellStyle name="20% - akcent 6 3 6 2 4 2" xfId="14080"/>
    <cellStyle name="20% - akcent 6 3 6 2 4 2 2" xfId="14081"/>
    <cellStyle name="20% - akcent 6 3 6 2 4 3" xfId="14082"/>
    <cellStyle name="20% - akcent 6 3 6 2 5" xfId="14083"/>
    <cellStyle name="20% - akcent 6 3 6 2 5 2" xfId="14084"/>
    <cellStyle name="20% - akcent 6 3 6 2 5 2 2" xfId="14085"/>
    <cellStyle name="20% - akcent 6 3 6 2 5 3" xfId="14086"/>
    <cellStyle name="20% - akcent 6 3 6 2 6" xfId="14087"/>
    <cellStyle name="20% - akcent 6 3 6 2 6 2" xfId="14088"/>
    <cellStyle name="20% - akcent 6 3 6 2 7" xfId="14089"/>
    <cellStyle name="20% - akcent 6 3 6 3" xfId="14090"/>
    <cellStyle name="20% - akcent 6 3 6 3 2" xfId="14091"/>
    <cellStyle name="20% - akcent 6 3 6 3 2 2" xfId="14092"/>
    <cellStyle name="20% - akcent 6 3 6 3 2 2 2" xfId="14093"/>
    <cellStyle name="20% - akcent 6 3 6 3 2 3" xfId="14094"/>
    <cellStyle name="20% - akcent 6 3 6 3 3" xfId="14095"/>
    <cellStyle name="20% - akcent 6 3 6 3 3 2" xfId="14096"/>
    <cellStyle name="20% - akcent 6 3 6 3 3 2 2" xfId="14097"/>
    <cellStyle name="20% - akcent 6 3 6 3 3 3" xfId="14098"/>
    <cellStyle name="20% - akcent 6 3 6 3 4" xfId="14099"/>
    <cellStyle name="20% - akcent 6 3 6 3 4 2" xfId="14100"/>
    <cellStyle name="20% - akcent 6 3 6 3 4 2 2" xfId="14101"/>
    <cellStyle name="20% - akcent 6 3 6 3 4 3" xfId="14102"/>
    <cellStyle name="20% - akcent 6 3 6 3 5" xfId="14103"/>
    <cellStyle name="20% - akcent 6 3 6 3 5 2" xfId="14104"/>
    <cellStyle name="20% - akcent 6 3 6 3 6" xfId="14105"/>
    <cellStyle name="20% - akcent 6 3 6 4" xfId="14106"/>
    <cellStyle name="20% - akcent 6 3 6 4 2" xfId="14107"/>
    <cellStyle name="20% - akcent 6 3 6 4 2 2" xfId="14108"/>
    <cellStyle name="20% - akcent 6 3 6 4 2 2 2" xfId="14109"/>
    <cellStyle name="20% - akcent 6 3 6 4 2 3" xfId="14110"/>
    <cellStyle name="20% - akcent 6 3 6 4 3" xfId="14111"/>
    <cellStyle name="20% - akcent 6 3 6 4 3 2" xfId="14112"/>
    <cellStyle name="20% - akcent 6 3 6 4 3 2 2" xfId="14113"/>
    <cellStyle name="20% - akcent 6 3 6 4 3 3" xfId="14114"/>
    <cellStyle name="20% - akcent 6 3 6 4 4" xfId="14115"/>
    <cellStyle name="20% - akcent 6 3 6 4 4 2" xfId="14116"/>
    <cellStyle name="20% - akcent 6 3 6 4 4 2 2" xfId="14117"/>
    <cellStyle name="20% - akcent 6 3 6 4 4 3" xfId="14118"/>
    <cellStyle name="20% - akcent 6 3 6 4 5" xfId="14119"/>
    <cellStyle name="20% - akcent 6 3 6 4 5 2" xfId="14120"/>
    <cellStyle name="20% - akcent 6 3 6 4 6" xfId="14121"/>
    <cellStyle name="20% - akcent 6 3 6 5" xfId="14122"/>
    <cellStyle name="20% - akcent 6 3 6 5 2" xfId="14123"/>
    <cellStyle name="20% - akcent 6 3 6 5 2 2" xfId="14124"/>
    <cellStyle name="20% - akcent 6 3 6 5 3" xfId="14125"/>
    <cellStyle name="20% - akcent 6 3 6 6" xfId="14126"/>
    <cellStyle name="20% - akcent 6 3 6 6 2" xfId="14127"/>
    <cellStyle name="20% - akcent 6 3 6 6 2 2" xfId="14128"/>
    <cellStyle name="20% - akcent 6 3 6 6 3" xfId="14129"/>
    <cellStyle name="20% - akcent 6 3 6 7" xfId="14130"/>
    <cellStyle name="20% - akcent 6 3 6 7 2" xfId="14131"/>
    <cellStyle name="20% - akcent 6 3 6 7 2 2" xfId="14132"/>
    <cellStyle name="20% - akcent 6 3 6 7 3" xfId="14133"/>
    <cellStyle name="20% - akcent 6 3 6 8" xfId="14134"/>
    <cellStyle name="20% - akcent 6 3 6 8 2" xfId="14135"/>
    <cellStyle name="20% - akcent 6 3 6 9" xfId="14136"/>
    <cellStyle name="20% - akcent 6 3 7" xfId="14137"/>
    <cellStyle name="20% - akcent 6 3 7 2" xfId="14138"/>
    <cellStyle name="20% - akcent 6 3 7 2 2" xfId="14139"/>
    <cellStyle name="20% - akcent 6 3 7 2 2 2" xfId="14140"/>
    <cellStyle name="20% - akcent 6 3 7 2 2 2 2" xfId="14141"/>
    <cellStyle name="20% - akcent 6 3 7 2 2 3" xfId="14142"/>
    <cellStyle name="20% - akcent 6 3 7 2 3" xfId="14143"/>
    <cellStyle name="20% - akcent 6 3 7 2 3 2" xfId="14144"/>
    <cellStyle name="20% - akcent 6 3 7 2 3 2 2" xfId="14145"/>
    <cellStyle name="20% - akcent 6 3 7 2 3 3" xfId="14146"/>
    <cellStyle name="20% - akcent 6 3 7 2 4" xfId="14147"/>
    <cellStyle name="20% - akcent 6 3 7 2 4 2" xfId="14148"/>
    <cellStyle name="20% - akcent 6 3 7 2 4 2 2" xfId="14149"/>
    <cellStyle name="20% - akcent 6 3 7 2 4 3" xfId="14150"/>
    <cellStyle name="20% - akcent 6 3 7 2 5" xfId="14151"/>
    <cellStyle name="20% - akcent 6 3 7 2 5 2" xfId="14152"/>
    <cellStyle name="20% - akcent 6 3 7 2 6" xfId="14153"/>
    <cellStyle name="20% - akcent 6 3 7 3" xfId="14154"/>
    <cellStyle name="20% - akcent 6 3 7 3 2" xfId="14155"/>
    <cellStyle name="20% - akcent 6 3 7 3 2 2" xfId="14156"/>
    <cellStyle name="20% - akcent 6 3 7 3 3" xfId="14157"/>
    <cellStyle name="20% - akcent 6 3 7 4" xfId="14158"/>
    <cellStyle name="20% - akcent 6 3 7 4 2" xfId="14159"/>
    <cellStyle name="20% - akcent 6 3 7 4 2 2" xfId="14160"/>
    <cellStyle name="20% - akcent 6 3 7 4 3" xfId="14161"/>
    <cellStyle name="20% - akcent 6 3 7 5" xfId="14162"/>
    <cellStyle name="20% - akcent 6 3 7 5 2" xfId="14163"/>
    <cellStyle name="20% - akcent 6 3 7 5 2 2" xfId="14164"/>
    <cellStyle name="20% - akcent 6 3 7 5 3" xfId="14165"/>
    <cellStyle name="20% - akcent 6 3 7 6" xfId="14166"/>
    <cellStyle name="20% - akcent 6 3 7 6 2" xfId="14167"/>
    <cellStyle name="20% - akcent 6 3 7 7" xfId="14168"/>
    <cellStyle name="20% - akcent 6 3 8" xfId="14169"/>
    <cellStyle name="20% - akcent 6 3 8 2" xfId="14170"/>
    <cellStyle name="20% - akcent 6 3 8 2 2" xfId="14171"/>
    <cellStyle name="20% - akcent 6 3 8 2 2 2" xfId="14172"/>
    <cellStyle name="20% - akcent 6 3 8 2 3" xfId="14173"/>
    <cellStyle name="20% - akcent 6 3 8 3" xfId="14174"/>
    <cellStyle name="20% - akcent 6 3 8 3 2" xfId="14175"/>
    <cellStyle name="20% - akcent 6 3 8 3 2 2" xfId="14176"/>
    <cellStyle name="20% - akcent 6 3 8 3 3" xfId="14177"/>
    <cellStyle name="20% - akcent 6 3 8 4" xfId="14178"/>
    <cellStyle name="20% - akcent 6 3 8 4 2" xfId="14179"/>
    <cellStyle name="20% - akcent 6 3 8 4 2 2" xfId="14180"/>
    <cellStyle name="20% - akcent 6 3 8 4 3" xfId="14181"/>
    <cellStyle name="20% - akcent 6 3 8 5" xfId="14182"/>
    <cellStyle name="20% - akcent 6 3 8 5 2" xfId="14183"/>
    <cellStyle name="20% - akcent 6 3 8 6" xfId="14184"/>
    <cellStyle name="20% - akcent 6 3 9" xfId="14185"/>
    <cellStyle name="20% - akcent 6 3 9 2" xfId="14186"/>
    <cellStyle name="20% - akcent 6 3 9 2 2" xfId="14187"/>
    <cellStyle name="20% - akcent 6 3 9 2 2 2" xfId="14188"/>
    <cellStyle name="20% - akcent 6 3 9 2 3" xfId="14189"/>
    <cellStyle name="20% - akcent 6 3 9 3" xfId="14190"/>
    <cellStyle name="20% - akcent 6 3 9 3 2" xfId="14191"/>
    <cellStyle name="20% - akcent 6 3 9 3 2 2" xfId="14192"/>
    <cellStyle name="20% - akcent 6 3 9 3 3" xfId="14193"/>
    <cellStyle name="20% - akcent 6 3 9 4" xfId="14194"/>
    <cellStyle name="20% - akcent 6 3 9 4 2" xfId="14195"/>
    <cellStyle name="20% - akcent 6 3 9 4 2 2" xfId="14196"/>
    <cellStyle name="20% - akcent 6 3 9 4 3" xfId="14197"/>
    <cellStyle name="20% - akcent 6 3 9 5" xfId="14198"/>
    <cellStyle name="20% - akcent 6 3 9 5 2" xfId="14199"/>
    <cellStyle name="20% - akcent 6 3 9 6" xfId="14200"/>
    <cellStyle name="20% - akcent 6 3_2011'05 Raport PGE_DO-CO2" xfId="14201"/>
    <cellStyle name="20% - akcent 6 4" xfId="14202"/>
    <cellStyle name="20% - akcent 6 4 2" xfId="14203"/>
    <cellStyle name="20% - akcent 6 4 2 2" xfId="14204"/>
    <cellStyle name="20% - akcent 6 4 2 2 2" xfId="14205"/>
    <cellStyle name="20% - akcent 6 4 2 2 2 2" xfId="14206"/>
    <cellStyle name="20% - akcent 6 4 2 2 2 2 2" xfId="14207"/>
    <cellStyle name="20% - akcent 6 4 2 2 2 2 2 2" xfId="14208"/>
    <cellStyle name="20% - akcent 6 4 2 2 2 2 2 2 2" xfId="14209"/>
    <cellStyle name="20% - akcent 6 4 2 2 2 2 2 3" xfId="14210"/>
    <cellStyle name="20% - akcent 6 4 2 2 2 2 3" xfId="14211"/>
    <cellStyle name="20% - akcent 6 4 2 2 2 2 3 2" xfId="14212"/>
    <cellStyle name="20% - akcent 6 4 2 2 2 2 3 2 2" xfId="14213"/>
    <cellStyle name="20% - akcent 6 4 2 2 2 2 3 3" xfId="14214"/>
    <cellStyle name="20% - akcent 6 4 2 2 2 2 4" xfId="14215"/>
    <cellStyle name="20% - akcent 6 4 2 2 2 2 4 2" xfId="14216"/>
    <cellStyle name="20% - akcent 6 4 2 2 2 2 4 2 2" xfId="14217"/>
    <cellStyle name="20% - akcent 6 4 2 2 2 2 4 3" xfId="14218"/>
    <cellStyle name="20% - akcent 6 4 2 2 2 2 5" xfId="14219"/>
    <cellStyle name="20% - akcent 6 4 2 2 2 2 5 2" xfId="14220"/>
    <cellStyle name="20% - akcent 6 4 2 2 2 2 6" xfId="14221"/>
    <cellStyle name="20% - akcent 6 4 2 2 2 3" xfId="14222"/>
    <cellStyle name="20% - akcent 6 4 2 2 2 3 2" xfId="14223"/>
    <cellStyle name="20% - akcent 6 4 2 2 2 3 2 2" xfId="14224"/>
    <cellStyle name="20% - akcent 6 4 2 2 2 3 3" xfId="14225"/>
    <cellStyle name="20% - akcent 6 4 2 2 2 4" xfId="14226"/>
    <cellStyle name="20% - akcent 6 4 2 2 2 4 2" xfId="14227"/>
    <cellStyle name="20% - akcent 6 4 2 2 2 4 2 2" xfId="14228"/>
    <cellStyle name="20% - akcent 6 4 2 2 2 4 3" xfId="14229"/>
    <cellStyle name="20% - akcent 6 4 2 2 2 5" xfId="14230"/>
    <cellStyle name="20% - akcent 6 4 2 2 2 5 2" xfId="14231"/>
    <cellStyle name="20% - akcent 6 4 2 2 2 5 2 2" xfId="14232"/>
    <cellStyle name="20% - akcent 6 4 2 2 2 5 3" xfId="14233"/>
    <cellStyle name="20% - akcent 6 4 2 2 2 6" xfId="14234"/>
    <cellStyle name="20% - akcent 6 4 2 2 2 6 2" xfId="14235"/>
    <cellStyle name="20% - akcent 6 4 2 2 2 7" xfId="14236"/>
    <cellStyle name="20% - akcent 6 4 2 2 3" xfId="14237"/>
    <cellStyle name="20% - akcent 6 4 2 2 3 2" xfId="14238"/>
    <cellStyle name="20% - akcent 6 4 2 2 3 2 2" xfId="14239"/>
    <cellStyle name="20% - akcent 6 4 2 2 3 2 2 2" xfId="14240"/>
    <cellStyle name="20% - akcent 6 4 2 2 3 2 3" xfId="14241"/>
    <cellStyle name="20% - akcent 6 4 2 2 3 3" xfId="14242"/>
    <cellStyle name="20% - akcent 6 4 2 2 3 3 2" xfId="14243"/>
    <cellStyle name="20% - akcent 6 4 2 2 3 3 2 2" xfId="14244"/>
    <cellStyle name="20% - akcent 6 4 2 2 3 3 3" xfId="14245"/>
    <cellStyle name="20% - akcent 6 4 2 2 3 4" xfId="14246"/>
    <cellStyle name="20% - akcent 6 4 2 2 3 4 2" xfId="14247"/>
    <cellStyle name="20% - akcent 6 4 2 2 3 4 2 2" xfId="14248"/>
    <cellStyle name="20% - akcent 6 4 2 2 3 4 3" xfId="14249"/>
    <cellStyle name="20% - akcent 6 4 2 2 3 5" xfId="14250"/>
    <cellStyle name="20% - akcent 6 4 2 2 3 5 2" xfId="14251"/>
    <cellStyle name="20% - akcent 6 4 2 2 3 6" xfId="14252"/>
    <cellStyle name="20% - akcent 6 4 2 2 4" xfId="14253"/>
    <cellStyle name="20% - akcent 6 4 2 2 4 2" xfId="14254"/>
    <cellStyle name="20% - akcent 6 4 2 2 4 2 2" xfId="14255"/>
    <cellStyle name="20% - akcent 6 4 2 2 4 2 2 2" xfId="14256"/>
    <cellStyle name="20% - akcent 6 4 2 2 4 2 3" xfId="14257"/>
    <cellStyle name="20% - akcent 6 4 2 2 4 3" xfId="14258"/>
    <cellStyle name="20% - akcent 6 4 2 2 4 3 2" xfId="14259"/>
    <cellStyle name="20% - akcent 6 4 2 2 4 3 2 2" xfId="14260"/>
    <cellStyle name="20% - akcent 6 4 2 2 4 3 3" xfId="14261"/>
    <cellStyle name="20% - akcent 6 4 2 2 4 4" xfId="14262"/>
    <cellStyle name="20% - akcent 6 4 2 2 4 4 2" xfId="14263"/>
    <cellStyle name="20% - akcent 6 4 2 2 4 4 2 2" xfId="14264"/>
    <cellStyle name="20% - akcent 6 4 2 2 4 4 3" xfId="14265"/>
    <cellStyle name="20% - akcent 6 4 2 2 4 5" xfId="14266"/>
    <cellStyle name="20% - akcent 6 4 2 2 4 5 2" xfId="14267"/>
    <cellStyle name="20% - akcent 6 4 2 2 4 6" xfId="14268"/>
    <cellStyle name="20% - akcent 6 4 2 2 5" xfId="14269"/>
    <cellStyle name="20% - akcent 6 4 2 2 5 2" xfId="14270"/>
    <cellStyle name="20% - akcent 6 4 2 2 5 2 2" xfId="14271"/>
    <cellStyle name="20% - akcent 6 4 2 2 5 3" xfId="14272"/>
    <cellStyle name="20% - akcent 6 4 2 2 6" xfId="14273"/>
    <cellStyle name="20% - akcent 6 4 2 2 6 2" xfId="14274"/>
    <cellStyle name="20% - akcent 6 4 2 2 6 2 2" xfId="14275"/>
    <cellStyle name="20% - akcent 6 4 2 2 6 3" xfId="14276"/>
    <cellStyle name="20% - akcent 6 4 2 2 7" xfId="14277"/>
    <cellStyle name="20% - akcent 6 4 2 2 7 2" xfId="14278"/>
    <cellStyle name="20% - akcent 6 4 2 2 7 2 2" xfId="14279"/>
    <cellStyle name="20% - akcent 6 4 2 2 7 3" xfId="14280"/>
    <cellStyle name="20% - akcent 6 4 2 2 8" xfId="14281"/>
    <cellStyle name="20% - akcent 6 4 2 2 8 2" xfId="14282"/>
    <cellStyle name="20% - akcent 6 4 2 2 9" xfId="14283"/>
    <cellStyle name="20% - akcent 6 4 2 3" xfId="14284"/>
    <cellStyle name="20% - akcent 6 4 2 3 2" xfId="14285"/>
    <cellStyle name="20% - akcent 6 4 2 3 2 2" xfId="14286"/>
    <cellStyle name="20% - akcent 6 4 2 3 2 2 2" xfId="14287"/>
    <cellStyle name="20% - akcent 6 4 2 3 2 2 2 2" xfId="14288"/>
    <cellStyle name="20% - akcent 6 4 2 3 2 2 3" xfId="14289"/>
    <cellStyle name="20% - akcent 6 4 2 3 2 3" xfId="14290"/>
    <cellStyle name="20% - akcent 6 4 2 3 2 3 2" xfId="14291"/>
    <cellStyle name="20% - akcent 6 4 2 3 2 3 2 2" xfId="14292"/>
    <cellStyle name="20% - akcent 6 4 2 3 2 3 3" xfId="14293"/>
    <cellStyle name="20% - akcent 6 4 2 3 2 4" xfId="14294"/>
    <cellStyle name="20% - akcent 6 4 2 3 2 4 2" xfId="14295"/>
    <cellStyle name="20% - akcent 6 4 2 3 2 4 2 2" xfId="14296"/>
    <cellStyle name="20% - akcent 6 4 2 3 2 4 3" xfId="14297"/>
    <cellStyle name="20% - akcent 6 4 2 3 2 5" xfId="14298"/>
    <cellStyle name="20% - akcent 6 4 2 3 2 5 2" xfId="14299"/>
    <cellStyle name="20% - akcent 6 4 2 3 2 6" xfId="14300"/>
    <cellStyle name="20% - akcent 6 4 2 3 3" xfId="14301"/>
    <cellStyle name="20% - akcent 6 4 2 3 3 2" xfId="14302"/>
    <cellStyle name="20% - akcent 6 4 2 3 3 2 2" xfId="14303"/>
    <cellStyle name="20% - akcent 6 4 2 3 3 3" xfId="14304"/>
    <cellStyle name="20% - akcent 6 4 2 3 4" xfId="14305"/>
    <cellStyle name="20% - akcent 6 4 2 3 4 2" xfId="14306"/>
    <cellStyle name="20% - akcent 6 4 2 3 4 2 2" xfId="14307"/>
    <cellStyle name="20% - akcent 6 4 2 3 4 3" xfId="14308"/>
    <cellStyle name="20% - akcent 6 4 2 3 5" xfId="14309"/>
    <cellStyle name="20% - akcent 6 4 2 3 5 2" xfId="14310"/>
    <cellStyle name="20% - akcent 6 4 2 3 5 2 2" xfId="14311"/>
    <cellStyle name="20% - akcent 6 4 2 3 5 3" xfId="14312"/>
    <cellStyle name="20% - akcent 6 4 2 3 6" xfId="14313"/>
    <cellStyle name="20% - akcent 6 4 2 3 6 2" xfId="14314"/>
    <cellStyle name="20% - akcent 6 4 2 3 7" xfId="14315"/>
    <cellStyle name="20% - akcent 6 4 2 4" xfId="14316"/>
    <cellStyle name="20% - akcent 6 4 2 4 2" xfId="14317"/>
    <cellStyle name="20% - akcent 6 4 2 4 2 2" xfId="14318"/>
    <cellStyle name="20% - akcent 6 4 2 4 2 2 2" xfId="14319"/>
    <cellStyle name="20% - akcent 6 4 2 4 2 3" xfId="14320"/>
    <cellStyle name="20% - akcent 6 4 2 4 3" xfId="14321"/>
    <cellStyle name="20% - akcent 6 4 2 4 3 2" xfId="14322"/>
    <cellStyle name="20% - akcent 6 4 2 4 3 2 2" xfId="14323"/>
    <cellStyle name="20% - akcent 6 4 2 4 3 3" xfId="14324"/>
    <cellStyle name="20% - akcent 6 4 2 4 4" xfId="14325"/>
    <cellStyle name="20% - akcent 6 4 2 4 4 2" xfId="14326"/>
    <cellStyle name="20% - akcent 6 4 2 4 4 2 2" xfId="14327"/>
    <cellStyle name="20% - akcent 6 4 2 4 4 3" xfId="14328"/>
    <cellStyle name="20% - akcent 6 4 2 4 5" xfId="14329"/>
    <cellStyle name="20% - akcent 6 4 2 4 5 2" xfId="14330"/>
    <cellStyle name="20% - akcent 6 4 2 4 6" xfId="14331"/>
    <cellStyle name="20% - akcent 6 4 2 5" xfId="14332"/>
    <cellStyle name="20% - akcent 6 4 2 5 2" xfId="14333"/>
    <cellStyle name="20% - akcent 6 4 2 5 2 2" xfId="14334"/>
    <cellStyle name="20% - akcent 6 4 2 5 2 2 2" xfId="14335"/>
    <cellStyle name="20% - akcent 6 4 2 5 2 3" xfId="14336"/>
    <cellStyle name="20% - akcent 6 4 2 5 3" xfId="14337"/>
    <cellStyle name="20% - akcent 6 4 2 5 3 2" xfId="14338"/>
    <cellStyle name="20% - akcent 6 4 2 5 3 2 2" xfId="14339"/>
    <cellStyle name="20% - akcent 6 4 2 5 3 3" xfId="14340"/>
    <cellStyle name="20% - akcent 6 4 2 5 4" xfId="14341"/>
    <cellStyle name="20% - akcent 6 4 2 5 4 2" xfId="14342"/>
    <cellStyle name="20% - akcent 6 4 2 5 4 2 2" xfId="14343"/>
    <cellStyle name="20% - akcent 6 4 2 5 4 3" xfId="14344"/>
    <cellStyle name="20% - akcent 6 4 2 5 5" xfId="14345"/>
    <cellStyle name="20% - akcent 6 4 2 5 5 2" xfId="14346"/>
    <cellStyle name="20% - akcent 6 4 2 5 6" xfId="14347"/>
    <cellStyle name="20% - akcent 6 4 2 6" xfId="14348"/>
    <cellStyle name="20% - akcent 6 4 2 7" xfId="14349"/>
    <cellStyle name="20% - akcent 6 4 2 7 2" xfId="14350"/>
    <cellStyle name="20% - akcent 6 4 2 7 2 2" xfId="14351"/>
    <cellStyle name="20% - akcent 6 4 2 7 2 2 2" xfId="14352"/>
    <cellStyle name="20% - akcent 6 4 2 7 2 3" xfId="14353"/>
    <cellStyle name="20% - akcent 6 4 2 7 3" xfId="14354"/>
    <cellStyle name="20% - akcent 6 4 2 7 3 2" xfId="14355"/>
    <cellStyle name="20% - akcent 6 4 2 7 3 2 2" xfId="14356"/>
    <cellStyle name="20% - akcent 6 4 2 7 3 3" xfId="14357"/>
    <cellStyle name="20% - akcent 6 4 2 7 4" xfId="14358"/>
    <cellStyle name="20% - akcent 6 4 2 7 4 2" xfId="14359"/>
    <cellStyle name="20% - akcent 6 4 2 7 4 2 2" xfId="14360"/>
    <cellStyle name="20% - akcent 6 4 2 7 4 3" xfId="14361"/>
    <cellStyle name="20% - akcent 6 4 2 7 5" xfId="14362"/>
    <cellStyle name="20% - akcent 6 4 2 7 5 2" xfId="14363"/>
    <cellStyle name="20% - akcent 6 4 2 7 6" xfId="14364"/>
    <cellStyle name="20% - akcent 6 4 3" xfId="14365"/>
    <cellStyle name="20% - akcent 6 4 3 2" xfId="14366"/>
    <cellStyle name="20% - akcent 6 4 3 2 2" xfId="14367"/>
    <cellStyle name="20% - akcent 6 4 3 2 2 2" xfId="14368"/>
    <cellStyle name="20% - akcent 6 4 3 2 2 2 2" xfId="14369"/>
    <cellStyle name="20% - akcent 6 4 3 2 2 2 2 2" xfId="14370"/>
    <cellStyle name="20% - akcent 6 4 3 2 2 2 3" xfId="14371"/>
    <cellStyle name="20% - akcent 6 4 3 2 2 3" xfId="14372"/>
    <cellStyle name="20% - akcent 6 4 3 2 2 3 2" xfId="14373"/>
    <cellStyle name="20% - akcent 6 4 3 2 2 3 2 2" xfId="14374"/>
    <cellStyle name="20% - akcent 6 4 3 2 2 3 3" xfId="14375"/>
    <cellStyle name="20% - akcent 6 4 3 2 2 4" xfId="14376"/>
    <cellStyle name="20% - akcent 6 4 3 2 2 4 2" xfId="14377"/>
    <cellStyle name="20% - akcent 6 4 3 2 2 4 2 2" xfId="14378"/>
    <cellStyle name="20% - akcent 6 4 3 2 2 4 3" xfId="14379"/>
    <cellStyle name="20% - akcent 6 4 3 2 2 5" xfId="14380"/>
    <cellStyle name="20% - akcent 6 4 3 2 2 5 2" xfId="14381"/>
    <cellStyle name="20% - akcent 6 4 3 2 2 6" xfId="14382"/>
    <cellStyle name="20% - akcent 6 4 3 2 3" xfId="14383"/>
    <cellStyle name="20% - akcent 6 4 3 2 3 2" xfId="14384"/>
    <cellStyle name="20% - akcent 6 4 3 2 3 2 2" xfId="14385"/>
    <cellStyle name="20% - akcent 6 4 3 2 3 3" xfId="14386"/>
    <cellStyle name="20% - akcent 6 4 3 2 4" xfId="14387"/>
    <cellStyle name="20% - akcent 6 4 3 2 4 2" xfId="14388"/>
    <cellStyle name="20% - akcent 6 4 3 2 4 2 2" xfId="14389"/>
    <cellStyle name="20% - akcent 6 4 3 2 4 3" xfId="14390"/>
    <cellStyle name="20% - akcent 6 4 3 2 5" xfId="14391"/>
    <cellStyle name="20% - akcent 6 4 3 2 5 2" xfId="14392"/>
    <cellStyle name="20% - akcent 6 4 3 2 5 2 2" xfId="14393"/>
    <cellStyle name="20% - akcent 6 4 3 2 5 3" xfId="14394"/>
    <cellStyle name="20% - akcent 6 4 3 2 6" xfId="14395"/>
    <cellStyle name="20% - akcent 6 4 3 2 6 2" xfId="14396"/>
    <cellStyle name="20% - akcent 6 4 3 2 7" xfId="14397"/>
    <cellStyle name="20% - akcent 6 4 3 3" xfId="14398"/>
    <cellStyle name="20% - akcent 6 4 3 3 2" xfId="14399"/>
    <cellStyle name="20% - akcent 6 4 3 3 2 2" xfId="14400"/>
    <cellStyle name="20% - akcent 6 4 3 3 2 2 2" xfId="14401"/>
    <cellStyle name="20% - akcent 6 4 3 3 2 3" xfId="14402"/>
    <cellStyle name="20% - akcent 6 4 3 3 3" xfId="14403"/>
    <cellStyle name="20% - akcent 6 4 3 3 3 2" xfId="14404"/>
    <cellStyle name="20% - akcent 6 4 3 3 3 2 2" xfId="14405"/>
    <cellStyle name="20% - akcent 6 4 3 3 3 3" xfId="14406"/>
    <cellStyle name="20% - akcent 6 4 3 3 4" xfId="14407"/>
    <cellStyle name="20% - akcent 6 4 3 3 4 2" xfId="14408"/>
    <cellStyle name="20% - akcent 6 4 3 3 4 2 2" xfId="14409"/>
    <cellStyle name="20% - akcent 6 4 3 3 4 3" xfId="14410"/>
    <cellStyle name="20% - akcent 6 4 3 3 5" xfId="14411"/>
    <cellStyle name="20% - akcent 6 4 3 3 5 2" xfId="14412"/>
    <cellStyle name="20% - akcent 6 4 3 3 6" xfId="14413"/>
    <cellStyle name="20% - akcent 6 4 3 4" xfId="14414"/>
    <cellStyle name="20% - akcent 6 4 3 4 2" xfId="14415"/>
    <cellStyle name="20% - akcent 6 4 3 4 2 2" xfId="14416"/>
    <cellStyle name="20% - akcent 6 4 3 4 2 2 2" xfId="14417"/>
    <cellStyle name="20% - akcent 6 4 3 4 2 3" xfId="14418"/>
    <cellStyle name="20% - akcent 6 4 3 4 3" xfId="14419"/>
    <cellStyle name="20% - akcent 6 4 3 4 3 2" xfId="14420"/>
    <cellStyle name="20% - akcent 6 4 3 4 3 2 2" xfId="14421"/>
    <cellStyle name="20% - akcent 6 4 3 4 3 3" xfId="14422"/>
    <cellStyle name="20% - akcent 6 4 3 4 4" xfId="14423"/>
    <cellStyle name="20% - akcent 6 4 3 4 4 2" xfId="14424"/>
    <cellStyle name="20% - akcent 6 4 3 4 4 2 2" xfId="14425"/>
    <cellStyle name="20% - akcent 6 4 3 4 4 3" xfId="14426"/>
    <cellStyle name="20% - akcent 6 4 3 4 5" xfId="14427"/>
    <cellStyle name="20% - akcent 6 4 3 4 5 2" xfId="14428"/>
    <cellStyle name="20% - akcent 6 4 3 4 6" xfId="14429"/>
    <cellStyle name="20% - akcent 6 4 3 5" xfId="14430"/>
    <cellStyle name="20% - akcent 6 4 3 5 2" xfId="14431"/>
    <cellStyle name="20% - akcent 6 4 3 5 2 2" xfId="14432"/>
    <cellStyle name="20% - akcent 6 4 3 5 2 2 2" xfId="14433"/>
    <cellStyle name="20% - akcent 6 4 3 5 2 3" xfId="14434"/>
    <cellStyle name="20% - akcent 6 4 3 5 3" xfId="14435"/>
    <cellStyle name="20% - akcent 6 4 3 5 3 2" xfId="14436"/>
    <cellStyle name="20% - akcent 6 4 3 5 3 2 2" xfId="14437"/>
    <cellStyle name="20% - akcent 6 4 3 5 3 3" xfId="14438"/>
    <cellStyle name="20% - akcent 6 4 3 5 4" xfId="14439"/>
    <cellStyle name="20% - akcent 6 4 3 5 4 2" xfId="14440"/>
    <cellStyle name="20% - akcent 6 4 3 5 4 2 2" xfId="14441"/>
    <cellStyle name="20% - akcent 6 4 3 5 4 3" xfId="14442"/>
    <cellStyle name="20% - akcent 6 4 3 5 5" xfId="14443"/>
    <cellStyle name="20% - akcent 6 4 3 5 5 2" xfId="14444"/>
    <cellStyle name="20% - akcent 6 4 3 5 6" xfId="14445"/>
    <cellStyle name="20% - akcent 6 4 4" xfId="14446"/>
    <cellStyle name="20% - akcent 6 4 4 2" xfId="14447"/>
    <cellStyle name="20% - akcent 6 4 4 2 2" xfId="14448"/>
    <cellStyle name="20% - akcent 6 4 4 2 2 2" xfId="14449"/>
    <cellStyle name="20% - akcent 6 4 4 2 2 2 2" xfId="14450"/>
    <cellStyle name="20% - akcent 6 4 4 2 2 3" xfId="14451"/>
    <cellStyle name="20% - akcent 6 4 4 2 3" xfId="14452"/>
    <cellStyle name="20% - akcent 6 4 4 2 3 2" xfId="14453"/>
    <cellStyle name="20% - akcent 6 4 4 2 3 2 2" xfId="14454"/>
    <cellStyle name="20% - akcent 6 4 4 2 3 3" xfId="14455"/>
    <cellStyle name="20% - akcent 6 4 4 2 4" xfId="14456"/>
    <cellStyle name="20% - akcent 6 4 4 2 4 2" xfId="14457"/>
    <cellStyle name="20% - akcent 6 4 4 2 4 2 2" xfId="14458"/>
    <cellStyle name="20% - akcent 6 4 4 2 4 3" xfId="14459"/>
    <cellStyle name="20% - akcent 6 4 4 2 5" xfId="14460"/>
    <cellStyle name="20% - akcent 6 4 4 2 5 2" xfId="14461"/>
    <cellStyle name="20% - akcent 6 4 4 2 6" xfId="14462"/>
    <cellStyle name="20% - akcent 6 4 4 3" xfId="14463"/>
    <cellStyle name="20% - akcent 6 4 4 3 2" xfId="14464"/>
    <cellStyle name="20% - akcent 6 4 4 3 2 2" xfId="14465"/>
    <cellStyle name="20% - akcent 6 4 4 3 2 2 2" xfId="14466"/>
    <cellStyle name="20% - akcent 6 4 4 3 2 3" xfId="14467"/>
    <cellStyle name="20% - akcent 6 4 4 3 3" xfId="14468"/>
    <cellStyle name="20% - akcent 6 4 4 3 3 2" xfId="14469"/>
    <cellStyle name="20% - akcent 6 4 4 3 3 2 2" xfId="14470"/>
    <cellStyle name="20% - akcent 6 4 4 3 3 3" xfId="14471"/>
    <cellStyle name="20% - akcent 6 4 4 3 4" xfId="14472"/>
    <cellStyle name="20% - akcent 6 4 4 3 4 2" xfId="14473"/>
    <cellStyle name="20% - akcent 6 4 4 3 4 2 2" xfId="14474"/>
    <cellStyle name="20% - akcent 6 4 4 3 4 3" xfId="14475"/>
    <cellStyle name="20% - akcent 6 4 4 3 5" xfId="14476"/>
    <cellStyle name="20% - akcent 6 4 4 3 5 2" xfId="14477"/>
    <cellStyle name="20% - akcent 6 4 4 3 6" xfId="14478"/>
    <cellStyle name="20% - akcent 6 4 5" xfId="14479"/>
    <cellStyle name="20% - akcent 6 4 5 2" xfId="14480"/>
    <cellStyle name="20% - akcent 6 4 5 2 2" xfId="14481"/>
    <cellStyle name="20% - akcent 6 4 5 2 2 2" xfId="14482"/>
    <cellStyle name="20% - akcent 6 4 5 2 3" xfId="14483"/>
    <cellStyle name="20% - akcent 6 4 5 3" xfId="14484"/>
    <cellStyle name="20% - akcent 6 4 5 3 2" xfId="14485"/>
    <cellStyle name="20% - akcent 6 4 5 3 2 2" xfId="14486"/>
    <cellStyle name="20% - akcent 6 4 5 3 3" xfId="14487"/>
    <cellStyle name="20% - akcent 6 4 5 4" xfId="14488"/>
    <cellStyle name="20% - akcent 6 4 5 4 2" xfId="14489"/>
    <cellStyle name="20% - akcent 6 4 5 4 2 2" xfId="14490"/>
    <cellStyle name="20% - akcent 6 4 5 4 3" xfId="14491"/>
    <cellStyle name="20% - akcent 6 4 5 5" xfId="14492"/>
    <cellStyle name="20% - akcent 6 4 5 5 2" xfId="14493"/>
    <cellStyle name="20% - akcent 6 4 5 6" xfId="14494"/>
    <cellStyle name="20% - akcent 6 4 6" xfId="14495"/>
    <cellStyle name="20% - akcent 6 4 6 2" xfId="14496"/>
    <cellStyle name="20% - akcent 6 4 6 2 2" xfId="14497"/>
    <cellStyle name="20% - akcent 6 4 6 2 2 2" xfId="14498"/>
    <cellStyle name="20% - akcent 6 4 6 2 3" xfId="14499"/>
    <cellStyle name="20% - akcent 6 4 6 3" xfId="14500"/>
    <cellStyle name="20% - akcent 6 4 6 3 2" xfId="14501"/>
    <cellStyle name="20% - akcent 6 4 6 3 2 2" xfId="14502"/>
    <cellStyle name="20% - akcent 6 4 6 3 3" xfId="14503"/>
    <cellStyle name="20% - akcent 6 4 6 4" xfId="14504"/>
    <cellStyle name="20% - akcent 6 4 6 4 2" xfId="14505"/>
    <cellStyle name="20% - akcent 6 4 6 4 2 2" xfId="14506"/>
    <cellStyle name="20% - akcent 6 4 6 4 3" xfId="14507"/>
    <cellStyle name="20% - akcent 6 4 6 5" xfId="14508"/>
    <cellStyle name="20% - akcent 6 4 6 5 2" xfId="14509"/>
    <cellStyle name="20% - akcent 6 4 6 6" xfId="14510"/>
    <cellStyle name="20% - akcent 6 4 7" xfId="14511"/>
    <cellStyle name="20% - akcent 6 4 7 2" xfId="14512"/>
    <cellStyle name="20% - akcent 6 4 7 2 2" xfId="14513"/>
    <cellStyle name="20% - akcent 6 4 7 2 2 2" xfId="14514"/>
    <cellStyle name="20% - akcent 6 4 7 2 3" xfId="14515"/>
    <cellStyle name="20% - akcent 6 4 7 3" xfId="14516"/>
    <cellStyle name="20% - akcent 6 4 7 3 2" xfId="14517"/>
    <cellStyle name="20% - akcent 6 4 7 3 2 2" xfId="14518"/>
    <cellStyle name="20% - akcent 6 4 7 3 3" xfId="14519"/>
    <cellStyle name="20% - akcent 6 4 7 4" xfId="14520"/>
    <cellStyle name="20% - akcent 6 4 7 4 2" xfId="14521"/>
    <cellStyle name="20% - akcent 6 4 7 4 2 2" xfId="14522"/>
    <cellStyle name="20% - akcent 6 4 7 4 3" xfId="14523"/>
    <cellStyle name="20% - akcent 6 4 7 5" xfId="14524"/>
    <cellStyle name="20% - akcent 6 4 7 5 2" xfId="14525"/>
    <cellStyle name="20% - akcent 6 4 7 6" xfId="14526"/>
    <cellStyle name="20% - akcent 6 4_2011'05 Raport PGE_DO-CO2" xfId="14527"/>
    <cellStyle name="20% - akcent 6 5" xfId="14528"/>
    <cellStyle name="20% - akcent 6 5 2" xfId="14529"/>
    <cellStyle name="20% - akcent 6 5 2 2" xfId="14530"/>
    <cellStyle name="20% - akcent 6 5 2 2 2" xfId="14531"/>
    <cellStyle name="20% - akcent 6 5 2 2 2 2" xfId="14532"/>
    <cellStyle name="20% - akcent 6 5 2 2 2 2 2" xfId="14533"/>
    <cellStyle name="20% - akcent 6 5 2 2 2 2 2 2" xfId="14534"/>
    <cellStyle name="20% - akcent 6 5 2 2 2 2 3" xfId="14535"/>
    <cellStyle name="20% - akcent 6 5 2 2 2 3" xfId="14536"/>
    <cellStyle name="20% - akcent 6 5 2 2 2 3 2" xfId="14537"/>
    <cellStyle name="20% - akcent 6 5 2 2 2 3 2 2" xfId="14538"/>
    <cellStyle name="20% - akcent 6 5 2 2 2 3 3" xfId="14539"/>
    <cellStyle name="20% - akcent 6 5 2 2 2 4" xfId="14540"/>
    <cellStyle name="20% - akcent 6 5 2 2 2 4 2" xfId="14541"/>
    <cellStyle name="20% - akcent 6 5 2 2 2 4 2 2" xfId="14542"/>
    <cellStyle name="20% - akcent 6 5 2 2 2 4 3" xfId="14543"/>
    <cellStyle name="20% - akcent 6 5 2 2 2 5" xfId="14544"/>
    <cellStyle name="20% - akcent 6 5 2 2 2 5 2" xfId="14545"/>
    <cellStyle name="20% - akcent 6 5 2 2 2 6" xfId="14546"/>
    <cellStyle name="20% - akcent 6 5 2 2 3" xfId="14547"/>
    <cellStyle name="20% - akcent 6 5 2 2 3 2" xfId="14548"/>
    <cellStyle name="20% - akcent 6 5 2 2 3 2 2" xfId="14549"/>
    <cellStyle name="20% - akcent 6 5 2 2 3 3" xfId="14550"/>
    <cellStyle name="20% - akcent 6 5 2 2 4" xfId="14551"/>
    <cellStyle name="20% - akcent 6 5 2 2 4 2" xfId="14552"/>
    <cellStyle name="20% - akcent 6 5 2 2 4 2 2" xfId="14553"/>
    <cellStyle name="20% - akcent 6 5 2 2 4 3" xfId="14554"/>
    <cellStyle name="20% - akcent 6 5 2 2 5" xfId="14555"/>
    <cellStyle name="20% - akcent 6 5 2 2 5 2" xfId="14556"/>
    <cellStyle name="20% - akcent 6 5 2 2 5 2 2" xfId="14557"/>
    <cellStyle name="20% - akcent 6 5 2 2 5 3" xfId="14558"/>
    <cellStyle name="20% - akcent 6 5 2 2 6" xfId="14559"/>
    <cellStyle name="20% - akcent 6 5 2 2 6 2" xfId="14560"/>
    <cellStyle name="20% - akcent 6 5 2 2 7" xfId="14561"/>
    <cellStyle name="20% - akcent 6 5 2 3" xfId="14562"/>
    <cellStyle name="20% - akcent 6 5 2 3 2" xfId="14563"/>
    <cellStyle name="20% - akcent 6 5 2 3 2 2" xfId="14564"/>
    <cellStyle name="20% - akcent 6 5 2 3 2 2 2" xfId="14565"/>
    <cellStyle name="20% - akcent 6 5 2 3 2 3" xfId="14566"/>
    <cellStyle name="20% - akcent 6 5 2 3 3" xfId="14567"/>
    <cellStyle name="20% - akcent 6 5 2 3 3 2" xfId="14568"/>
    <cellStyle name="20% - akcent 6 5 2 3 3 2 2" xfId="14569"/>
    <cellStyle name="20% - akcent 6 5 2 3 3 3" xfId="14570"/>
    <cellStyle name="20% - akcent 6 5 2 3 4" xfId="14571"/>
    <cellStyle name="20% - akcent 6 5 2 3 4 2" xfId="14572"/>
    <cellStyle name="20% - akcent 6 5 2 3 4 2 2" xfId="14573"/>
    <cellStyle name="20% - akcent 6 5 2 3 4 3" xfId="14574"/>
    <cellStyle name="20% - akcent 6 5 2 3 5" xfId="14575"/>
    <cellStyle name="20% - akcent 6 5 2 3 5 2" xfId="14576"/>
    <cellStyle name="20% - akcent 6 5 2 3 6" xfId="14577"/>
    <cellStyle name="20% - akcent 6 5 2 4" xfId="14578"/>
    <cellStyle name="20% - akcent 6 5 2 4 2" xfId="14579"/>
    <cellStyle name="20% - akcent 6 5 2 4 2 2" xfId="14580"/>
    <cellStyle name="20% - akcent 6 5 2 4 2 2 2" xfId="14581"/>
    <cellStyle name="20% - akcent 6 5 2 4 2 3" xfId="14582"/>
    <cellStyle name="20% - akcent 6 5 2 4 3" xfId="14583"/>
    <cellStyle name="20% - akcent 6 5 2 4 3 2" xfId="14584"/>
    <cellStyle name="20% - akcent 6 5 2 4 3 2 2" xfId="14585"/>
    <cellStyle name="20% - akcent 6 5 2 4 3 3" xfId="14586"/>
    <cellStyle name="20% - akcent 6 5 2 4 4" xfId="14587"/>
    <cellStyle name="20% - akcent 6 5 2 4 4 2" xfId="14588"/>
    <cellStyle name="20% - akcent 6 5 2 4 4 2 2" xfId="14589"/>
    <cellStyle name="20% - akcent 6 5 2 4 4 3" xfId="14590"/>
    <cellStyle name="20% - akcent 6 5 2 4 5" xfId="14591"/>
    <cellStyle name="20% - akcent 6 5 2 4 5 2" xfId="14592"/>
    <cellStyle name="20% - akcent 6 5 2 4 6" xfId="14593"/>
    <cellStyle name="20% - akcent 6 5 2 5" xfId="14594"/>
    <cellStyle name="20% - akcent 6 5 2 6" xfId="14595"/>
    <cellStyle name="20% - akcent 6 5 2 6 2" xfId="14596"/>
    <cellStyle name="20% - akcent 6 5 2 6 2 2" xfId="14597"/>
    <cellStyle name="20% - akcent 6 5 2 6 2 2 2" xfId="14598"/>
    <cellStyle name="20% - akcent 6 5 2 6 2 3" xfId="14599"/>
    <cellStyle name="20% - akcent 6 5 2 6 3" xfId="14600"/>
    <cellStyle name="20% - akcent 6 5 2 6 3 2" xfId="14601"/>
    <cellStyle name="20% - akcent 6 5 2 6 3 2 2" xfId="14602"/>
    <cellStyle name="20% - akcent 6 5 2 6 3 3" xfId="14603"/>
    <cellStyle name="20% - akcent 6 5 2 6 4" xfId="14604"/>
    <cellStyle name="20% - akcent 6 5 2 6 4 2" xfId="14605"/>
    <cellStyle name="20% - akcent 6 5 2 6 4 2 2" xfId="14606"/>
    <cellStyle name="20% - akcent 6 5 2 6 4 3" xfId="14607"/>
    <cellStyle name="20% - akcent 6 5 2 6 5" xfId="14608"/>
    <cellStyle name="20% - akcent 6 5 2 6 5 2" xfId="14609"/>
    <cellStyle name="20% - akcent 6 5 2 6 6" xfId="14610"/>
    <cellStyle name="20% - akcent 6 5 3" xfId="14611"/>
    <cellStyle name="20% - akcent 6 5 3 2" xfId="14612"/>
    <cellStyle name="20% - akcent 6 5 3 2 2" xfId="14613"/>
    <cellStyle name="20% - akcent 6 5 3 2 2 2" xfId="14614"/>
    <cellStyle name="20% - akcent 6 5 3 2 2 2 2" xfId="14615"/>
    <cellStyle name="20% - akcent 6 5 3 2 2 3" xfId="14616"/>
    <cellStyle name="20% - akcent 6 5 3 2 3" xfId="14617"/>
    <cellStyle name="20% - akcent 6 5 3 2 3 2" xfId="14618"/>
    <cellStyle name="20% - akcent 6 5 3 2 3 2 2" xfId="14619"/>
    <cellStyle name="20% - akcent 6 5 3 2 3 3" xfId="14620"/>
    <cellStyle name="20% - akcent 6 5 3 2 4" xfId="14621"/>
    <cellStyle name="20% - akcent 6 5 3 2 4 2" xfId="14622"/>
    <cellStyle name="20% - akcent 6 5 3 2 4 2 2" xfId="14623"/>
    <cellStyle name="20% - akcent 6 5 3 2 4 3" xfId="14624"/>
    <cellStyle name="20% - akcent 6 5 3 2 5" xfId="14625"/>
    <cellStyle name="20% - akcent 6 5 3 2 5 2" xfId="14626"/>
    <cellStyle name="20% - akcent 6 5 3 2 6" xfId="14627"/>
    <cellStyle name="20% - akcent 6 5 3 3" xfId="14628"/>
    <cellStyle name="20% - akcent 6 5 3 3 2" xfId="14629"/>
    <cellStyle name="20% - akcent 6 5 3 3 2 2" xfId="14630"/>
    <cellStyle name="20% - akcent 6 5 3 3 3" xfId="14631"/>
    <cellStyle name="20% - akcent 6 5 3 4" xfId="14632"/>
    <cellStyle name="20% - akcent 6 5 3 4 2" xfId="14633"/>
    <cellStyle name="20% - akcent 6 5 3 4 2 2" xfId="14634"/>
    <cellStyle name="20% - akcent 6 5 3 4 3" xfId="14635"/>
    <cellStyle name="20% - akcent 6 5 3 5" xfId="14636"/>
    <cellStyle name="20% - akcent 6 5 3 5 2" xfId="14637"/>
    <cellStyle name="20% - akcent 6 5 3 5 2 2" xfId="14638"/>
    <cellStyle name="20% - akcent 6 5 3 5 3" xfId="14639"/>
    <cellStyle name="20% - akcent 6 5 3 6" xfId="14640"/>
    <cellStyle name="20% - akcent 6 5 3 6 2" xfId="14641"/>
    <cellStyle name="20% - akcent 6 5 3 7" xfId="14642"/>
    <cellStyle name="20% - akcent 6 5 4" xfId="14643"/>
    <cellStyle name="20% - akcent 6 5 4 2" xfId="14644"/>
    <cellStyle name="20% - akcent 6 5 4 2 2" xfId="14645"/>
    <cellStyle name="20% - akcent 6 5 4 2 2 2" xfId="14646"/>
    <cellStyle name="20% - akcent 6 5 4 2 3" xfId="14647"/>
    <cellStyle name="20% - akcent 6 5 4 3" xfId="14648"/>
    <cellStyle name="20% - akcent 6 5 4 3 2" xfId="14649"/>
    <cellStyle name="20% - akcent 6 5 4 3 2 2" xfId="14650"/>
    <cellStyle name="20% - akcent 6 5 4 3 3" xfId="14651"/>
    <cellStyle name="20% - akcent 6 5 4 4" xfId="14652"/>
    <cellStyle name="20% - akcent 6 5 4 4 2" xfId="14653"/>
    <cellStyle name="20% - akcent 6 5 4 4 2 2" xfId="14654"/>
    <cellStyle name="20% - akcent 6 5 4 4 3" xfId="14655"/>
    <cellStyle name="20% - akcent 6 5 4 5" xfId="14656"/>
    <cellStyle name="20% - akcent 6 5 4 5 2" xfId="14657"/>
    <cellStyle name="20% - akcent 6 5 4 6" xfId="14658"/>
    <cellStyle name="20% - akcent 6 5 5" xfId="14659"/>
    <cellStyle name="20% - akcent 6 5 5 2" xfId="14660"/>
    <cellStyle name="20% - akcent 6 5 5 2 2" xfId="14661"/>
    <cellStyle name="20% - akcent 6 5 5 2 2 2" xfId="14662"/>
    <cellStyle name="20% - akcent 6 5 5 2 3" xfId="14663"/>
    <cellStyle name="20% - akcent 6 5 5 3" xfId="14664"/>
    <cellStyle name="20% - akcent 6 5 5 3 2" xfId="14665"/>
    <cellStyle name="20% - akcent 6 5 5 3 2 2" xfId="14666"/>
    <cellStyle name="20% - akcent 6 5 5 3 3" xfId="14667"/>
    <cellStyle name="20% - akcent 6 5 5 4" xfId="14668"/>
    <cellStyle name="20% - akcent 6 5 5 4 2" xfId="14669"/>
    <cellStyle name="20% - akcent 6 5 5 4 2 2" xfId="14670"/>
    <cellStyle name="20% - akcent 6 5 5 4 3" xfId="14671"/>
    <cellStyle name="20% - akcent 6 5 5 5" xfId="14672"/>
    <cellStyle name="20% - akcent 6 5 5 5 2" xfId="14673"/>
    <cellStyle name="20% - akcent 6 5 5 6" xfId="14674"/>
    <cellStyle name="20% - akcent 6 5 6" xfId="14675"/>
    <cellStyle name="20% - akcent 6 5 6 2" xfId="14676"/>
    <cellStyle name="20% - akcent 6 5 6 2 2" xfId="14677"/>
    <cellStyle name="20% - akcent 6 5 6 2 2 2" xfId="14678"/>
    <cellStyle name="20% - akcent 6 5 6 2 3" xfId="14679"/>
    <cellStyle name="20% - akcent 6 5 6 3" xfId="14680"/>
    <cellStyle name="20% - akcent 6 5 6 3 2" xfId="14681"/>
    <cellStyle name="20% - akcent 6 5 6 3 2 2" xfId="14682"/>
    <cellStyle name="20% - akcent 6 5 6 3 3" xfId="14683"/>
    <cellStyle name="20% - akcent 6 5 6 4" xfId="14684"/>
    <cellStyle name="20% - akcent 6 5 6 4 2" xfId="14685"/>
    <cellStyle name="20% - akcent 6 5 6 4 2 2" xfId="14686"/>
    <cellStyle name="20% - akcent 6 5 6 4 3" xfId="14687"/>
    <cellStyle name="20% - akcent 6 5 6 5" xfId="14688"/>
    <cellStyle name="20% - akcent 6 5 6 5 2" xfId="14689"/>
    <cellStyle name="20% - akcent 6 5 6 6" xfId="14690"/>
    <cellStyle name="20% - akcent 6 5 7" xfId="14691"/>
    <cellStyle name="20% - akcent 6 5 8" xfId="14692"/>
    <cellStyle name="20% - akcent 6 5_2011'05 Raport PGE_DO-CO2" xfId="14693"/>
    <cellStyle name="20% - akcent 6 6" xfId="14694"/>
    <cellStyle name="20% - akcent 6 6 2" xfId="14695"/>
    <cellStyle name="20% - akcent 6 6 2 10" xfId="14696"/>
    <cellStyle name="20% - akcent 6 6 2 2" xfId="14697"/>
    <cellStyle name="20% - akcent 6 6 2 2 2" xfId="14698"/>
    <cellStyle name="20% - akcent 6 6 2 2 2 2" xfId="14699"/>
    <cellStyle name="20% - akcent 6 6 2 2 2 2 2" xfId="14700"/>
    <cellStyle name="20% - akcent 6 6 2 2 2 2 2 2" xfId="14701"/>
    <cellStyle name="20% - akcent 6 6 2 2 2 2 3" xfId="14702"/>
    <cellStyle name="20% - akcent 6 6 2 2 2 3" xfId="14703"/>
    <cellStyle name="20% - akcent 6 6 2 2 2 3 2" xfId="14704"/>
    <cellStyle name="20% - akcent 6 6 2 2 2 3 2 2" xfId="14705"/>
    <cellStyle name="20% - akcent 6 6 2 2 2 3 3" xfId="14706"/>
    <cellStyle name="20% - akcent 6 6 2 2 2 4" xfId="14707"/>
    <cellStyle name="20% - akcent 6 6 2 2 2 4 2" xfId="14708"/>
    <cellStyle name="20% - akcent 6 6 2 2 2 4 2 2" xfId="14709"/>
    <cellStyle name="20% - akcent 6 6 2 2 2 4 3" xfId="14710"/>
    <cellStyle name="20% - akcent 6 6 2 2 2 5" xfId="14711"/>
    <cellStyle name="20% - akcent 6 6 2 2 2 5 2" xfId="14712"/>
    <cellStyle name="20% - akcent 6 6 2 2 2 6" xfId="14713"/>
    <cellStyle name="20% - akcent 6 6 2 2 3" xfId="14714"/>
    <cellStyle name="20% - akcent 6 6 2 2 3 2" xfId="14715"/>
    <cellStyle name="20% - akcent 6 6 2 2 3 2 2" xfId="14716"/>
    <cellStyle name="20% - akcent 6 6 2 2 3 3" xfId="14717"/>
    <cellStyle name="20% - akcent 6 6 2 2 4" xfId="14718"/>
    <cellStyle name="20% - akcent 6 6 2 2 4 2" xfId="14719"/>
    <cellStyle name="20% - akcent 6 6 2 2 4 2 2" xfId="14720"/>
    <cellStyle name="20% - akcent 6 6 2 2 4 3" xfId="14721"/>
    <cellStyle name="20% - akcent 6 6 2 2 5" xfId="14722"/>
    <cellStyle name="20% - akcent 6 6 2 2 5 2" xfId="14723"/>
    <cellStyle name="20% - akcent 6 6 2 2 5 2 2" xfId="14724"/>
    <cellStyle name="20% - akcent 6 6 2 2 5 3" xfId="14725"/>
    <cellStyle name="20% - akcent 6 6 2 2 6" xfId="14726"/>
    <cellStyle name="20% - akcent 6 6 2 2 6 2" xfId="14727"/>
    <cellStyle name="20% - akcent 6 6 2 2 7" xfId="14728"/>
    <cellStyle name="20% - akcent 6 6 2 3" xfId="14729"/>
    <cellStyle name="20% - akcent 6 6 2 3 2" xfId="14730"/>
    <cellStyle name="20% - akcent 6 6 2 3 2 2" xfId="14731"/>
    <cellStyle name="20% - akcent 6 6 2 3 2 2 2" xfId="14732"/>
    <cellStyle name="20% - akcent 6 6 2 3 2 3" xfId="14733"/>
    <cellStyle name="20% - akcent 6 6 2 3 3" xfId="14734"/>
    <cellStyle name="20% - akcent 6 6 2 3 3 2" xfId="14735"/>
    <cellStyle name="20% - akcent 6 6 2 3 3 2 2" xfId="14736"/>
    <cellStyle name="20% - akcent 6 6 2 3 3 3" xfId="14737"/>
    <cellStyle name="20% - akcent 6 6 2 3 4" xfId="14738"/>
    <cellStyle name="20% - akcent 6 6 2 3 4 2" xfId="14739"/>
    <cellStyle name="20% - akcent 6 6 2 3 4 2 2" xfId="14740"/>
    <cellStyle name="20% - akcent 6 6 2 3 4 3" xfId="14741"/>
    <cellStyle name="20% - akcent 6 6 2 3 5" xfId="14742"/>
    <cellStyle name="20% - akcent 6 6 2 3 5 2" xfId="14743"/>
    <cellStyle name="20% - akcent 6 6 2 3 6" xfId="14744"/>
    <cellStyle name="20% - akcent 6 6 2 4" xfId="14745"/>
    <cellStyle name="20% - akcent 6 6 2 4 2" xfId="14746"/>
    <cellStyle name="20% - akcent 6 6 2 4 2 2" xfId="14747"/>
    <cellStyle name="20% - akcent 6 6 2 4 2 2 2" xfId="14748"/>
    <cellStyle name="20% - akcent 6 6 2 4 2 3" xfId="14749"/>
    <cellStyle name="20% - akcent 6 6 2 4 3" xfId="14750"/>
    <cellStyle name="20% - akcent 6 6 2 4 3 2" xfId="14751"/>
    <cellStyle name="20% - akcent 6 6 2 4 3 2 2" xfId="14752"/>
    <cellStyle name="20% - akcent 6 6 2 4 3 3" xfId="14753"/>
    <cellStyle name="20% - akcent 6 6 2 4 4" xfId="14754"/>
    <cellStyle name="20% - akcent 6 6 2 4 4 2" xfId="14755"/>
    <cellStyle name="20% - akcent 6 6 2 4 4 2 2" xfId="14756"/>
    <cellStyle name="20% - akcent 6 6 2 4 4 3" xfId="14757"/>
    <cellStyle name="20% - akcent 6 6 2 4 5" xfId="14758"/>
    <cellStyle name="20% - akcent 6 6 2 4 5 2" xfId="14759"/>
    <cellStyle name="20% - akcent 6 6 2 4 6" xfId="14760"/>
    <cellStyle name="20% - akcent 6 6 2 5" xfId="14761"/>
    <cellStyle name="20% - akcent 6 6 2 6" xfId="14762"/>
    <cellStyle name="20% - akcent 6 6 2 6 2" xfId="14763"/>
    <cellStyle name="20% - akcent 6 6 2 6 2 2" xfId="14764"/>
    <cellStyle name="20% - akcent 6 6 2 6 3" xfId="14765"/>
    <cellStyle name="20% - akcent 6 6 2 7" xfId="14766"/>
    <cellStyle name="20% - akcent 6 6 2 7 2" xfId="14767"/>
    <cellStyle name="20% - akcent 6 6 2 7 2 2" xfId="14768"/>
    <cellStyle name="20% - akcent 6 6 2 7 3" xfId="14769"/>
    <cellStyle name="20% - akcent 6 6 2 8" xfId="14770"/>
    <cellStyle name="20% - akcent 6 6 2 8 2" xfId="14771"/>
    <cellStyle name="20% - akcent 6 6 2 8 2 2" xfId="14772"/>
    <cellStyle name="20% - akcent 6 6 2 8 3" xfId="14773"/>
    <cellStyle name="20% - akcent 6 6 2 9" xfId="14774"/>
    <cellStyle name="20% - akcent 6 6 2 9 2" xfId="14775"/>
    <cellStyle name="20% - akcent 6 6 3" xfId="14776"/>
    <cellStyle name="20% - akcent 6 6 3 2" xfId="14777"/>
    <cellStyle name="20% - akcent 6 6 3 2 2" xfId="14778"/>
    <cellStyle name="20% - akcent 6 6 3 2 2 2" xfId="14779"/>
    <cellStyle name="20% - akcent 6 6 3 2 2 2 2" xfId="14780"/>
    <cellStyle name="20% - akcent 6 6 3 2 2 3" xfId="14781"/>
    <cellStyle name="20% - akcent 6 6 3 2 3" xfId="14782"/>
    <cellStyle name="20% - akcent 6 6 3 2 3 2" xfId="14783"/>
    <cellStyle name="20% - akcent 6 6 3 2 3 2 2" xfId="14784"/>
    <cellStyle name="20% - akcent 6 6 3 2 3 3" xfId="14785"/>
    <cellStyle name="20% - akcent 6 6 3 2 4" xfId="14786"/>
    <cellStyle name="20% - akcent 6 6 3 2 4 2" xfId="14787"/>
    <cellStyle name="20% - akcent 6 6 3 2 4 2 2" xfId="14788"/>
    <cellStyle name="20% - akcent 6 6 3 2 4 3" xfId="14789"/>
    <cellStyle name="20% - akcent 6 6 3 2 5" xfId="14790"/>
    <cellStyle name="20% - akcent 6 6 3 2 5 2" xfId="14791"/>
    <cellStyle name="20% - akcent 6 6 3 2 6" xfId="14792"/>
    <cellStyle name="20% - akcent 6 6 3 3" xfId="14793"/>
    <cellStyle name="20% - akcent 6 6 3 3 2" xfId="14794"/>
    <cellStyle name="20% - akcent 6 6 3 3 2 2" xfId="14795"/>
    <cellStyle name="20% - akcent 6 6 3 3 3" xfId="14796"/>
    <cellStyle name="20% - akcent 6 6 3 4" xfId="14797"/>
    <cellStyle name="20% - akcent 6 6 3 4 2" xfId="14798"/>
    <cellStyle name="20% - akcent 6 6 3 4 2 2" xfId="14799"/>
    <cellStyle name="20% - akcent 6 6 3 4 3" xfId="14800"/>
    <cellStyle name="20% - akcent 6 6 3 5" xfId="14801"/>
    <cellStyle name="20% - akcent 6 6 3 5 2" xfId="14802"/>
    <cellStyle name="20% - akcent 6 6 3 5 2 2" xfId="14803"/>
    <cellStyle name="20% - akcent 6 6 3 5 3" xfId="14804"/>
    <cellStyle name="20% - akcent 6 6 3 6" xfId="14805"/>
    <cellStyle name="20% - akcent 6 6 3 6 2" xfId="14806"/>
    <cellStyle name="20% - akcent 6 6 3 7" xfId="14807"/>
    <cellStyle name="20% - akcent 6 6 4" xfId="14808"/>
    <cellStyle name="20% - akcent 6 6 4 2" xfId="14809"/>
    <cellStyle name="20% - akcent 6 6 4 2 2" xfId="14810"/>
    <cellStyle name="20% - akcent 6 6 4 2 2 2" xfId="14811"/>
    <cellStyle name="20% - akcent 6 6 4 2 3" xfId="14812"/>
    <cellStyle name="20% - akcent 6 6 4 3" xfId="14813"/>
    <cellStyle name="20% - akcent 6 6 4 3 2" xfId="14814"/>
    <cellStyle name="20% - akcent 6 6 4 3 2 2" xfId="14815"/>
    <cellStyle name="20% - akcent 6 6 4 3 3" xfId="14816"/>
    <cellStyle name="20% - akcent 6 6 4 4" xfId="14817"/>
    <cellStyle name="20% - akcent 6 6 4 4 2" xfId="14818"/>
    <cellStyle name="20% - akcent 6 6 4 4 2 2" xfId="14819"/>
    <cellStyle name="20% - akcent 6 6 4 4 3" xfId="14820"/>
    <cellStyle name="20% - akcent 6 6 4 5" xfId="14821"/>
    <cellStyle name="20% - akcent 6 6 4 5 2" xfId="14822"/>
    <cellStyle name="20% - akcent 6 6 4 6" xfId="14823"/>
    <cellStyle name="20% - akcent 6 6 5" xfId="14824"/>
    <cellStyle name="20% - akcent 6 6 5 2" xfId="14825"/>
    <cellStyle name="20% - akcent 6 6 5 2 2" xfId="14826"/>
    <cellStyle name="20% - akcent 6 6 5 2 2 2" xfId="14827"/>
    <cellStyle name="20% - akcent 6 6 5 2 3" xfId="14828"/>
    <cellStyle name="20% - akcent 6 6 5 3" xfId="14829"/>
    <cellStyle name="20% - akcent 6 6 5 3 2" xfId="14830"/>
    <cellStyle name="20% - akcent 6 6 5 3 2 2" xfId="14831"/>
    <cellStyle name="20% - akcent 6 6 5 3 3" xfId="14832"/>
    <cellStyle name="20% - akcent 6 6 5 4" xfId="14833"/>
    <cellStyle name="20% - akcent 6 6 5 4 2" xfId="14834"/>
    <cellStyle name="20% - akcent 6 6 5 4 2 2" xfId="14835"/>
    <cellStyle name="20% - akcent 6 6 5 4 3" xfId="14836"/>
    <cellStyle name="20% - akcent 6 6 5 5" xfId="14837"/>
    <cellStyle name="20% - akcent 6 6 5 5 2" xfId="14838"/>
    <cellStyle name="20% - akcent 6 6 5 6" xfId="14839"/>
    <cellStyle name="20% - akcent 6 6 6" xfId="14840"/>
    <cellStyle name="20% - akcent 6 6 7" xfId="14841"/>
    <cellStyle name="20% - akcent 6 6 7 2" xfId="14842"/>
    <cellStyle name="20% - akcent 6 6 7 2 2" xfId="14843"/>
    <cellStyle name="20% - akcent 6 6 7 2 2 2" xfId="14844"/>
    <cellStyle name="20% - akcent 6 6 7 2 3" xfId="14845"/>
    <cellStyle name="20% - akcent 6 6 7 3" xfId="14846"/>
    <cellStyle name="20% - akcent 6 6 7 3 2" xfId="14847"/>
    <cellStyle name="20% - akcent 6 6 7 3 2 2" xfId="14848"/>
    <cellStyle name="20% - akcent 6 6 7 3 3" xfId="14849"/>
    <cellStyle name="20% - akcent 6 6 7 4" xfId="14850"/>
    <cellStyle name="20% - akcent 6 6 7 4 2" xfId="14851"/>
    <cellStyle name="20% - akcent 6 6 7 4 2 2" xfId="14852"/>
    <cellStyle name="20% - akcent 6 6 7 4 3" xfId="14853"/>
    <cellStyle name="20% - akcent 6 6 7 5" xfId="14854"/>
    <cellStyle name="20% - akcent 6 6 7 5 2" xfId="14855"/>
    <cellStyle name="20% - akcent 6 6 7 6" xfId="14856"/>
    <cellStyle name="20% - akcent 6 6_Arkusz1" xfId="14857"/>
    <cellStyle name="20% - akcent 6 7" xfId="14858"/>
    <cellStyle name="20% - akcent 6 7 2" xfId="14859"/>
    <cellStyle name="20% - akcent 6 7 2 10" xfId="14860"/>
    <cellStyle name="20% - akcent 6 7 2 2" xfId="14861"/>
    <cellStyle name="20% - akcent 6 7 2 2 2" xfId="14862"/>
    <cellStyle name="20% - akcent 6 7 2 2 2 2" xfId="14863"/>
    <cellStyle name="20% - akcent 6 7 2 2 2 2 2" xfId="14864"/>
    <cellStyle name="20% - akcent 6 7 2 2 2 2 2 2" xfId="14865"/>
    <cellStyle name="20% - akcent 6 7 2 2 2 2 3" xfId="14866"/>
    <cellStyle name="20% - akcent 6 7 2 2 2 3" xfId="14867"/>
    <cellStyle name="20% - akcent 6 7 2 2 2 3 2" xfId="14868"/>
    <cellStyle name="20% - akcent 6 7 2 2 2 3 2 2" xfId="14869"/>
    <cellStyle name="20% - akcent 6 7 2 2 2 3 3" xfId="14870"/>
    <cellStyle name="20% - akcent 6 7 2 2 2 4" xfId="14871"/>
    <cellStyle name="20% - akcent 6 7 2 2 2 4 2" xfId="14872"/>
    <cellStyle name="20% - akcent 6 7 2 2 2 4 2 2" xfId="14873"/>
    <cellStyle name="20% - akcent 6 7 2 2 2 4 3" xfId="14874"/>
    <cellStyle name="20% - akcent 6 7 2 2 2 5" xfId="14875"/>
    <cellStyle name="20% - akcent 6 7 2 2 2 5 2" xfId="14876"/>
    <cellStyle name="20% - akcent 6 7 2 2 2 6" xfId="14877"/>
    <cellStyle name="20% - akcent 6 7 2 2 3" xfId="14878"/>
    <cellStyle name="20% - akcent 6 7 2 2 3 2" xfId="14879"/>
    <cellStyle name="20% - akcent 6 7 2 2 3 2 2" xfId="14880"/>
    <cellStyle name="20% - akcent 6 7 2 2 3 3" xfId="14881"/>
    <cellStyle name="20% - akcent 6 7 2 2 4" xfId="14882"/>
    <cellStyle name="20% - akcent 6 7 2 2 4 2" xfId="14883"/>
    <cellStyle name="20% - akcent 6 7 2 2 4 2 2" xfId="14884"/>
    <cellStyle name="20% - akcent 6 7 2 2 4 3" xfId="14885"/>
    <cellStyle name="20% - akcent 6 7 2 2 5" xfId="14886"/>
    <cellStyle name="20% - akcent 6 7 2 2 5 2" xfId="14887"/>
    <cellStyle name="20% - akcent 6 7 2 2 5 2 2" xfId="14888"/>
    <cellStyle name="20% - akcent 6 7 2 2 5 3" xfId="14889"/>
    <cellStyle name="20% - akcent 6 7 2 2 6" xfId="14890"/>
    <cellStyle name="20% - akcent 6 7 2 2 6 2" xfId="14891"/>
    <cellStyle name="20% - akcent 6 7 2 2 7" xfId="14892"/>
    <cellStyle name="20% - akcent 6 7 2 3" xfId="14893"/>
    <cellStyle name="20% - akcent 6 7 2 3 2" xfId="14894"/>
    <cellStyle name="20% - akcent 6 7 2 3 2 2" xfId="14895"/>
    <cellStyle name="20% - akcent 6 7 2 3 2 2 2" xfId="14896"/>
    <cellStyle name="20% - akcent 6 7 2 3 2 3" xfId="14897"/>
    <cellStyle name="20% - akcent 6 7 2 3 3" xfId="14898"/>
    <cellStyle name="20% - akcent 6 7 2 3 3 2" xfId="14899"/>
    <cellStyle name="20% - akcent 6 7 2 3 3 2 2" xfId="14900"/>
    <cellStyle name="20% - akcent 6 7 2 3 3 3" xfId="14901"/>
    <cellStyle name="20% - akcent 6 7 2 3 4" xfId="14902"/>
    <cellStyle name="20% - akcent 6 7 2 3 4 2" xfId="14903"/>
    <cellStyle name="20% - akcent 6 7 2 3 4 2 2" xfId="14904"/>
    <cellStyle name="20% - akcent 6 7 2 3 4 3" xfId="14905"/>
    <cellStyle name="20% - akcent 6 7 2 3 5" xfId="14906"/>
    <cellStyle name="20% - akcent 6 7 2 3 5 2" xfId="14907"/>
    <cellStyle name="20% - akcent 6 7 2 3 6" xfId="14908"/>
    <cellStyle name="20% - akcent 6 7 2 4" xfId="14909"/>
    <cellStyle name="20% - akcent 6 7 2 4 2" xfId="14910"/>
    <cellStyle name="20% - akcent 6 7 2 4 2 2" xfId="14911"/>
    <cellStyle name="20% - akcent 6 7 2 4 2 2 2" xfId="14912"/>
    <cellStyle name="20% - akcent 6 7 2 4 2 3" xfId="14913"/>
    <cellStyle name="20% - akcent 6 7 2 4 3" xfId="14914"/>
    <cellStyle name="20% - akcent 6 7 2 4 3 2" xfId="14915"/>
    <cellStyle name="20% - akcent 6 7 2 4 3 2 2" xfId="14916"/>
    <cellStyle name="20% - akcent 6 7 2 4 3 3" xfId="14917"/>
    <cellStyle name="20% - akcent 6 7 2 4 4" xfId="14918"/>
    <cellStyle name="20% - akcent 6 7 2 4 4 2" xfId="14919"/>
    <cellStyle name="20% - akcent 6 7 2 4 4 2 2" xfId="14920"/>
    <cellStyle name="20% - akcent 6 7 2 4 4 3" xfId="14921"/>
    <cellStyle name="20% - akcent 6 7 2 4 5" xfId="14922"/>
    <cellStyle name="20% - akcent 6 7 2 4 5 2" xfId="14923"/>
    <cellStyle name="20% - akcent 6 7 2 4 6" xfId="14924"/>
    <cellStyle name="20% - akcent 6 7 2 5" xfId="14925"/>
    <cellStyle name="20% - akcent 6 7 2 6" xfId="14926"/>
    <cellStyle name="20% - akcent 6 7 2 6 2" xfId="14927"/>
    <cellStyle name="20% - akcent 6 7 2 6 2 2" xfId="14928"/>
    <cellStyle name="20% - akcent 6 7 2 6 3" xfId="14929"/>
    <cellStyle name="20% - akcent 6 7 2 7" xfId="14930"/>
    <cellStyle name="20% - akcent 6 7 2 7 2" xfId="14931"/>
    <cellStyle name="20% - akcent 6 7 2 7 2 2" xfId="14932"/>
    <cellStyle name="20% - akcent 6 7 2 7 3" xfId="14933"/>
    <cellStyle name="20% - akcent 6 7 2 8" xfId="14934"/>
    <cellStyle name="20% - akcent 6 7 2 8 2" xfId="14935"/>
    <cellStyle name="20% - akcent 6 7 2 8 2 2" xfId="14936"/>
    <cellStyle name="20% - akcent 6 7 2 8 3" xfId="14937"/>
    <cellStyle name="20% - akcent 6 7 2 9" xfId="14938"/>
    <cellStyle name="20% - akcent 6 7 2 9 2" xfId="14939"/>
    <cellStyle name="20% - akcent 6 7 3" xfId="14940"/>
    <cellStyle name="20% - akcent 6 7 3 2" xfId="14941"/>
    <cellStyle name="20% - akcent 6 7 3 2 2" xfId="14942"/>
    <cellStyle name="20% - akcent 6 7 3 2 2 2" xfId="14943"/>
    <cellStyle name="20% - akcent 6 7 3 2 2 2 2" xfId="14944"/>
    <cellStyle name="20% - akcent 6 7 3 2 2 3" xfId="14945"/>
    <cellStyle name="20% - akcent 6 7 3 2 3" xfId="14946"/>
    <cellStyle name="20% - akcent 6 7 3 2 3 2" xfId="14947"/>
    <cellStyle name="20% - akcent 6 7 3 2 3 2 2" xfId="14948"/>
    <cellStyle name="20% - akcent 6 7 3 2 3 3" xfId="14949"/>
    <cellStyle name="20% - akcent 6 7 3 2 4" xfId="14950"/>
    <cellStyle name="20% - akcent 6 7 3 2 4 2" xfId="14951"/>
    <cellStyle name="20% - akcent 6 7 3 2 4 2 2" xfId="14952"/>
    <cellStyle name="20% - akcent 6 7 3 2 4 3" xfId="14953"/>
    <cellStyle name="20% - akcent 6 7 3 2 5" xfId="14954"/>
    <cellStyle name="20% - akcent 6 7 3 2 5 2" xfId="14955"/>
    <cellStyle name="20% - akcent 6 7 3 2 6" xfId="14956"/>
    <cellStyle name="20% - akcent 6 7 3 3" xfId="14957"/>
    <cellStyle name="20% - akcent 6 7 3 3 2" xfId="14958"/>
    <cellStyle name="20% - akcent 6 7 3 3 2 2" xfId="14959"/>
    <cellStyle name="20% - akcent 6 7 3 3 3" xfId="14960"/>
    <cellStyle name="20% - akcent 6 7 3 4" xfId="14961"/>
    <cellStyle name="20% - akcent 6 7 3 4 2" xfId="14962"/>
    <cellStyle name="20% - akcent 6 7 3 4 2 2" xfId="14963"/>
    <cellStyle name="20% - akcent 6 7 3 4 3" xfId="14964"/>
    <cellStyle name="20% - akcent 6 7 3 5" xfId="14965"/>
    <cellStyle name="20% - akcent 6 7 3 5 2" xfId="14966"/>
    <cellStyle name="20% - akcent 6 7 3 5 2 2" xfId="14967"/>
    <cellStyle name="20% - akcent 6 7 3 5 3" xfId="14968"/>
    <cellStyle name="20% - akcent 6 7 3 6" xfId="14969"/>
    <cellStyle name="20% - akcent 6 7 3 6 2" xfId="14970"/>
    <cellStyle name="20% - akcent 6 7 3 7" xfId="14971"/>
    <cellStyle name="20% - akcent 6 7 4" xfId="14972"/>
    <cellStyle name="20% - akcent 6 7 4 2" xfId="14973"/>
    <cellStyle name="20% - akcent 6 7 4 2 2" xfId="14974"/>
    <cellStyle name="20% - akcent 6 7 4 2 2 2" xfId="14975"/>
    <cellStyle name="20% - akcent 6 7 4 2 3" xfId="14976"/>
    <cellStyle name="20% - akcent 6 7 4 3" xfId="14977"/>
    <cellStyle name="20% - akcent 6 7 4 3 2" xfId="14978"/>
    <cellStyle name="20% - akcent 6 7 4 3 2 2" xfId="14979"/>
    <cellStyle name="20% - akcent 6 7 4 3 3" xfId="14980"/>
    <cellStyle name="20% - akcent 6 7 4 4" xfId="14981"/>
    <cellStyle name="20% - akcent 6 7 4 4 2" xfId="14982"/>
    <cellStyle name="20% - akcent 6 7 4 4 2 2" xfId="14983"/>
    <cellStyle name="20% - akcent 6 7 4 4 3" xfId="14984"/>
    <cellStyle name="20% - akcent 6 7 4 5" xfId="14985"/>
    <cellStyle name="20% - akcent 6 7 4 5 2" xfId="14986"/>
    <cellStyle name="20% - akcent 6 7 4 6" xfId="14987"/>
    <cellStyle name="20% - akcent 6 7 5" xfId="14988"/>
    <cellStyle name="20% - akcent 6 7 5 2" xfId="14989"/>
    <cellStyle name="20% - akcent 6 7 5 2 2" xfId="14990"/>
    <cellStyle name="20% - akcent 6 7 5 2 2 2" xfId="14991"/>
    <cellStyle name="20% - akcent 6 7 5 2 3" xfId="14992"/>
    <cellStyle name="20% - akcent 6 7 5 3" xfId="14993"/>
    <cellStyle name="20% - akcent 6 7 5 3 2" xfId="14994"/>
    <cellStyle name="20% - akcent 6 7 5 3 2 2" xfId="14995"/>
    <cellStyle name="20% - akcent 6 7 5 3 3" xfId="14996"/>
    <cellStyle name="20% - akcent 6 7 5 4" xfId="14997"/>
    <cellStyle name="20% - akcent 6 7 5 4 2" xfId="14998"/>
    <cellStyle name="20% - akcent 6 7 5 4 2 2" xfId="14999"/>
    <cellStyle name="20% - akcent 6 7 5 4 3" xfId="15000"/>
    <cellStyle name="20% - akcent 6 7 5 5" xfId="15001"/>
    <cellStyle name="20% - akcent 6 7 5 5 2" xfId="15002"/>
    <cellStyle name="20% - akcent 6 7 5 6" xfId="15003"/>
    <cellStyle name="20% - akcent 6 7 6" xfId="15004"/>
    <cellStyle name="20% - akcent 6 7 7" xfId="15005"/>
    <cellStyle name="20% - akcent 6 7 7 2" xfId="15006"/>
    <cellStyle name="20% - akcent 6 7 7 2 2" xfId="15007"/>
    <cellStyle name="20% - akcent 6 7 7 2 2 2" xfId="15008"/>
    <cellStyle name="20% - akcent 6 7 7 2 3" xfId="15009"/>
    <cellStyle name="20% - akcent 6 7 7 3" xfId="15010"/>
    <cellStyle name="20% - akcent 6 7 7 3 2" xfId="15011"/>
    <cellStyle name="20% - akcent 6 7 7 3 2 2" xfId="15012"/>
    <cellStyle name="20% - akcent 6 7 7 3 3" xfId="15013"/>
    <cellStyle name="20% - akcent 6 7 7 4" xfId="15014"/>
    <cellStyle name="20% - akcent 6 7 7 4 2" xfId="15015"/>
    <cellStyle name="20% - akcent 6 7 7 4 2 2" xfId="15016"/>
    <cellStyle name="20% - akcent 6 7 7 4 3" xfId="15017"/>
    <cellStyle name="20% - akcent 6 7 7 5" xfId="15018"/>
    <cellStyle name="20% - akcent 6 7 7 5 2" xfId="15019"/>
    <cellStyle name="20% - akcent 6 7 7 6" xfId="15020"/>
    <cellStyle name="20% - akcent 6 7_Arkusz1" xfId="15021"/>
    <cellStyle name="20% - akcent 6 8" xfId="15022"/>
    <cellStyle name="20% - akcent 6 8 2" xfId="15023"/>
    <cellStyle name="20% - akcent 6 8 3" xfId="15024"/>
    <cellStyle name="20% - akcent 6 8_Arkusz1" xfId="15025"/>
    <cellStyle name="20% - akcent 6 9" xfId="15026"/>
    <cellStyle name="20% - akcent 6 9 2" xfId="15027"/>
    <cellStyle name="20% - akcent 6 9_Arkusz1" xfId="15028"/>
    <cellStyle name="40% - Accent1" xfId="15029"/>
    <cellStyle name="40% - Accent1 2" xfId="15030"/>
    <cellStyle name="40% - Accent1 2 2" xfId="15031"/>
    <cellStyle name="40% - Accent1 3" xfId="15032"/>
    <cellStyle name="40% - Accent2" xfId="15033"/>
    <cellStyle name="40% - Accent2 2" xfId="15034"/>
    <cellStyle name="40% - Accent2 3" xfId="15035"/>
    <cellStyle name="40% - Accent3" xfId="15036"/>
    <cellStyle name="40% - Accent3 2" xfId="15037"/>
    <cellStyle name="40% - Accent3 2 2" xfId="15038"/>
    <cellStyle name="40% - Accent3 3" xfId="15039"/>
    <cellStyle name="40% - Accent4" xfId="15040"/>
    <cellStyle name="40% - Accent4 2" xfId="15041"/>
    <cellStyle name="40% - Accent4 2 2" xfId="15042"/>
    <cellStyle name="40% - Accent4 3" xfId="15043"/>
    <cellStyle name="40% - Accent5" xfId="15044"/>
    <cellStyle name="40% - Accent5 2" xfId="15045"/>
    <cellStyle name="40% - Accent5 2 2" xfId="15046"/>
    <cellStyle name="40% - Accent5 3" xfId="15047"/>
    <cellStyle name="40% - Accent6" xfId="15048"/>
    <cellStyle name="40% - Accent6 2" xfId="15049"/>
    <cellStyle name="40% - Accent6 2 2" xfId="15050"/>
    <cellStyle name="40% - Accent6 3" xfId="15051"/>
    <cellStyle name="40% - akcent 1 10" xfId="15052"/>
    <cellStyle name="40% - akcent 1 10 2" xfId="15053"/>
    <cellStyle name="40% - akcent 1 10_Arkusz1" xfId="15054"/>
    <cellStyle name="40% - akcent 1 11" xfId="15055"/>
    <cellStyle name="40% - akcent 1 12" xfId="15056"/>
    <cellStyle name="40% - akcent 1 13" xfId="15057"/>
    <cellStyle name="40% - akcent 1 2" xfId="15058"/>
    <cellStyle name="40% - akcent 1 2 10" xfId="15059"/>
    <cellStyle name="40% - akcent 1 2 11" xfId="15060"/>
    <cellStyle name="40% - akcent 1 2 11 2" xfId="15061"/>
    <cellStyle name="40% - akcent 1 2 2" xfId="15062"/>
    <cellStyle name="40% - akcent 1 2 2 2" xfId="15063"/>
    <cellStyle name="40% - akcent 1 2 2 2 2" xfId="15064"/>
    <cellStyle name="40% - akcent 1 2 2 2 2 2" xfId="15065"/>
    <cellStyle name="40% - akcent 1 2 2 2 2 2 2" xfId="15066"/>
    <cellStyle name="40% - akcent 1 2 2 2 2 2 2 2" xfId="15067"/>
    <cellStyle name="40% - akcent 1 2 2 2 2 2 2 2 2" xfId="15068"/>
    <cellStyle name="40% - akcent 1 2 2 2 2 2 2 2 2 2" xfId="15069"/>
    <cellStyle name="40% - akcent 1 2 2 2 2 2 2 2 3" xfId="15070"/>
    <cellStyle name="40% - akcent 1 2 2 2 2 2 2 3" xfId="15071"/>
    <cellStyle name="40% - akcent 1 2 2 2 2 2 2 3 2" xfId="15072"/>
    <cellStyle name="40% - akcent 1 2 2 2 2 2 2 3 2 2" xfId="15073"/>
    <cellStyle name="40% - akcent 1 2 2 2 2 2 2 3 3" xfId="15074"/>
    <cellStyle name="40% - akcent 1 2 2 2 2 2 2 4" xfId="15075"/>
    <cellStyle name="40% - akcent 1 2 2 2 2 2 2 4 2" xfId="15076"/>
    <cellStyle name="40% - akcent 1 2 2 2 2 2 2 4 2 2" xfId="15077"/>
    <cellStyle name="40% - akcent 1 2 2 2 2 2 2 4 3" xfId="15078"/>
    <cellStyle name="40% - akcent 1 2 2 2 2 2 2 5" xfId="15079"/>
    <cellStyle name="40% - akcent 1 2 2 2 2 2 2 5 2" xfId="15080"/>
    <cellStyle name="40% - akcent 1 2 2 2 2 2 2 6" xfId="15081"/>
    <cellStyle name="40% - akcent 1 2 2 2 2 2 3" xfId="15082"/>
    <cellStyle name="40% - akcent 1 2 2 2 2 2 3 2" xfId="15083"/>
    <cellStyle name="40% - akcent 1 2 2 2 2 2 3 2 2" xfId="15084"/>
    <cellStyle name="40% - akcent 1 2 2 2 2 2 3 3" xfId="15085"/>
    <cellStyle name="40% - akcent 1 2 2 2 2 2 4" xfId="15086"/>
    <cellStyle name="40% - akcent 1 2 2 2 2 2 4 2" xfId="15087"/>
    <cellStyle name="40% - akcent 1 2 2 2 2 2 4 2 2" xfId="15088"/>
    <cellStyle name="40% - akcent 1 2 2 2 2 2 4 3" xfId="15089"/>
    <cellStyle name="40% - akcent 1 2 2 2 2 2 5" xfId="15090"/>
    <cellStyle name="40% - akcent 1 2 2 2 2 2 5 2" xfId="15091"/>
    <cellStyle name="40% - akcent 1 2 2 2 2 2 5 2 2" xfId="15092"/>
    <cellStyle name="40% - akcent 1 2 2 2 2 2 5 3" xfId="15093"/>
    <cellStyle name="40% - akcent 1 2 2 2 2 2 6" xfId="15094"/>
    <cellStyle name="40% - akcent 1 2 2 2 2 2 6 2" xfId="15095"/>
    <cellStyle name="40% - akcent 1 2 2 2 2 2 7" xfId="15096"/>
    <cellStyle name="40% - akcent 1 2 2 2 2 3" xfId="15097"/>
    <cellStyle name="40% - akcent 1 2 2 2 2 3 2" xfId="15098"/>
    <cellStyle name="40% - akcent 1 2 2 2 2 3 2 2" xfId="15099"/>
    <cellStyle name="40% - akcent 1 2 2 2 2 3 2 2 2" xfId="15100"/>
    <cellStyle name="40% - akcent 1 2 2 2 2 3 2 3" xfId="15101"/>
    <cellStyle name="40% - akcent 1 2 2 2 2 3 3" xfId="15102"/>
    <cellStyle name="40% - akcent 1 2 2 2 2 3 3 2" xfId="15103"/>
    <cellStyle name="40% - akcent 1 2 2 2 2 3 3 2 2" xfId="15104"/>
    <cellStyle name="40% - akcent 1 2 2 2 2 3 3 3" xfId="15105"/>
    <cellStyle name="40% - akcent 1 2 2 2 2 3 4" xfId="15106"/>
    <cellStyle name="40% - akcent 1 2 2 2 2 3 4 2" xfId="15107"/>
    <cellStyle name="40% - akcent 1 2 2 2 2 3 4 2 2" xfId="15108"/>
    <cellStyle name="40% - akcent 1 2 2 2 2 3 4 3" xfId="15109"/>
    <cellStyle name="40% - akcent 1 2 2 2 2 3 5" xfId="15110"/>
    <cellStyle name="40% - akcent 1 2 2 2 2 3 5 2" xfId="15111"/>
    <cellStyle name="40% - akcent 1 2 2 2 2 3 6" xfId="15112"/>
    <cellStyle name="40% - akcent 1 2 2 2 2 4" xfId="15113"/>
    <cellStyle name="40% - akcent 1 2 2 2 2 4 2" xfId="15114"/>
    <cellStyle name="40% - akcent 1 2 2 2 2 4 2 2" xfId="15115"/>
    <cellStyle name="40% - akcent 1 2 2 2 2 4 2 2 2" xfId="15116"/>
    <cellStyle name="40% - akcent 1 2 2 2 2 4 2 3" xfId="15117"/>
    <cellStyle name="40% - akcent 1 2 2 2 2 4 3" xfId="15118"/>
    <cellStyle name="40% - akcent 1 2 2 2 2 4 3 2" xfId="15119"/>
    <cellStyle name="40% - akcent 1 2 2 2 2 4 3 2 2" xfId="15120"/>
    <cellStyle name="40% - akcent 1 2 2 2 2 4 3 3" xfId="15121"/>
    <cellStyle name="40% - akcent 1 2 2 2 2 4 4" xfId="15122"/>
    <cellStyle name="40% - akcent 1 2 2 2 2 4 4 2" xfId="15123"/>
    <cellStyle name="40% - akcent 1 2 2 2 2 4 4 2 2" xfId="15124"/>
    <cellStyle name="40% - akcent 1 2 2 2 2 4 4 3" xfId="15125"/>
    <cellStyle name="40% - akcent 1 2 2 2 2 4 5" xfId="15126"/>
    <cellStyle name="40% - akcent 1 2 2 2 2 4 5 2" xfId="15127"/>
    <cellStyle name="40% - akcent 1 2 2 2 2 4 6" xfId="15128"/>
    <cellStyle name="40% - akcent 1 2 2 2 2 5" xfId="15129"/>
    <cellStyle name="40% - akcent 1 2 2 2 2 5 2" xfId="15130"/>
    <cellStyle name="40% - akcent 1 2 2 2 2 5 2 2" xfId="15131"/>
    <cellStyle name="40% - akcent 1 2 2 2 2 5 3" xfId="15132"/>
    <cellStyle name="40% - akcent 1 2 2 2 2 6" xfId="15133"/>
    <cellStyle name="40% - akcent 1 2 2 2 2 6 2" xfId="15134"/>
    <cellStyle name="40% - akcent 1 2 2 2 2 6 2 2" xfId="15135"/>
    <cellStyle name="40% - akcent 1 2 2 2 2 6 3" xfId="15136"/>
    <cellStyle name="40% - akcent 1 2 2 2 2 7" xfId="15137"/>
    <cellStyle name="40% - akcent 1 2 2 2 2 7 2" xfId="15138"/>
    <cellStyle name="40% - akcent 1 2 2 2 2 7 2 2" xfId="15139"/>
    <cellStyle name="40% - akcent 1 2 2 2 2 7 3" xfId="15140"/>
    <cellStyle name="40% - akcent 1 2 2 2 2 8" xfId="15141"/>
    <cellStyle name="40% - akcent 1 2 2 2 2 8 2" xfId="15142"/>
    <cellStyle name="40% - akcent 1 2 2 2 2 9" xfId="15143"/>
    <cellStyle name="40% - akcent 1 2 2 2 3" xfId="15144"/>
    <cellStyle name="40% - akcent 1 2 2 2 3 2" xfId="15145"/>
    <cellStyle name="40% - akcent 1 2 2 2 3 2 2" xfId="15146"/>
    <cellStyle name="40% - akcent 1 2 2 2 3 2 2 2" xfId="15147"/>
    <cellStyle name="40% - akcent 1 2 2 2 3 2 2 2 2" xfId="15148"/>
    <cellStyle name="40% - akcent 1 2 2 2 3 2 2 3" xfId="15149"/>
    <cellStyle name="40% - akcent 1 2 2 2 3 2 3" xfId="15150"/>
    <cellStyle name="40% - akcent 1 2 2 2 3 2 3 2" xfId="15151"/>
    <cellStyle name="40% - akcent 1 2 2 2 3 2 3 2 2" xfId="15152"/>
    <cellStyle name="40% - akcent 1 2 2 2 3 2 3 3" xfId="15153"/>
    <cellStyle name="40% - akcent 1 2 2 2 3 2 4" xfId="15154"/>
    <cellStyle name="40% - akcent 1 2 2 2 3 2 4 2" xfId="15155"/>
    <cellStyle name="40% - akcent 1 2 2 2 3 2 4 2 2" xfId="15156"/>
    <cellStyle name="40% - akcent 1 2 2 2 3 2 4 3" xfId="15157"/>
    <cellStyle name="40% - akcent 1 2 2 2 3 2 5" xfId="15158"/>
    <cellStyle name="40% - akcent 1 2 2 2 3 2 5 2" xfId="15159"/>
    <cellStyle name="40% - akcent 1 2 2 2 3 2 6" xfId="15160"/>
    <cellStyle name="40% - akcent 1 2 2 2 3 3" xfId="15161"/>
    <cellStyle name="40% - akcent 1 2 2 2 3 3 2" xfId="15162"/>
    <cellStyle name="40% - akcent 1 2 2 2 3 3 2 2" xfId="15163"/>
    <cellStyle name="40% - akcent 1 2 2 2 3 3 3" xfId="15164"/>
    <cellStyle name="40% - akcent 1 2 2 2 3 4" xfId="15165"/>
    <cellStyle name="40% - akcent 1 2 2 2 3 4 2" xfId="15166"/>
    <cellStyle name="40% - akcent 1 2 2 2 3 4 2 2" xfId="15167"/>
    <cellStyle name="40% - akcent 1 2 2 2 3 4 3" xfId="15168"/>
    <cellStyle name="40% - akcent 1 2 2 2 3 5" xfId="15169"/>
    <cellStyle name="40% - akcent 1 2 2 2 3 5 2" xfId="15170"/>
    <cellStyle name="40% - akcent 1 2 2 2 3 5 2 2" xfId="15171"/>
    <cellStyle name="40% - akcent 1 2 2 2 3 5 3" xfId="15172"/>
    <cellStyle name="40% - akcent 1 2 2 2 3 6" xfId="15173"/>
    <cellStyle name="40% - akcent 1 2 2 2 3 6 2" xfId="15174"/>
    <cellStyle name="40% - akcent 1 2 2 2 3 7" xfId="15175"/>
    <cellStyle name="40% - akcent 1 2 2 2 4" xfId="15176"/>
    <cellStyle name="40% - akcent 1 2 2 2 4 2" xfId="15177"/>
    <cellStyle name="40% - akcent 1 2 2 2 4 2 2" xfId="15178"/>
    <cellStyle name="40% - akcent 1 2 2 2 4 2 2 2" xfId="15179"/>
    <cellStyle name="40% - akcent 1 2 2 2 4 2 3" xfId="15180"/>
    <cellStyle name="40% - akcent 1 2 2 2 4 3" xfId="15181"/>
    <cellStyle name="40% - akcent 1 2 2 2 4 3 2" xfId="15182"/>
    <cellStyle name="40% - akcent 1 2 2 2 4 3 2 2" xfId="15183"/>
    <cellStyle name="40% - akcent 1 2 2 2 4 3 3" xfId="15184"/>
    <cellStyle name="40% - akcent 1 2 2 2 4 4" xfId="15185"/>
    <cellStyle name="40% - akcent 1 2 2 2 4 4 2" xfId="15186"/>
    <cellStyle name="40% - akcent 1 2 2 2 4 4 2 2" xfId="15187"/>
    <cellStyle name="40% - akcent 1 2 2 2 4 4 3" xfId="15188"/>
    <cellStyle name="40% - akcent 1 2 2 2 4 5" xfId="15189"/>
    <cellStyle name="40% - akcent 1 2 2 2 4 5 2" xfId="15190"/>
    <cellStyle name="40% - akcent 1 2 2 2 4 6" xfId="15191"/>
    <cellStyle name="40% - akcent 1 2 2 2 5" xfId="15192"/>
    <cellStyle name="40% - akcent 1 2 2 2 5 2" xfId="15193"/>
    <cellStyle name="40% - akcent 1 2 2 2 5 2 2" xfId="15194"/>
    <cellStyle name="40% - akcent 1 2 2 2 5 2 2 2" xfId="15195"/>
    <cellStyle name="40% - akcent 1 2 2 2 5 2 3" xfId="15196"/>
    <cellStyle name="40% - akcent 1 2 2 2 5 3" xfId="15197"/>
    <cellStyle name="40% - akcent 1 2 2 2 5 3 2" xfId="15198"/>
    <cellStyle name="40% - akcent 1 2 2 2 5 3 2 2" xfId="15199"/>
    <cellStyle name="40% - akcent 1 2 2 2 5 3 3" xfId="15200"/>
    <cellStyle name="40% - akcent 1 2 2 2 5 4" xfId="15201"/>
    <cellStyle name="40% - akcent 1 2 2 2 5 4 2" xfId="15202"/>
    <cellStyle name="40% - akcent 1 2 2 2 5 4 2 2" xfId="15203"/>
    <cellStyle name="40% - akcent 1 2 2 2 5 4 3" xfId="15204"/>
    <cellStyle name="40% - akcent 1 2 2 2 5 5" xfId="15205"/>
    <cellStyle name="40% - akcent 1 2 2 2 5 5 2" xfId="15206"/>
    <cellStyle name="40% - akcent 1 2 2 2 5 6" xfId="15207"/>
    <cellStyle name="40% - akcent 1 2 2 2 6" xfId="15208"/>
    <cellStyle name="40% - akcent 1 2 2 2 6 2" xfId="15209"/>
    <cellStyle name="40% - akcent 1 2 2 2 6 2 2" xfId="15210"/>
    <cellStyle name="40% - akcent 1 2 2 2 6 2 2 2" xfId="15211"/>
    <cellStyle name="40% - akcent 1 2 2 2 6 2 3" xfId="15212"/>
    <cellStyle name="40% - akcent 1 2 2 2 6 3" xfId="15213"/>
    <cellStyle name="40% - akcent 1 2 2 2 6 3 2" xfId="15214"/>
    <cellStyle name="40% - akcent 1 2 2 2 6 3 2 2" xfId="15215"/>
    <cellStyle name="40% - akcent 1 2 2 2 6 3 3" xfId="15216"/>
    <cellStyle name="40% - akcent 1 2 2 2 6 4" xfId="15217"/>
    <cellStyle name="40% - akcent 1 2 2 2 6 4 2" xfId="15218"/>
    <cellStyle name="40% - akcent 1 2 2 2 6 4 2 2" xfId="15219"/>
    <cellStyle name="40% - akcent 1 2 2 2 6 4 3" xfId="15220"/>
    <cellStyle name="40% - akcent 1 2 2 2 6 5" xfId="15221"/>
    <cellStyle name="40% - akcent 1 2 2 2 6 5 2" xfId="15222"/>
    <cellStyle name="40% - akcent 1 2 2 2 6 6" xfId="15223"/>
    <cellStyle name="40% - akcent 1 2 2 3" xfId="15224"/>
    <cellStyle name="40% - akcent 1 2 2 3 2" xfId="15225"/>
    <cellStyle name="40% - akcent 1 2 2 3 2 2" xfId="15226"/>
    <cellStyle name="40% - akcent 1 2 2 3 2 2 2" xfId="15227"/>
    <cellStyle name="40% - akcent 1 2 2 3 2 2 2 2" xfId="15228"/>
    <cellStyle name="40% - akcent 1 2 2 3 2 2 2 2 2" xfId="15229"/>
    <cellStyle name="40% - akcent 1 2 2 3 2 2 2 3" xfId="15230"/>
    <cellStyle name="40% - akcent 1 2 2 3 2 2 3" xfId="15231"/>
    <cellStyle name="40% - akcent 1 2 2 3 2 2 3 2" xfId="15232"/>
    <cellStyle name="40% - akcent 1 2 2 3 2 2 3 2 2" xfId="15233"/>
    <cellStyle name="40% - akcent 1 2 2 3 2 2 3 3" xfId="15234"/>
    <cellStyle name="40% - akcent 1 2 2 3 2 2 4" xfId="15235"/>
    <cellStyle name="40% - akcent 1 2 2 3 2 2 4 2" xfId="15236"/>
    <cellStyle name="40% - akcent 1 2 2 3 2 2 4 2 2" xfId="15237"/>
    <cellStyle name="40% - akcent 1 2 2 3 2 2 4 3" xfId="15238"/>
    <cellStyle name="40% - akcent 1 2 2 3 2 2 5" xfId="15239"/>
    <cellStyle name="40% - akcent 1 2 2 3 2 2 5 2" xfId="15240"/>
    <cellStyle name="40% - akcent 1 2 2 3 2 2 6" xfId="15241"/>
    <cellStyle name="40% - akcent 1 2 2 3 2 3" xfId="15242"/>
    <cellStyle name="40% - akcent 1 2 2 3 2 3 2" xfId="15243"/>
    <cellStyle name="40% - akcent 1 2 2 3 2 3 2 2" xfId="15244"/>
    <cellStyle name="40% - akcent 1 2 2 3 2 3 3" xfId="15245"/>
    <cellStyle name="40% - akcent 1 2 2 3 2 4" xfId="15246"/>
    <cellStyle name="40% - akcent 1 2 2 3 2 4 2" xfId="15247"/>
    <cellStyle name="40% - akcent 1 2 2 3 2 4 2 2" xfId="15248"/>
    <cellStyle name="40% - akcent 1 2 2 3 2 4 3" xfId="15249"/>
    <cellStyle name="40% - akcent 1 2 2 3 2 5" xfId="15250"/>
    <cellStyle name="40% - akcent 1 2 2 3 2 5 2" xfId="15251"/>
    <cellStyle name="40% - akcent 1 2 2 3 2 5 2 2" xfId="15252"/>
    <cellStyle name="40% - akcent 1 2 2 3 2 5 3" xfId="15253"/>
    <cellStyle name="40% - akcent 1 2 2 3 2 6" xfId="15254"/>
    <cellStyle name="40% - akcent 1 2 2 3 2 6 2" xfId="15255"/>
    <cellStyle name="40% - akcent 1 2 2 3 2 7" xfId="15256"/>
    <cellStyle name="40% - akcent 1 2 2 3 3" xfId="15257"/>
    <cellStyle name="40% - akcent 1 2 2 3 3 2" xfId="15258"/>
    <cellStyle name="40% - akcent 1 2 2 3 3 2 2" xfId="15259"/>
    <cellStyle name="40% - akcent 1 2 2 3 3 2 2 2" xfId="15260"/>
    <cellStyle name="40% - akcent 1 2 2 3 3 2 3" xfId="15261"/>
    <cellStyle name="40% - akcent 1 2 2 3 3 3" xfId="15262"/>
    <cellStyle name="40% - akcent 1 2 2 3 3 3 2" xfId="15263"/>
    <cellStyle name="40% - akcent 1 2 2 3 3 3 2 2" xfId="15264"/>
    <cellStyle name="40% - akcent 1 2 2 3 3 3 3" xfId="15265"/>
    <cellStyle name="40% - akcent 1 2 2 3 3 4" xfId="15266"/>
    <cellStyle name="40% - akcent 1 2 2 3 3 4 2" xfId="15267"/>
    <cellStyle name="40% - akcent 1 2 2 3 3 4 2 2" xfId="15268"/>
    <cellStyle name="40% - akcent 1 2 2 3 3 4 3" xfId="15269"/>
    <cellStyle name="40% - akcent 1 2 2 3 3 5" xfId="15270"/>
    <cellStyle name="40% - akcent 1 2 2 3 3 5 2" xfId="15271"/>
    <cellStyle name="40% - akcent 1 2 2 3 3 6" xfId="15272"/>
    <cellStyle name="40% - akcent 1 2 2 3 4" xfId="15273"/>
    <cellStyle name="40% - akcent 1 2 2 3 4 2" xfId="15274"/>
    <cellStyle name="40% - akcent 1 2 2 3 4 2 2" xfId="15275"/>
    <cellStyle name="40% - akcent 1 2 2 3 4 2 2 2" xfId="15276"/>
    <cellStyle name="40% - akcent 1 2 2 3 4 2 3" xfId="15277"/>
    <cellStyle name="40% - akcent 1 2 2 3 4 3" xfId="15278"/>
    <cellStyle name="40% - akcent 1 2 2 3 4 3 2" xfId="15279"/>
    <cellStyle name="40% - akcent 1 2 2 3 4 3 2 2" xfId="15280"/>
    <cellStyle name="40% - akcent 1 2 2 3 4 3 3" xfId="15281"/>
    <cellStyle name="40% - akcent 1 2 2 3 4 4" xfId="15282"/>
    <cellStyle name="40% - akcent 1 2 2 3 4 4 2" xfId="15283"/>
    <cellStyle name="40% - akcent 1 2 2 3 4 4 2 2" xfId="15284"/>
    <cellStyle name="40% - akcent 1 2 2 3 4 4 3" xfId="15285"/>
    <cellStyle name="40% - akcent 1 2 2 3 4 5" xfId="15286"/>
    <cellStyle name="40% - akcent 1 2 2 3 4 5 2" xfId="15287"/>
    <cellStyle name="40% - akcent 1 2 2 3 4 6" xfId="15288"/>
    <cellStyle name="40% - akcent 1 2 2 3 5" xfId="15289"/>
    <cellStyle name="40% - akcent 1 2 2 3 5 2" xfId="15290"/>
    <cellStyle name="40% - akcent 1 2 2 3 5 2 2" xfId="15291"/>
    <cellStyle name="40% - akcent 1 2 2 3 5 2 2 2" xfId="15292"/>
    <cellStyle name="40% - akcent 1 2 2 3 5 2 3" xfId="15293"/>
    <cellStyle name="40% - akcent 1 2 2 3 5 3" xfId="15294"/>
    <cellStyle name="40% - akcent 1 2 2 3 5 3 2" xfId="15295"/>
    <cellStyle name="40% - akcent 1 2 2 3 5 3 2 2" xfId="15296"/>
    <cellStyle name="40% - akcent 1 2 2 3 5 3 3" xfId="15297"/>
    <cellStyle name="40% - akcent 1 2 2 3 5 4" xfId="15298"/>
    <cellStyle name="40% - akcent 1 2 2 3 5 4 2" xfId="15299"/>
    <cellStyle name="40% - akcent 1 2 2 3 5 4 2 2" xfId="15300"/>
    <cellStyle name="40% - akcent 1 2 2 3 5 4 3" xfId="15301"/>
    <cellStyle name="40% - akcent 1 2 2 3 5 5" xfId="15302"/>
    <cellStyle name="40% - akcent 1 2 2 3 5 5 2" xfId="15303"/>
    <cellStyle name="40% - akcent 1 2 2 3 5 6" xfId="15304"/>
    <cellStyle name="40% - akcent 1 2 2 4" xfId="15305"/>
    <cellStyle name="40% - akcent 1 2 2 4 2" xfId="15306"/>
    <cellStyle name="40% - akcent 1 2 2 4 2 2" xfId="15307"/>
    <cellStyle name="40% - akcent 1 2 2 4 2 2 2" xfId="15308"/>
    <cellStyle name="40% - akcent 1 2 2 4 2 2 2 2" xfId="15309"/>
    <cellStyle name="40% - akcent 1 2 2 4 2 2 3" xfId="15310"/>
    <cellStyle name="40% - akcent 1 2 2 4 2 3" xfId="15311"/>
    <cellStyle name="40% - akcent 1 2 2 4 2 3 2" xfId="15312"/>
    <cellStyle name="40% - akcent 1 2 2 4 2 3 2 2" xfId="15313"/>
    <cellStyle name="40% - akcent 1 2 2 4 2 3 3" xfId="15314"/>
    <cellStyle name="40% - akcent 1 2 2 4 2 4" xfId="15315"/>
    <cellStyle name="40% - akcent 1 2 2 4 2 4 2" xfId="15316"/>
    <cellStyle name="40% - akcent 1 2 2 4 2 4 2 2" xfId="15317"/>
    <cellStyle name="40% - akcent 1 2 2 4 2 4 3" xfId="15318"/>
    <cellStyle name="40% - akcent 1 2 2 4 2 5" xfId="15319"/>
    <cellStyle name="40% - akcent 1 2 2 4 2 5 2" xfId="15320"/>
    <cellStyle name="40% - akcent 1 2 2 4 2 6" xfId="15321"/>
    <cellStyle name="40% - akcent 1 2 2 4 3" xfId="15322"/>
    <cellStyle name="40% - akcent 1 2 2 4 3 2" xfId="15323"/>
    <cellStyle name="40% - akcent 1 2 2 4 3 2 2" xfId="15324"/>
    <cellStyle name="40% - akcent 1 2 2 4 3 3" xfId="15325"/>
    <cellStyle name="40% - akcent 1 2 2 4 4" xfId="15326"/>
    <cellStyle name="40% - akcent 1 2 2 4 4 2" xfId="15327"/>
    <cellStyle name="40% - akcent 1 2 2 4 4 2 2" xfId="15328"/>
    <cellStyle name="40% - akcent 1 2 2 4 4 3" xfId="15329"/>
    <cellStyle name="40% - akcent 1 2 2 4 5" xfId="15330"/>
    <cellStyle name="40% - akcent 1 2 2 4 5 2" xfId="15331"/>
    <cellStyle name="40% - akcent 1 2 2 4 5 2 2" xfId="15332"/>
    <cellStyle name="40% - akcent 1 2 2 4 5 3" xfId="15333"/>
    <cellStyle name="40% - akcent 1 2 2 4 6" xfId="15334"/>
    <cellStyle name="40% - akcent 1 2 2 4 6 2" xfId="15335"/>
    <cellStyle name="40% - akcent 1 2 2 4 7" xfId="15336"/>
    <cellStyle name="40% - akcent 1 2 2 5" xfId="15337"/>
    <cellStyle name="40% - akcent 1 2 2 5 2" xfId="15338"/>
    <cellStyle name="40% - akcent 1 2 2 5 2 2" xfId="15339"/>
    <cellStyle name="40% - akcent 1 2 2 5 2 2 2" xfId="15340"/>
    <cellStyle name="40% - akcent 1 2 2 5 2 3" xfId="15341"/>
    <cellStyle name="40% - akcent 1 2 2 5 3" xfId="15342"/>
    <cellStyle name="40% - akcent 1 2 2 5 3 2" xfId="15343"/>
    <cellStyle name="40% - akcent 1 2 2 5 3 2 2" xfId="15344"/>
    <cellStyle name="40% - akcent 1 2 2 5 3 3" xfId="15345"/>
    <cellStyle name="40% - akcent 1 2 2 5 4" xfId="15346"/>
    <cellStyle name="40% - akcent 1 2 2 5 4 2" xfId="15347"/>
    <cellStyle name="40% - akcent 1 2 2 5 4 2 2" xfId="15348"/>
    <cellStyle name="40% - akcent 1 2 2 5 4 3" xfId="15349"/>
    <cellStyle name="40% - akcent 1 2 2 5 5" xfId="15350"/>
    <cellStyle name="40% - akcent 1 2 2 5 5 2" xfId="15351"/>
    <cellStyle name="40% - akcent 1 2 2 5 6" xfId="15352"/>
    <cellStyle name="40% - akcent 1 2 2 6" xfId="15353"/>
    <cellStyle name="40% - akcent 1 2 2 6 2" xfId="15354"/>
    <cellStyle name="40% - akcent 1 2 2 6 2 2" xfId="15355"/>
    <cellStyle name="40% - akcent 1 2 2 6 2 2 2" xfId="15356"/>
    <cellStyle name="40% - akcent 1 2 2 6 2 3" xfId="15357"/>
    <cellStyle name="40% - akcent 1 2 2 6 3" xfId="15358"/>
    <cellStyle name="40% - akcent 1 2 2 6 3 2" xfId="15359"/>
    <cellStyle name="40% - akcent 1 2 2 6 3 2 2" xfId="15360"/>
    <cellStyle name="40% - akcent 1 2 2 6 3 3" xfId="15361"/>
    <cellStyle name="40% - akcent 1 2 2 6 4" xfId="15362"/>
    <cellStyle name="40% - akcent 1 2 2 6 4 2" xfId="15363"/>
    <cellStyle name="40% - akcent 1 2 2 6 4 2 2" xfId="15364"/>
    <cellStyle name="40% - akcent 1 2 2 6 4 3" xfId="15365"/>
    <cellStyle name="40% - akcent 1 2 2 6 5" xfId="15366"/>
    <cellStyle name="40% - akcent 1 2 2 6 5 2" xfId="15367"/>
    <cellStyle name="40% - akcent 1 2 2 6 6" xfId="15368"/>
    <cellStyle name="40% - akcent 1 2 2 7" xfId="15369"/>
    <cellStyle name="40% - akcent 1 2 2 8" xfId="15370"/>
    <cellStyle name="40% - akcent 1 2 2 8 2" xfId="15371"/>
    <cellStyle name="40% - akcent 1 2 2 8 2 2" xfId="15372"/>
    <cellStyle name="40% - akcent 1 2 2 8 2 2 2" xfId="15373"/>
    <cellStyle name="40% - akcent 1 2 2 8 2 3" xfId="15374"/>
    <cellStyle name="40% - akcent 1 2 2 8 3" xfId="15375"/>
    <cellStyle name="40% - akcent 1 2 2 8 3 2" xfId="15376"/>
    <cellStyle name="40% - akcent 1 2 2 8 3 2 2" xfId="15377"/>
    <cellStyle name="40% - akcent 1 2 2 8 3 3" xfId="15378"/>
    <cellStyle name="40% - akcent 1 2 2 8 4" xfId="15379"/>
    <cellStyle name="40% - akcent 1 2 2 8 4 2" xfId="15380"/>
    <cellStyle name="40% - akcent 1 2 2 8 4 2 2" xfId="15381"/>
    <cellStyle name="40% - akcent 1 2 2 8 4 3" xfId="15382"/>
    <cellStyle name="40% - akcent 1 2 2 8 5" xfId="15383"/>
    <cellStyle name="40% - akcent 1 2 2 8 5 2" xfId="15384"/>
    <cellStyle name="40% - akcent 1 2 2 8 6" xfId="15385"/>
    <cellStyle name="40% - akcent 1 2 2_2011'05 Raport PGE_DO-CO2" xfId="15386"/>
    <cellStyle name="40% - akcent 1 2 3" xfId="15387"/>
    <cellStyle name="40% - akcent 1 2 3 2" xfId="15388"/>
    <cellStyle name="40% - akcent 1 2 3 2 2" xfId="15389"/>
    <cellStyle name="40% - akcent 1 2 3 2 2 2" xfId="15390"/>
    <cellStyle name="40% - akcent 1 2 3 2 2 2 2" xfId="15391"/>
    <cellStyle name="40% - akcent 1 2 3 2 2 2 2 2" xfId="15392"/>
    <cellStyle name="40% - akcent 1 2 3 2 2 2 2 2 2" xfId="15393"/>
    <cellStyle name="40% - akcent 1 2 3 2 2 2 2 3" xfId="15394"/>
    <cellStyle name="40% - akcent 1 2 3 2 2 2 3" xfId="15395"/>
    <cellStyle name="40% - akcent 1 2 3 2 2 2 3 2" xfId="15396"/>
    <cellStyle name="40% - akcent 1 2 3 2 2 2 3 2 2" xfId="15397"/>
    <cellStyle name="40% - akcent 1 2 3 2 2 2 3 3" xfId="15398"/>
    <cellStyle name="40% - akcent 1 2 3 2 2 2 4" xfId="15399"/>
    <cellStyle name="40% - akcent 1 2 3 2 2 2 4 2" xfId="15400"/>
    <cellStyle name="40% - akcent 1 2 3 2 2 2 4 2 2" xfId="15401"/>
    <cellStyle name="40% - akcent 1 2 3 2 2 2 4 3" xfId="15402"/>
    <cellStyle name="40% - akcent 1 2 3 2 2 2 5" xfId="15403"/>
    <cellStyle name="40% - akcent 1 2 3 2 2 2 5 2" xfId="15404"/>
    <cellStyle name="40% - akcent 1 2 3 2 2 2 6" xfId="15405"/>
    <cellStyle name="40% - akcent 1 2 3 2 2 3" xfId="15406"/>
    <cellStyle name="40% - akcent 1 2 3 2 2 3 2" xfId="15407"/>
    <cellStyle name="40% - akcent 1 2 3 2 2 3 2 2" xfId="15408"/>
    <cellStyle name="40% - akcent 1 2 3 2 2 3 3" xfId="15409"/>
    <cellStyle name="40% - akcent 1 2 3 2 2 4" xfId="15410"/>
    <cellStyle name="40% - akcent 1 2 3 2 2 4 2" xfId="15411"/>
    <cellStyle name="40% - akcent 1 2 3 2 2 4 2 2" xfId="15412"/>
    <cellStyle name="40% - akcent 1 2 3 2 2 4 3" xfId="15413"/>
    <cellStyle name="40% - akcent 1 2 3 2 2 5" xfId="15414"/>
    <cellStyle name="40% - akcent 1 2 3 2 2 5 2" xfId="15415"/>
    <cellStyle name="40% - akcent 1 2 3 2 2 5 2 2" xfId="15416"/>
    <cellStyle name="40% - akcent 1 2 3 2 2 5 3" xfId="15417"/>
    <cellStyle name="40% - akcent 1 2 3 2 2 6" xfId="15418"/>
    <cellStyle name="40% - akcent 1 2 3 2 2 6 2" xfId="15419"/>
    <cellStyle name="40% - akcent 1 2 3 2 2 7" xfId="15420"/>
    <cellStyle name="40% - akcent 1 2 3 2 3" xfId="15421"/>
    <cellStyle name="40% - akcent 1 2 3 2 3 2" xfId="15422"/>
    <cellStyle name="40% - akcent 1 2 3 2 3 2 2" xfId="15423"/>
    <cellStyle name="40% - akcent 1 2 3 2 3 2 2 2" xfId="15424"/>
    <cellStyle name="40% - akcent 1 2 3 2 3 2 3" xfId="15425"/>
    <cellStyle name="40% - akcent 1 2 3 2 3 3" xfId="15426"/>
    <cellStyle name="40% - akcent 1 2 3 2 3 3 2" xfId="15427"/>
    <cellStyle name="40% - akcent 1 2 3 2 3 3 2 2" xfId="15428"/>
    <cellStyle name="40% - akcent 1 2 3 2 3 3 3" xfId="15429"/>
    <cellStyle name="40% - akcent 1 2 3 2 3 4" xfId="15430"/>
    <cellStyle name="40% - akcent 1 2 3 2 3 4 2" xfId="15431"/>
    <cellStyle name="40% - akcent 1 2 3 2 3 4 2 2" xfId="15432"/>
    <cellStyle name="40% - akcent 1 2 3 2 3 4 3" xfId="15433"/>
    <cellStyle name="40% - akcent 1 2 3 2 3 5" xfId="15434"/>
    <cellStyle name="40% - akcent 1 2 3 2 3 5 2" xfId="15435"/>
    <cellStyle name="40% - akcent 1 2 3 2 3 6" xfId="15436"/>
    <cellStyle name="40% - akcent 1 2 3 2 4" xfId="15437"/>
    <cellStyle name="40% - akcent 1 2 3 2 4 2" xfId="15438"/>
    <cellStyle name="40% - akcent 1 2 3 2 4 2 2" xfId="15439"/>
    <cellStyle name="40% - akcent 1 2 3 2 4 2 2 2" xfId="15440"/>
    <cellStyle name="40% - akcent 1 2 3 2 4 2 3" xfId="15441"/>
    <cellStyle name="40% - akcent 1 2 3 2 4 3" xfId="15442"/>
    <cellStyle name="40% - akcent 1 2 3 2 4 3 2" xfId="15443"/>
    <cellStyle name="40% - akcent 1 2 3 2 4 3 2 2" xfId="15444"/>
    <cellStyle name="40% - akcent 1 2 3 2 4 3 3" xfId="15445"/>
    <cellStyle name="40% - akcent 1 2 3 2 4 4" xfId="15446"/>
    <cellStyle name="40% - akcent 1 2 3 2 4 4 2" xfId="15447"/>
    <cellStyle name="40% - akcent 1 2 3 2 4 4 2 2" xfId="15448"/>
    <cellStyle name="40% - akcent 1 2 3 2 4 4 3" xfId="15449"/>
    <cellStyle name="40% - akcent 1 2 3 2 4 5" xfId="15450"/>
    <cellStyle name="40% - akcent 1 2 3 2 4 5 2" xfId="15451"/>
    <cellStyle name="40% - akcent 1 2 3 2 4 6" xfId="15452"/>
    <cellStyle name="40% - akcent 1 2 3 2 5" xfId="15453"/>
    <cellStyle name="40% - akcent 1 2 3 2 5 2" xfId="15454"/>
    <cellStyle name="40% - akcent 1 2 3 2 5 2 2" xfId="15455"/>
    <cellStyle name="40% - akcent 1 2 3 2 5 2 2 2" xfId="15456"/>
    <cellStyle name="40% - akcent 1 2 3 2 5 2 3" xfId="15457"/>
    <cellStyle name="40% - akcent 1 2 3 2 5 3" xfId="15458"/>
    <cellStyle name="40% - akcent 1 2 3 2 5 3 2" xfId="15459"/>
    <cellStyle name="40% - akcent 1 2 3 2 5 3 2 2" xfId="15460"/>
    <cellStyle name="40% - akcent 1 2 3 2 5 3 3" xfId="15461"/>
    <cellStyle name="40% - akcent 1 2 3 2 5 4" xfId="15462"/>
    <cellStyle name="40% - akcent 1 2 3 2 5 4 2" xfId="15463"/>
    <cellStyle name="40% - akcent 1 2 3 2 5 4 2 2" xfId="15464"/>
    <cellStyle name="40% - akcent 1 2 3 2 5 4 3" xfId="15465"/>
    <cellStyle name="40% - akcent 1 2 3 2 5 5" xfId="15466"/>
    <cellStyle name="40% - akcent 1 2 3 2 5 5 2" xfId="15467"/>
    <cellStyle name="40% - akcent 1 2 3 2 5 6" xfId="15468"/>
    <cellStyle name="40% - akcent 1 2 3 3" xfId="15469"/>
    <cellStyle name="40% - akcent 1 2 3 3 2" xfId="15470"/>
    <cellStyle name="40% - akcent 1 2 3 3 2 2" xfId="15471"/>
    <cellStyle name="40% - akcent 1 2 3 3 2 2 2" xfId="15472"/>
    <cellStyle name="40% - akcent 1 2 3 3 2 2 2 2" xfId="15473"/>
    <cellStyle name="40% - akcent 1 2 3 3 2 2 3" xfId="15474"/>
    <cellStyle name="40% - akcent 1 2 3 3 2 3" xfId="15475"/>
    <cellStyle name="40% - akcent 1 2 3 3 2 3 2" xfId="15476"/>
    <cellStyle name="40% - akcent 1 2 3 3 2 3 2 2" xfId="15477"/>
    <cellStyle name="40% - akcent 1 2 3 3 2 3 3" xfId="15478"/>
    <cellStyle name="40% - akcent 1 2 3 3 2 4" xfId="15479"/>
    <cellStyle name="40% - akcent 1 2 3 3 2 4 2" xfId="15480"/>
    <cellStyle name="40% - akcent 1 2 3 3 2 4 2 2" xfId="15481"/>
    <cellStyle name="40% - akcent 1 2 3 3 2 4 3" xfId="15482"/>
    <cellStyle name="40% - akcent 1 2 3 3 2 5" xfId="15483"/>
    <cellStyle name="40% - akcent 1 2 3 3 2 5 2" xfId="15484"/>
    <cellStyle name="40% - akcent 1 2 3 3 2 6" xfId="15485"/>
    <cellStyle name="40% - akcent 1 2 3 3 3" xfId="15486"/>
    <cellStyle name="40% - akcent 1 2 3 3 3 2" xfId="15487"/>
    <cellStyle name="40% - akcent 1 2 3 3 3 2 2" xfId="15488"/>
    <cellStyle name="40% - akcent 1 2 3 3 3 3" xfId="15489"/>
    <cellStyle name="40% - akcent 1 2 3 3 4" xfId="15490"/>
    <cellStyle name="40% - akcent 1 2 3 3 4 2" xfId="15491"/>
    <cellStyle name="40% - akcent 1 2 3 3 4 2 2" xfId="15492"/>
    <cellStyle name="40% - akcent 1 2 3 3 4 3" xfId="15493"/>
    <cellStyle name="40% - akcent 1 2 3 3 5" xfId="15494"/>
    <cellStyle name="40% - akcent 1 2 3 3 5 2" xfId="15495"/>
    <cellStyle name="40% - akcent 1 2 3 3 5 2 2" xfId="15496"/>
    <cellStyle name="40% - akcent 1 2 3 3 5 3" xfId="15497"/>
    <cellStyle name="40% - akcent 1 2 3 3 6" xfId="15498"/>
    <cellStyle name="40% - akcent 1 2 3 3 6 2" xfId="15499"/>
    <cellStyle name="40% - akcent 1 2 3 3 7" xfId="15500"/>
    <cellStyle name="40% - akcent 1 2 3 4" xfId="15501"/>
    <cellStyle name="40% - akcent 1 2 3 4 2" xfId="15502"/>
    <cellStyle name="40% - akcent 1 2 3 4 2 2" xfId="15503"/>
    <cellStyle name="40% - akcent 1 2 3 4 2 2 2" xfId="15504"/>
    <cellStyle name="40% - akcent 1 2 3 4 2 3" xfId="15505"/>
    <cellStyle name="40% - akcent 1 2 3 4 3" xfId="15506"/>
    <cellStyle name="40% - akcent 1 2 3 4 3 2" xfId="15507"/>
    <cellStyle name="40% - akcent 1 2 3 4 3 2 2" xfId="15508"/>
    <cellStyle name="40% - akcent 1 2 3 4 3 3" xfId="15509"/>
    <cellStyle name="40% - akcent 1 2 3 4 4" xfId="15510"/>
    <cellStyle name="40% - akcent 1 2 3 4 4 2" xfId="15511"/>
    <cellStyle name="40% - akcent 1 2 3 4 4 2 2" xfId="15512"/>
    <cellStyle name="40% - akcent 1 2 3 4 4 3" xfId="15513"/>
    <cellStyle name="40% - akcent 1 2 3 4 5" xfId="15514"/>
    <cellStyle name="40% - akcent 1 2 3 4 5 2" xfId="15515"/>
    <cellStyle name="40% - akcent 1 2 3 4 6" xfId="15516"/>
    <cellStyle name="40% - akcent 1 2 3 5" xfId="15517"/>
    <cellStyle name="40% - akcent 1 2 3 5 2" xfId="15518"/>
    <cellStyle name="40% - akcent 1 2 3 5 2 2" xfId="15519"/>
    <cellStyle name="40% - akcent 1 2 3 5 2 2 2" xfId="15520"/>
    <cellStyle name="40% - akcent 1 2 3 5 2 3" xfId="15521"/>
    <cellStyle name="40% - akcent 1 2 3 5 3" xfId="15522"/>
    <cellStyle name="40% - akcent 1 2 3 5 3 2" xfId="15523"/>
    <cellStyle name="40% - akcent 1 2 3 5 3 2 2" xfId="15524"/>
    <cellStyle name="40% - akcent 1 2 3 5 3 3" xfId="15525"/>
    <cellStyle name="40% - akcent 1 2 3 5 4" xfId="15526"/>
    <cellStyle name="40% - akcent 1 2 3 5 4 2" xfId="15527"/>
    <cellStyle name="40% - akcent 1 2 3 5 4 2 2" xfId="15528"/>
    <cellStyle name="40% - akcent 1 2 3 5 4 3" xfId="15529"/>
    <cellStyle name="40% - akcent 1 2 3 5 5" xfId="15530"/>
    <cellStyle name="40% - akcent 1 2 3 5 5 2" xfId="15531"/>
    <cellStyle name="40% - akcent 1 2 3 5 6" xfId="15532"/>
    <cellStyle name="40% - akcent 1 2 3 6" xfId="15533"/>
    <cellStyle name="40% - akcent 1 2 3 6 2" xfId="15534"/>
    <cellStyle name="40% - akcent 1 2 3 6 2 2" xfId="15535"/>
    <cellStyle name="40% - akcent 1 2 3 6 2 2 2" xfId="15536"/>
    <cellStyle name="40% - akcent 1 2 3 6 2 3" xfId="15537"/>
    <cellStyle name="40% - akcent 1 2 3 6 3" xfId="15538"/>
    <cellStyle name="40% - akcent 1 2 3 6 3 2" xfId="15539"/>
    <cellStyle name="40% - akcent 1 2 3 6 3 2 2" xfId="15540"/>
    <cellStyle name="40% - akcent 1 2 3 6 3 3" xfId="15541"/>
    <cellStyle name="40% - akcent 1 2 3 6 4" xfId="15542"/>
    <cellStyle name="40% - akcent 1 2 3 6 4 2" xfId="15543"/>
    <cellStyle name="40% - akcent 1 2 3 6 4 2 2" xfId="15544"/>
    <cellStyle name="40% - akcent 1 2 3 6 4 3" xfId="15545"/>
    <cellStyle name="40% - akcent 1 2 3 6 5" xfId="15546"/>
    <cellStyle name="40% - akcent 1 2 3 6 5 2" xfId="15547"/>
    <cellStyle name="40% - akcent 1 2 3 6 6" xfId="15548"/>
    <cellStyle name="40% - akcent 1 2 3_2011'05 Raport PGE_DO-CO2" xfId="15549"/>
    <cellStyle name="40% - akcent 1 2 4" xfId="15550"/>
    <cellStyle name="40% - akcent 1 2 4 2" xfId="15551"/>
    <cellStyle name="40% - akcent 1 2 4 2 2" xfId="15552"/>
    <cellStyle name="40% - akcent 1 2 4 2 2 2" xfId="15553"/>
    <cellStyle name="40% - akcent 1 2 4 2 2 2 2" xfId="15554"/>
    <cellStyle name="40% - akcent 1 2 4 2 2 2 2 2" xfId="15555"/>
    <cellStyle name="40% - akcent 1 2 4 2 2 2 2 2 2" xfId="15556"/>
    <cellStyle name="40% - akcent 1 2 4 2 2 2 2 3" xfId="15557"/>
    <cellStyle name="40% - akcent 1 2 4 2 2 2 3" xfId="15558"/>
    <cellStyle name="40% - akcent 1 2 4 2 2 2 3 2" xfId="15559"/>
    <cellStyle name="40% - akcent 1 2 4 2 2 2 3 2 2" xfId="15560"/>
    <cellStyle name="40% - akcent 1 2 4 2 2 2 3 3" xfId="15561"/>
    <cellStyle name="40% - akcent 1 2 4 2 2 2 4" xfId="15562"/>
    <cellStyle name="40% - akcent 1 2 4 2 2 2 4 2" xfId="15563"/>
    <cellStyle name="40% - akcent 1 2 4 2 2 2 4 2 2" xfId="15564"/>
    <cellStyle name="40% - akcent 1 2 4 2 2 2 4 3" xfId="15565"/>
    <cellStyle name="40% - akcent 1 2 4 2 2 2 5" xfId="15566"/>
    <cellStyle name="40% - akcent 1 2 4 2 2 2 5 2" xfId="15567"/>
    <cellStyle name="40% - akcent 1 2 4 2 2 2 6" xfId="15568"/>
    <cellStyle name="40% - akcent 1 2 4 2 2 3" xfId="15569"/>
    <cellStyle name="40% - akcent 1 2 4 2 2 3 2" xfId="15570"/>
    <cellStyle name="40% - akcent 1 2 4 2 2 3 2 2" xfId="15571"/>
    <cellStyle name="40% - akcent 1 2 4 2 2 3 3" xfId="15572"/>
    <cellStyle name="40% - akcent 1 2 4 2 2 4" xfId="15573"/>
    <cellStyle name="40% - akcent 1 2 4 2 2 4 2" xfId="15574"/>
    <cellStyle name="40% - akcent 1 2 4 2 2 4 2 2" xfId="15575"/>
    <cellStyle name="40% - akcent 1 2 4 2 2 4 3" xfId="15576"/>
    <cellStyle name="40% - akcent 1 2 4 2 2 5" xfId="15577"/>
    <cellStyle name="40% - akcent 1 2 4 2 2 5 2" xfId="15578"/>
    <cellStyle name="40% - akcent 1 2 4 2 2 5 2 2" xfId="15579"/>
    <cellStyle name="40% - akcent 1 2 4 2 2 5 3" xfId="15580"/>
    <cellStyle name="40% - akcent 1 2 4 2 2 6" xfId="15581"/>
    <cellStyle name="40% - akcent 1 2 4 2 2 6 2" xfId="15582"/>
    <cellStyle name="40% - akcent 1 2 4 2 2 7" xfId="15583"/>
    <cellStyle name="40% - akcent 1 2 4 2 3" xfId="15584"/>
    <cellStyle name="40% - akcent 1 2 4 2 3 2" xfId="15585"/>
    <cellStyle name="40% - akcent 1 2 4 2 3 2 2" xfId="15586"/>
    <cellStyle name="40% - akcent 1 2 4 2 3 2 2 2" xfId="15587"/>
    <cellStyle name="40% - akcent 1 2 4 2 3 2 3" xfId="15588"/>
    <cellStyle name="40% - akcent 1 2 4 2 3 3" xfId="15589"/>
    <cellStyle name="40% - akcent 1 2 4 2 3 3 2" xfId="15590"/>
    <cellStyle name="40% - akcent 1 2 4 2 3 3 2 2" xfId="15591"/>
    <cellStyle name="40% - akcent 1 2 4 2 3 3 3" xfId="15592"/>
    <cellStyle name="40% - akcent 1 2 4 2 3 4" xfId="15593"/>
    <cellStyle name="40% - akcent 1 2 4 2 3 4 2" xfId="15594"/>
    <cellStyle name="40% - akcent 1 2 4 2 3 4 2 2" xfId="15595"/>
    <cellStyle name="40% - akcent 1 2 4 2 3 4 3" xfId="15596"/>
    <cellStyle name="40% - akcent 1 2 4 2 3 5" xfId="15597"/>
    <cellStyle name="40% - akcent 1 2 4 2 3 5 2" xfId="15598"/>
    <cellStyle name="40% - akcent 1 2 4 2 3 6" xfId="15599"/>
    <cellStyle name="40% - akcent 1 2 4 2 4" xfId="15600"/>
    <cellStyle name="40% - akcent 1 2 4 2 4 2" xfId="15601"/>
    <cellStyle name="40% - akcent 1 2 4 2 4 2 2" xfId="15602"/>
    <cellStyle name="40% - akcent 1 2 4 2 4 2 2 2" xfId="15603"/>
    <cellStyle name="40% - akcent 1 2 4 2 4 2 3" xfId="15604"/>
    <cellStyle name="40% - akcent 1 2 4 2 4 3" xfId="15605"/>
    <cellStyle name="40% - akcent 1 2 4 2 4 3 2" xfId="15606"/>
    <cellStyle name="40% - akcent 1 2 4 2 4 3 2 2" xfId="15607"/>
    <cellStyle name="40% - akcent 1 2 4 2 4 3 3" xfId="15608"/>
    <cellStyle name="40% - akcent 1 2 4 2 4 4" xfId="15609"/>
    <cellStyle name="40% - akcent 1 2 4 2 4 4 2" xfId="15610"/>
    <cellStyle name="40% - akcent 1 2 4 2 4 4 2 2" xfId="15611"/>
    <cellStyle name="40% - akcent 1 2 4 2 4 4 3" xfId="15612"/>
    <cellStyle name="40% - akcent 1 2 4 2 4 5" xfId="15613"/>
    <cellStyle name="40% - akcent 1 2 4 2 4 5 2" xfId="15614"/>
    <cellStyle name="40% - akcent 1 2 4 2 4 6" xfId="15615"/>
    <cellStyle name="40% - akcent 1 2 4 2 5" xfId="15616"/>
    <cellStyle name="40% - akcent 1 2 4 2 5 2" xfId="15617"/>
    <cellStyle name="40% - akcent 1 2 4 2 5 2 2" xfId="15618"/>
    <cellStyle name="40% - akcent 1 2 4 2 5 3" xfId="15619"/>
    <cellStyle name="40% - akcent 1 2 4 2 6" xfId="15620"/>
    <cellStyle name="40% - akcent 1 2 4 2 6 2" xfId="15621"/>
    <cellStyle name="40% - akcent 1 2 4 2 6 2 2" xfId="15622"/>
    <cellStyle name="40% - akcent 1 2 4 2 6 3" xfId="15623"/>
    <cellStyle name="40% - akcent 1 2 4 2 7" xfId="15624"/>
    <cellStyle name="40% - akcent 1 2 4 2 7 2" xfId="15625"/>
    <cellStyle name="40% - akcent 1 2 4 2 7 2 2" xfId="15626"/>
    <cellStyle name="40% - akcent 1 2 4 2 7 3" xfId="15627"/>
    <cellStyle name="40% - akcent 1 2 4 2 8" xfId="15628"/>
    <cellStyle name="40% - akcent 1 2 4 2 8 2" xfId="15629"/>
    <cellStyle name="40% - akcent 1 2 4 2 9" xfId="15630"/>
    <cellStyle name="40% - akcent 1 2 4 3" xfId="15631"/>
    <cellStyle name="40% - akcent 1 2 4 3 2" xfId="15632"/>
    <cellStyle name="40% - akcent 1 2 4 3 2 2" xfId="15633"/>
    <cellStyle name="40% - akcent 1 2 4 3 2 2 2" xfId="15634"/>
    <cellStyle name="40% - akcent 1 2 4 3 2 2 2 2" xfId="15635"/>
    <cellStyle name="40% - akcent 1 2 4 3 2 2 3" xfId="15636"/>
    <cellStyle name="40% - akcent 1 2 4 3 2 3" xfId="15637"/>
    <cellStyle name="40% - akcent 1 2 4 3 2 3 2" xfId="15638"/>
    <cellStyle name="40% - akcent 1 2 4 3 2 3 2 2" xfId="15639"/>
    <cellStyle name="40% - akcent 1 2 4 3 2 3 3" xfId="15640"/>
    <cellStyle name="40% - akcent 1 2 4 3 2 4" xfId="15641"/>
    <cellStyle name="40% - akcent 1 2 4 3 2 4 2" xfId="15642"/>
    <cellStyle name="40% - akcent 1 2 4 3 2 4 2 2" xfId="15643"/>
    <cellStyle name="40% - akcent 1 2 4 3 2 4 3" xfId="15644"/>
    <cellStyle name="40% - akcent 1 2 4 3 2 5" xfId="15645"/>
    <cellStyle name="40% - akcent 1 2 4 3 2 5 2" xfId="15646"/>
    <cellStyle name="40% - akcent 1 2 4 3 2 6" xfId="15647"/>
    <cellStyle name="40% - akcent 1 2 4 3 3" xfId="15648"/>
    <cellStyle name="40% - akcent 1 2 4 3 3 2" xfId="15649"/>
    <cellStyle name="40% - akcent 1 2 4 3 3 2 2" xfId="15650"/>
    <cellStyle name="40% - akcent 1 2 4 3 3 3" xfId="15651"/>
    <cellStyle name="40% - akcent 1 2 4 3 4" xfId="15652"/>
    <cellStyle name="40% - akcent 1 2 4 3 4 2" xfId="15653"/>
    <cellStyle name="40% - akcent 1 2 4 3 4 2 2" xfId="15654"/>
    <cellStyle name="40% - akcent 1 2 4 3 4 3" xfId="15655"/>
    <cellStyle name="40% - akcent 1 2 4 3 5" xfId="15656"/>
    <cellStyle name="40% - akcent 1 2 4 3 5 2" xfId="15657"/>
    <cellStyle name="40% - akcent 1 2 4 3 5 2 2" xfId="15658"/>
    <cellStyle name="40% - akcent 1 2 4 3 5 3" xfId="15659"/>
    <cellStyle name="40% - akcent 1 2 4 3 6" xfId="15660"/>
    <cellStyle name="40% - akcent 1 2 4 3 6 2" xfId="15661"/>
    <cellStyle name="40% - akcent 1 2 4 3 7" xfId="15662"/>
    <cellStyle name="40% - akcent 1 2 4 4" xfId="15663"/>
    <cellStyle name="40% - akcent 1 2 4 4 2" xfId="15664"/>
    <cellStyle name="40% - akcent 1 2 4 4 2 2" xfId="15665"/>
    <cellStyle name="40% - akcent 1 2 4 4 2 2 2" xfId="15666"/>
    <cellStyle name="40% - akcent 1 2 4 4 2 3" xfId="15667"/>
    <cellStyle name="40% - akcent 1 2 4 4 3" xfId="15668"/>
    <cellStyle name="40% - akcent 1 2 4 4 3 2" xfId="15669"/>
    <cellStyle name="40% - akcent 1 2 4 4 3 2 2" xfId="15670"/>
    <cellStyle name="40% - akcent 1 2 4 4 3 3" xfId="15671"/>
    <cellStyle name="40% - akcent 1 2 4 4 4" xfId="15672"/>
    <cellStyle name="40% - akcent 1 2 4 4 4 2" xfId="15673"/>
    <cellStyle name="40% - akcent 1 2 4 4 4 2 2" xfId="15674"/>
    <cellStyle name="40% - akcent 1 2 4 4 4 3" xfId="15675"/>
    <cellStyle name="40% - akcent 1 2 4 4 5" xfId="15676"/>
    <cellStyle name="40% - akcent 1 2 4 4 5 2" xfId="15677"/>
    <cellStyle name="40% - akcent 1 2 4 4 6" xfId="15678"/>
    <cellStyle name="40% - akcent 1 2 4 5" xfId="15679"/>
    <cellStyle name="40% - akcent 1 2 4 5 2" xfId="15680"/>
    <cellStyle name="40% - akcent 1 2 4 5 2 2" xfId="15681"/>
    <cellStyle name="40% - akcent 1 2 4 5 2 2 2" xfId="15682"/>
    <cellStyle name="40% - akcent 1 2 4 5 2 3" xfId="15683"/>
    <cellStyle name="40% - akcent 1 2 4 5 3" xfId="15684"/>
    <cellStyle name="40% - akcent 1 2 4 5 3 2" xfId="15685"/>
    <cellStyle name="40% - akcent 1 2 4 5 3 2 2" xfId="15686"/>
    <cellStyle name="40% - akcent 1 2 4 5 3 3" xfId="15687"/>
    <cellStyle name="40% - akcent 1 2 4 5 4" xfId="15688"/>
    <cellStyle name="40% - akcent 1 2 4 5 4 2" xfId="15689"/>
    <cellStyle name="40% - akcent 1 2 4 5 4 2 2" xfId="15690"/>
    <cellStyle name="40% - akcent 1 2 4 5 4 3" xfId="15691"/>
    <cellStyle name="40% - akcent 1 2 4 5 5" xfId="15692"/>
    <cellStyle name="40% - akcent 1 2 4 5 5 2" xfId="15693"/>
    <cellStyle name="40% - akcent 1 2 4 5 6" xfId="15694"/>
    <cellStyle name="40% - akcent 1 2 4 6" xfId="15695"/>
    <cellStyle name="40% - akcent 1 2 4 6 2" xfId="15696"/>
    <cellStyle name="40% - akcent 1 2 4 6 2 2" xfId="15697"/>
    <cellStyle name="40% - akcent 1 2 4 6 2 2 2" xfId="15698"/>
    <cellStyle name="40% - akcent 1 2 4 6 2 3" xfId="15699"/>
    <cellStyle name="40% - akcent 1 2 4 6 3" xfId="15700"/>
    <cellStyle name="40% - akcent 1 2 4 6 3 2" xfId="15701"/>
    <cellStyle name="40% - akcent 1 2 4 6 3 2 2" xfId="15702"/>
    <cellStyle name="40% - akcent 1 2 4 6 3 3" xfId="15703"/>
    <cellStyle name="40% - akcent 1 2 4 6 4" xfId="15704"/>
    <cellStyle name="40% - akcent 1 2 4 6 4 2" xfId="15705"/>
    <cellStyle name="40% - akcent 1 2 4 6 4 2 2" xfId="15706"/>
    <cellStyle name="40% - akcent 1 2 4 6 4 3" xfId="15707"/>
    <cellStyle name="40% - akcent 1 2 4 6 5" xfId="15708"/>
    <cellStyle name="40% - akcent 1 2 4 6 5 2" xfId="15709"/>
    <cellStyle name="40% - akcent 1 2 4 6 6" xfId="15710"/>
    <cellStyle name="40% - akcent 1 2 5" xfId="15711"/>
    <cellStyle name="40% - akcent 1 2 5 2" xfId="15712"/>
    <cellStyle name="40% - akcent 1 2 6" xfId="15713"/>
    <cellStyle name="40% - akcent 1 2 7" xfId="15714"/>
    <cellStyle name="40% - akcent 1 2 8" xfId="15715"/>
    <cellStyle name="40% - akcent 1 2 9" xfId="15716"/>
    <cellStyle name="40% - akcent 1 2_2011'05 Raport PGE_DO-CO2" xfId="15717"/>
    <cellStyle name="40% - akcent 1 3" xfId="15718"/>
    <cellStyle name="40% - akcent 1 3 10" xfId="15719"/>
    <cellStyle name="40% - akcent 1 3 10 2" xfId="15720"/>
    <cellStyle name="40% - akcent 1 3 10 2 2" xfId="15721"/>
    <cellStyle name="40% - akcent 1 3 10 2 2 2" xfId="15722"/>
    <cellStyle name="40% - akcent 1 3 10 2 3" xfId="15723"/>
    <cellStyle name="40% - akcent 1 3 10 3" xfId="15724"/>
    <cellStyle name="40% - akcent 1 3 10 3 2" xfId="15725"/>
    <cellStyle name="40% - akcent 1 3 10 3 2 2" xfId="15726"/>
    <cellStyle name="40% - akcent 1 3 10 3 3" xfId="15727"/>
    <cellStyle name="40% - akcent 1 3 10 4" xfId="15728"/>
    <cellStyle name="40% - akcent 1 3 10 4 2" xfId="15729"/>
    <cellStyle name="40% - akcent 1 3 10 4 2 2" xfId="15730"/>
    <cellStyle name="40% - akcent 1 3 10 4 3" xfId="15731"/>
    <cellStyle name="40% - akcent 1 3 10 5" xfId="15732"/>
    <cellStyle name="40% - akcent 1 3 10 5 2" xfId="15733"/>
    <cellStyle name="40% - akcent 1 3 10 6" xfId="15734"/>
    <cellStyle name="40% - akcent 1 3 2" xfId="15735"/>
    <cellStyle name="40% - akcent 1 3 2 2" xfId="15736"/>
    <cellStyle name="40% - akcent 1 3 2 2 10" xfId="15737"/>
    <cellStyle name="40% - akcent 1 3 2 2 2" xfId="15738"/>
    <cellStyle name="40% - akcent 1 3 2 2 2 2" xfId="15739"/>
    <cellStyle name="40% - akcent 1 3 2 2 2 2 2" xfId="15740"/>
    <cellStyle name="40% - akcent 1 3 2 2 2 2 2 2" xfId="15741"/>
    <cellStyle name="40% - akcent 1 3 2 2 2 2 2 2 2" xfId="15742"/>
    <cellStyle name="40% - akcent 1 3 2 2 2 2 2 2 2 2" xfId="15743"/>
    <cellStyle name="40% - akcent 1 3 2 2 2 2 2 2 3" xfId="15744"/>
    <cellStyle name="40% - akcent 1 3 2 2 2 2 2 3" xfId="15745"/>
    <cellStyle name="40% - akcent 1 3 2 2 2 2 2 3 2" xfId="15746"/>
    <cellStyle name="40% - akcent 1 3 2 2 2 2 2 3 2 2" xfId="15747"/>
    <cellStyle name="40% - akcent 1 3 2 2 2 2 2 3 3" xfId="15748"/>
    <cellStyle name="40% - akcent 1 3 2 2 2 2 2 4" xfId="15749"/>
    <cellStyle name="40% - akcent 1 3 2 2 2 2 2 4 2" xfId="15750"/>
    <cellStyle name="40% - akcent 1 3 2 2 2 2 2 4 2 2" xfId="15751"/>
    <cellStyle name="40% - akcent 1 3 2 2 2 2 2 4 3" xfId="15752"/>
    <cellStyle name="40% - akcent 1 3 2 2 2 2 2 5" xfId="15753"/>
    <cellStyle name="40% - akcent 1 3 2 2 2 2 2 5 2" xfId="15754"/>
    <cellStyle name="40% - akcent 1 3 2 2 2 2 2 6" xfId="15755"/>
    <cellStyle name="40% - akcent 1 3 2 2 2 2 3" xfId="15756"/>
    <cellStyle name="40% - akcent 1 3 2 2 2 2 3 2" xfId="15757"/>
    <cellStyle name="40% - akcent 1 3 2 2 2 2 3 2 2" xfId="15758"/>
    <cellStyle name="40% - akcent 1 3 2 2 2 2 3 3" xfId="15759"/>
    <cellStyle name="40% - akcent 1 3 2 2 2 2 4" xfId="15760"/>
    <cellStyle name="40% - akcent 1 3 2 2 2 2 4 2" xfId="15761"/>
    <cellStyle name="40% - akcent 1 3 2 2 2 2 4 2 2" xfId="15762"/>
    <cellStyle name="40% - akcent 1 3 2 2 2 2 4 3" xfId="15763"/>
    <cellStyle name="40% - akcent 1 3 2 2 2 2 5" xfId="15764"/>
    <cellStyle name="40% - akcent 1 3 2 2 2 2 5 2" xfId="15765"/>
    <cellStyle name="40% - akcent 1 3 2 2 2 2 5 2 2" xfId="15766"/>
    <cellStyle name="40% - akcent 1 3 2 2 2 2 5 3" xfId="15767"/>
    <cellStyle name="40% - akcent 1 3 2 2 2 2 6" xfId="15768"/>
    <cellStyle name="40% - akcent 1 3 2 2 2 2 6 2" xfId="15769"/>
    <cellStyle name="40% - akcent 1 3 2 2 2 2 7" xfId="15770"/>
    <cellStyle name="40% - akcent 1 3 2 2 2 3" xfId="15771"/>
    <cellStyle name="40% - akcent 1 3 2 2 2 3 2" xfId="15772"/>
    <cellStyle name="40% - akcent 1 3 2 2 2 3 2 2" xfId="15773"/>
    <cellStyle name="40% - akcent 1 3 2 2 2 3 2 2 2" xfId="15774"/>
    <cellStyle name="40% - akcent 1 3 2 2 2 3 2 3" xfId="15775"/>
    <cellStyle name="40% - akcent 1 3 2 2 2 3 3" xfId="15776"/>
    <cellStyle name="40% - akcent 1 3 2 2 2 3 3 2" xfId="15777"/>
    <cellStyle name="40% - akcent 1 3 2 2 2 3 3 2 2" xfId="15778"/>
    <cellStyle name="40% - akcent 1 3 2 2 2 3 3 3" xfId="15779"/>
    <cellStyle name="40% - akcent 1 3 2 2 2 3 4" xfId="15780"/>
    <cellStyle name="40% - akcent 1 3 2 2 2 3 4 2" xfId="15781"/>
    <cellStyle name="40% - akcent 1 3 2 2 2 3 4 2 2" xfId="15782"/>
    <cellStyle name="40% - akcent 1 3 2 2 2 3 4 3" xfId="15783"/>
    <cellStyle name="40% - akcent 1 3 2 2 2 3 5" xfId="15784"/>
    <cellStyle name="40% - akcent 1 3 2 2 2 3 5 2" xfId="15785"/>
    <cellStyle name="40% - akcent 1 3 2 2 2 3 6" xfId="15786"/>
    <cellStyle name="40% - akcent 1 3 2 2 2 4" xfId="15787"/>
    <cellStyle name="40% - akcent 1 3 2 2 2 4 2" xfId="15788"/>
    <cellStyle name="40% - akcent 1 3 2 2 2 4 2 2" xfId="15789"/>
    <cellStyle name="40% - akcent 1 3 2 2 2 4 2 2 2" xfId="15790"/>
    <cellStyle name="40% - akcent 1 3 2 2 2 4 2 3" xfId="15791"/>
    <cellStyle name="40% - akcent 1 3 2 2 2 4 3" xfId="15792"/>
    <cellStyle name="40% - akcent 1 3 2 2 2 4 3 2" xfId="15793"/>
    <cellStyle name="40% - akcent 1 3 2 2 2 4 3 2 2" xfId="15794"/>
    <cellStyle name="40% - akcent 1 3 2 2 2 4 3 3" xfId="15795"/>
    <cellStyle name="40% - akcent 1 3 2 2 2 4 4" xfId="15796"/>
    <cellStyle name="40% - akcent 1 3 2 2 2 4 4 2" xfId="15797"/>
    <cellStyle name="40% - akcent 1 3 2 2 2 4 4 2 2" xfId="15798"/>
    <cellStyle name="40% - akcent 1 3 2 2 2 4 4 3" xfId="15799"/>
    <cellStyle name="40% - akcent 1 3 2 2 2 4 5" xfId="15800"/>
    <cellStyle name="40% - akcent 1 3 2 2 2 4 5 2" xfId="15801"/>
    <cellStyle name="40% - akcent 1 3 2 2 2 4 6" xfId="15802"/>
    <cellStyle name="40% - akcent 1 3 2 2 2 5" xfId="15803"/>
    <cellStyle name="40% - akcent 1 3 2 2 2 5 2" xfId="15804"/>
    <cellStyle name="40% - akcent 1 3 2 2 2 5 2 2" xfId="15805"/>
    <cellStyle name="40% - akcent 1 3 2 2 2 5 3" xfId="15806"/>
    <cellStyle name="40% - akcent 1 3 2 2 2 6" xfId="15807"/>
    <cellStyle name="40% - akcent 1 3 2 2 2 6 2" xfId="15808"/>
    <cellStyle name="40% - akcent 1 3 2 2 2 6 2 2" xfId="15809"/>
    <cellStyle name="40% - akcent 1 3 2 2 2 6 3" xfId="15810"/>
    <cellStyle name="40% - akcent 1 3 2 2 2 7" xfId="15811"/>
    <cellStyle name="40% - akcent 1 3 2 2 2 7 2" xfId="15812"/>
    <cellStyle name="40% - akcent 1 3 2 2 2 7 2 2" xfId="15813"/>
    <cellStyle name="40% - akcent 1 3 2 2 2 7 3" xfId="15814"/>
    <cellStyle name="40% - akcent 1 3 2 2 2 8" xfId="15815"/>
    <cellStyle name="40% - akcent 1 3 2 2 2 8 2" xfId="15816"/>
    <cellStyle name="40% - akcent 1 3 2 2 2 9" xfId="15817"/>
    <cellStyle name="40% - akcent 1 3 2 2 3" xfId="15818"/>
    <cellStyle name="40% - akcent 1 3 2 2 3 2" xfId="15819"/>
    <cellStyle name="40% - akcent 1 3 2 2 3 2 2" xfId="15820"/>
    <cellStyle name="40% - akcent 1 3 2 2 3 2 2 2" xfId="15821"/>
    <cellStyle name="40% - akcent 1 3 2 2 3 2 2 2 2" xfId="15822"/>
    <cellStyle name="40% - akcent 1 3 2 2 3 2 2 3" xfId="15823"/>
    <cellStyle name="40% - akcent 1 3 2 2 3 2 3" xfId="15824"/>
    <cellStyle name="40% - akcent 1 3 2 2 3 2 3 2" xfId="15825"/>
    <cellStyle name="40% - akcent 1 3 2 2 3 2 3 2 2" xfId="15826"/>
    <cellStyle name="40% - akcent 1 3 2 2 3 2 3 3" xfId="15827"/>
    <cellStyle name="40% - akcent 1 3 2 2 3 2 4" xfId="15828"/>
    <cellStyle name="40% - akcent 1 3 2 2 3 2 4 2" xfId="15829"/>
    <cellStyle name="40% - akcent 1 3 2 2 3 2 4 2 2" xfId="15830"/>
    <cellStyle name="40% - akcent 1 3 2 2 3 2 4 3" xfId="15831"/>
    <cellStyle name="40% - akcent 1 3 2 2 3 2 5" xfId="15832"/>
    <cellStyle name="40% - akcent 1 3 2 2 3 2 5 2" xfId="15833"/>
    <cellStyle name="40% - akcent 1 3 2 2 3 2 6" xfId="15834"/>
    <cellStyle name="40% - akcent 1 3 2 2 3 3" xfId="15835"/>
    <cellStyle name="40% - akcent 1 3 2 2 3 3 2" xfId="15836"/>
    <cellStyle name="40% - akcent 1 3 2 2 3 3 2 2" xfId="15837"/>
    <cellStyle name="40% - akcent 1 3 2 2 3 3 3" xfId="15838"/>
    <cellStyle name="40% - akcent 1 3 2 2 3 4" xfId="15839"/>
    <cellStyle name="40% - akcent 1 3 2 2 3 4 2" xfId="15840"/>
    <cellStyle name="40% - akcent 1 3 2 2 3 4 2 2" xfId="15841"/>
    <cellStyle name="40% - akcent 1 3 2 2 3 4 3" xfId="15842"/>
    <cellStyle name="40% - akcent 1 3 2 2 3 5" xfId="15843"/>
    <cellStyle name="40% - akcent 1 3 2 2 3 5 2" xfId="15844"/>
    <cellStyle name="40% - akcent 1 3 2 2 3 5 2 2" xfId="15845"/>
    <cellStyle name="40% - akcent 1 3 2 2 3 5 3" xfId="15846"/>
    <cellStyle name="40% - akcent 1 3 2 2 3 6" xfId="15847"/>
    <cellStyle name="40% - akcent 1 3 2 2 3 6 2" xfId="15848"/>
    <cellStyle name="40% - akcent 1 3 2 2 3 7" xfId="15849"/>
    <cellStyle name="40% - akcent 1 3 2 2 4" xfId="15850"/>
    <cellStyle name="40% - akcent 1 3 2 2 4 2" xfId="15851"/>
    <cellStyle name="40% - akcent 1 3 2 2 4 2 2" xfId="15852"/>
    <cellStyle name="40% - akcent 1 3 2 2 4 2 2 2" xfId="15853"/>
    <cellStyle name="40% - akcent 1 3 2 2 4 2 3" xfId="15854"/>
    <cellStyle name="40% - akcent 1 3 2 2 4 3" xfId="15855"/>
    <cellStyle name="40% - akcent 1 3 2 2 4 3 2" xfId="15856"/>
    <cellStyle name="40% - akcent 1 3 2 2 4 3 2 2" xfId="15857"/>
    <cellStyle name="40% - akcent 1 3 2 2 4 3 3" xfId="15858"/>
    <cellStyle name="40% - akcent 1 3 2 2 4 4" xfId="15859"/>
    <cellStyle name="40% - akcent 1 3 2 2 4 4 2" xfId="15860"/>
    <cellStyle name="40% - akcent 1 3 2 2 4 4 2 2" xfId="15861"/>
    <cellStyle name="40% - akcent 1 3 2 2 4 4 3" xfId="15862"/>
    <cellStyle name="40% - akcent 1 3 2 2 4 5" xfId="15863"/>
    <cellStyle name="40% - akcent 1 3 2 2 4 5 2" xfId="15864"/>
    <cellStyle name="40% - akcent 1 3 2 2 4 6" xfId="15865"/>
    <cellStyle name="40% - akcent 1 3 2 2 5" xfId="15866"/>
    <cellStyle name="40% - akcent 1 3 2 2 5 2" xfId="15867"/>
    <cellStyle name="40% - akcent 1 3 2 2 5 2 2" xfId="15868"/>
    <cellStyle name="40% - akcent 1 3 2 2 5 2 2 2" xfId="15869"/>
    <cellStyle name="40% - akcent 1 3 2 2 5 2 3" xfId="15870"/>
    <cellStyle name="40% - akcent 1 3 2 2 5 3" xfId="15871"/>
    <cellStyle name="40% - akcent 1 3 2 2 5 3 2" xfId="15872"/>
    <cellStyle name="40% - akcent 1 3 2 2 5 3 2 2" xfId="15873"/>
    <cellStyle name="40% - akcent 1 3 2 2 5 3 3" xfId="15874"/>
    <cellStyle name="40% - akcent 1 3 2 2 5 4" xfId="15875"/>
    <cellStyle name="40% - akcent 1 3 2 2 5 4 2" xfId="15876"/>
    <cellStyle name="40% - akcent 1 3 2 2 5 4 2 2" xfId="15877"/>
    <cellStyle name="40% - akcent 1 3 2 2 5 4 3" xfId="15878"/>
    <cellStyle name="40% - akcent 1 3 2 2 5 5" xfId="15879"/>
    <cellStyle name="40% - akcent 1 3 2 2 5 5 2" xfId="15880"/>
    <cellStyle name="40% - akcent 1 3 2 2 5 6" xfId="15881"/>
    <cellStyle name="40% - akcent 1 3 2 2 6" xfId="15882"/>
    <cellStyle name="40% - akcent 1 3 2 2 6 2" xfId="15883"/>
    <cellStyle name="40% - akcent 1 3 2 2 6 2 2" xfId="15884"/>
    <cellStyle name="40% - akcent 1 3 2 2 6 3" xfId="15885"/>
    <cellStyle name="40% - akcent 1 3 2 2 7" xfId="15886"/>
    <cellStyle name="40% - akcent 1 3 2 2 7 2" xfId="15887"/>
    <cellStyle name="40% - akcent 1 3 2 2 7 2 2" xfId="15888"/>
    <cellStyle name="40% - akcent 1 3 2 2 7 3" xfId="15889"/>
    <cellStyle name="40% - akcent 1 3 2 2 8" xfId="15890"/>
    <cellStyle name="40% - akcent 1 3 2 2 8 2" xfId="15891"/>
    <cellStyle name="40% - akcent 1 3 2 2 8 2 2" xfId="15892"/>
    <cellStyle name="40% - akcent 1 3 2 2 8 3" xfId="15893"/>
    <cellStyle name="40% - akcent 1 3 2 2 9" xfId="15894"/>
    <cellStyle name="40% - akcent 1 3 2 2 9 2" xfId="15895"/>
    <cellStyle name="40% - akcent 1 3 2 3" xfId="15896"/>
    <cellStyle name="40% - akcent 1 3 2 3 2" xfId="15897"/>
    <cellStyle name="40% - akcent 1 3 2 3 2 2" xfId="15898"/>
    <cellStyle name="40% - akcent 1 3 2 3 2 2 2" xfId="15899"/>
    <cellStyle name="40% - akcent 1 3 2 3 2 2 2 2" xfId="15900"/>
    <cellStyle name="40% - akcent 1 3 2 3 2 2 2 2 2" xfId="15901"/>
    <cellStyle name="40% - akcent 1 3 2 3 2 2 2 3" xfId="15902"/>
    <cellStyle name="40% - akcent 1 3 2 3 2 2 3" xfId="15903"/>
    <cellStyle name="40% - akcent 1 3 2 3 2 2 3 2" xfId="15904"/>
    <cellStyle name="40% - akcent 1 3 2 3 2 2 3 2 2" xfId="15905"/>
    <cellStyle name="40% - akcent 1 3 2 3 2 2 3 3" xfId="15906"/>
    <cellStyle name="40% - akcent 1 3 2 3 2 2 4" xfId="15907"/>
    <cellStyle name="40% - akcent 1 3 2 3 2 2 4 2" xfId="15908"/>
    <cellStyle name="40% - akcent 1 3 2 3 2 2 4 2 2" xfId="15909"/>
    <cellStyle name="40% - akcent 1 3 2 3 2 2 4 3" xfId="15910"/>
    <cellStyle name="40% - akcent 1 3 2 3 2 2 5" xfId="15911"/>
    <cellStyle name="40% - akcent 1 3 2 3 2 2 5 2" xfId="15912"/>
    <cellStyle name="40% - akcent 1 3 2 3 2 2 6" xfId="15913"/>
    <cellStyle name="40% - akcent 1 3 2 3 2 3" xfId="15914"/>
    <cellStyle name="40% - akcent 1 3 2 3 2 3 2" xfId="15915"/>
    <cellStyle name="40% - akcent 1 3 2 3 2 3 2 2" xfId="15916"/>
    <cellStyle name="40% - akcent 1 3 2 3 2 3 3" xfId="15917"/>
    <cellStyle name="40% - akcent 1 3 2 3 2 4" xfId="15918"/>
    <cellStyle name="40% - akcent 1 3 2 3 2 4 2" xfId="15919"/>
    <cellStyle name="40% - akcent 1 3 2 3 2 4 2 2" xfId="15920"/>
    <cellStyle name="40% - akcent 1 3 2 3 2 4 3" xfId="15921"/>
    <cellStyle name="40% - akcent 1 3 2 3 2 5" xfId="15922"/>
    <cellStyle name="40% - akcent 1 3 2 3 2 5 2" xfId="15923"/>
    <cellStyle name="40% - akcent 1 3 2 3 2 5 2 2" xfId="15924"/>
    <cellStyle name="40% - akcent 1 3 2 3 2 5 3" xfId="15925"/>
    <cellStyle name="40% - akcent 1 3 2 3 2 6" xfId="15926"/>
    <cellStyle name="40% - akcent 1 3 2 3 2 6 2" xfId="15927"/>
    <cellStyle name="40% - akcent 1 3 2 3 2 7" xfId="15928"/>
    <cellStyle name="40% - akcent 1 3 2 3 3" xfId="15929"/>
    <cellStyle name="40% - akcent 1 3 2 3 3 2" xfId="15930"/>
    <cellStyle name="40% - akcent 1 3 2 3 3 2 2" xfId="15931"/>
    <cellStyle name="40% - akcent 1 3 2 3 3 2 2 2" xfId="15932"/>
    <cellStyle name="40% - akcent 1 3 2 3 3 2 3" xfId="15933"/>
    <cellStyle name="40% - akcent 1 3 2 3 3 3" xfId="15934"/>
    <cellStyle name="40% - akcent 1 3 2 3 3 3 2" xfId="15935"/>
    <cellStyle name="40% - akcent 1 3 2 3 3 3 2 2" xfId="15936"/>
    <cellStyle name="40% - akcent 1 3 2 3 3 3 3" xfId="15937"/>
    <cellStyle name="40% - akcent 1 3 2 3 3 4" xfId="15938"/>
    <cellStyle name="40% - akcent 1 3 2 3 3 4 2" xfId="15939"/>
    <cellStyle name="40% - akcent 1 3 2 3 3 4 2 2" xfId="15940"/>
    <cellStyle name="40% - akcent 1 3 2 3 3 4 3" xfId="15941"/>
    <cellStyle name="40% - akcent 1 3 2 3 3 5" xfId="15942"/>
    <cellStyle name="40% - akcent 1 3 2 3 3 5 2" xfId="15943"/>
    <cellStyle name="40% - akcent 1 3 2 3 3 6" xfId="15944"/>
    <cellStyle name="40% - akcent 1 3 2 3 4" xfId="15945"/>
    <cellStyle name="40% - akcent 1 3 2 3 4 2" xfId="15946"/>
    <cellStyle name="40% - akcent 1 3 2 3 4 2 2" xfId="15947"/>
    <cellStyle name="40% - akcent 1 3 2 3 4 2 2 2" xfId="15948"/>
    <cellStyle name="40% - akcent 1 3 2 3 4 2 3" xfId="15949"/>
    <cellStyle name="40% - akcent 1 3 2 3 4 3" xfId="15950"/>
    <cellStyle name="40% - akcent 1 3 2 3 4 3 2" xfId="15951"/>
    <cellStyle name="40% - akcent 1 3 2 3 4 3 2 2" xfId="15952"/>
    <cellStyle name="40% - akcent 1 3 2 3 4 3 3" xfId="15953"/>
    <cellStyle name="40% - akcent 1 3 2 3 4 4" xfId="15954"/>
    <cellStyle name="40% - akcent 1 3 2 3 4 4 2" xfId="15955"/>
    <cellStyle name="40% - akcent 1 3 2 3 4 4 2 2" xfId="15956"/>
    <cellStyle name="40% - akcent 1 3 2 3 4 4 3" xfId="15957"/>
    <cellStyle name="40% - akcent 1 3 2 3 4 5" xfId="15958"/>
    <cellStyle name="40% - akcent 1 3 2 3 4 5 2" xfId="15959"/>
    <cellStyle name="40% - akcent 1 3 2 3 4 6" xfId="15960"/>
    <cellStyle name="40% - akcent 1 3 2 3 5" xfId="15961"/>
    <cellStyle name="40% - akcent 1 3 2 3 5 2" xfId="15962"/>
    <cellStyle name="40% - akcent 1 3 2 3 5 2 2" xfId="15963"/>
    <cellStyle name="40% - akcent 1 3 2 3 5 3" xfId="15964"/>
    <cellStyle name="40% - akcent 1 3 2 3 6" xfId="15965"/>
    <cellStyle name="40% - akcent 1 3 2 3 6 2" xfId="15966"/>
    <cellStyle name="40% - akcent 1 3 2 3 6 2 2" xfId="15967"/>
    <cellStyle name="40% - akcent 1 3 2 3 6 3" xfId="15968"/>
    <cellStyle name="40% - akcent 1 3 2 3 7" xfId="15969"/>
    <cellStyle name="40% - akcent 1 3 2 3 7 2" xfId="15970"/>
    <cellStyle name="40% - akcent 1 3 2 3 7 2 2" xfId="15971"/>
    <cellStyle name="40% - akcent 1 3 2 3 7 3" xfId="15972"/>
    <cellStyle name="40% - akcent 1 3 2 3 8" xfId="15973"/>
    <cellStyle name="40% - akcent 1 3 2 3 8 2" xfId="15974"/>
    <cellStyle name="40% - akcent 1 3 2 3 9" xfId="15975"/>
    <cellStyle name="40% - akcent 1 3 2 4" xfId="15976"/>
    <cellStyle name="40% - akcent 1 3 2 4 2" xfId="15977"/>
    <cellStyle name="40% - akcent 1 3 2 4 2 2" xfId="15978"/>
    <cellStyle name="40% - akcent 1 3 2 4 2 2 2" xfId="15979"/>
    <cellStyle name="40% - akcent 1 3 2 4 2 2 2 2" xfId="15980"/>
    <cellStyle name="40% - akcent 1 3 2 4 2 2 3" xfId="15981"/>
    <cellStyle name="40% - akcent 1 3 2 4 2 3" xfId="15982"/>
    <cellStyle name="40% - akcent 1 3 2 4 2 3 2" xfId="15983"/>
    <cellStyle name="40% - akcent 1 3 2 4 2 3 2 2" xfId="15984"/>
    <cellStyle name="40% - akcent 1 3 2 4 2 3 3" xfId="15985"/>
    <cellStyle name="40% - akcent 1 3 2 4 2 4" xfId="15986"/>
    <cellStyle name="40% - akcent 1 3 2 4 2 4 2" xfId="15987"/>
    <cellStyle name="40% - akcent 1 3 2 4 2 4 2 2" xfId="15988"/>
    <cellStyle name="40% - akcent 1 3 2 4 2 4 3" xfId="15989"/>
    <cellStyle name="40% - akcent 1 3 2 4 2 5" xfId="15990"/>
    <cellStyle name="40% - akcent 1 3 2 4 2 5 2" xfId="15991"/>
    <cellStyle name="40% - akcent 1 3 2 4 2 6" xfId="15992"/>
    <cellStyle name="40% - akcent 1 3 2 4 3" xfId="15993"/>
    <cellStyle name="40% - akcent 1 3 2 4 3 2" xfId="15994"/>
    <cellStyle name="40% - akcent 1 3 2 4 3 2 2" xfId="15995"/>
    <cellStyle name="40% - akcent 1 3 2 4 3 3" xfId="15996"/>
    <cellStyle name="40% - akcent 1 3 2 4 4" xfId="15997"/>
    <cellStyle name="40% - akcent 1 3 2 4 4 2" xfId="15998"/>
    <cellStyle name="40% - akcent 1 3 2 4 4 2 2" xfId="15999"/>
    <cellStyle name="40% - akcent 1 3 2 4 4 3" xfId="16000"/>
    <cellStyle name="40% - akcent 1 3 2 4 5" xfId="16001"/>
    <cellStyle name="40% - akcent 1 3 2 4 5 2" xfId="16002"/>
    <cellStyle name="40% - akcent 1 3 2 4 5 2 2" xfId="16003"/>
    <cellStyle name="40% - akcent 1 3 2 4 5 3" xfId="16004"/>
    <cellStyle name="40% - akcent 1 3 2 4 6" xfId="16005"/>
    <cellStyle name="40% - akcent 1 3 2 4 6 2" xfId="16006"/>
    <cellStyle name="40% - akcent 1 3 2 4 7" xfId="16007"/>
    <cellStyle name="40% - akcent 1 3 2 5" xfId="16008"/>
    <cellStyle name="40% - akcent 1 3 2 5 2" xfId="16009"/>
    <cellStyle name="40% - akcent 1 3 2 5 2 2" xfId="16010"/>
    <cellStyle name="40% - akcent 1 3 2 5 2 2 2" xfId="16011"/>
    <cellStyle name="40% - akcent 1 3 2 5 2 3" xfId="16012"/>
    <cellStyle name="40% - akcent 1 3 2 5 3" xfId="16013"/>
    <cellStyle name="40% - akcent 1 3 2 5 3 2" xfId="16014"/>
    <cellStyle name="40% - akcent 1 3 2 5 3 2 2" xfId="16015"/>
    <cellStyle name="40% - akcent 1 3 2 5 3 3" xfId="16016"/>
    <cellStyle name="40% - akcent 1 3 2 5 4" xfId="16017"/>
    <cellStyle name="40% - akcent 1 3 2 5 4 2" xfId="16018"/>
    <cellStyle name="40% - akcent 1 3 2 5 4 2 2" xfId="16019"/>
    <cellStyle name="40% - akcent 1 3 2 5 4 3" xfId="16020"/>
    <cellStyle name="40% - akcent 1 3 2 5 5" xfId="16021"/>
    <cellStyle name="40% - akcent 1 3 2 5 5 2" xfId="16022"/>
    <cellStyle name="40% - akcent 1 3 2 5 6" xfId="16023"/>
    <cellStyle name="40% - akcent 1 3 2 6" xfId="16024"/>
    <cellStyle name="40% - akcent 1 3 2 6 2" xfId="16025"/>
    <cellStyle name="40% - akcent 1 3 2 6 2 2" xfId="16026"/>
    <cellStyle name="40% - akcent 1 3 2 6 2 2 2" xfId="16027"/>
    <cellStyle name="40% - akcent 1 3 2 6 2 3" xfId="16028"/>
    <cellStyle name="40% - akcent 1 3 2 6 3" xfId="16029"/>
    <cellStyle name="40% - akcent 1 3 2 6 3 2" xfId="16030"/>
    <cellStyle name="40% - akcent 1 3 2 6 3 2 2" xfId="16031"/>
    <cellStyle name="40% - akcent 1 3 2 6 3 3" xfId="16032"/>
    <cellStyle name="40% - akcent 1 3 2 6 4" xfId="16033"/>
    <cellStyle name="40% - akcent 1 3 2 6 4 2" xfId="16034"/>
    <cellStyle name="40% - akcent 1 3 2 6 4 2 2" xfId="16035"/>
    <cellStyle name="40% - akcent 1 3 2 6 4 3" xfId="16036"/>
    <cellStyle name="40% - akcent 1 3 2 6 5" xfId="16037"/>
    <cellStyle name="40% - akcent 1 3 2 6 5 2" xfId="16038"/>
    <cellStyle name="40% - akcent 1 3 2 6 6" xfId="16039"/>
    <cellStyle name="40% - akcent 1 3 2 7" xfId="16040"/>
    <cellStyle name="40% - akcent 1 3 2 8" xfId="16041"/>
    <cellStyle name="40% - akcent 1 3 2 8 2" xfId="16042"/>
    <cellStyle name="40% - akcent 1 3 2 8 2 2" xfId="16043"/>
    <cellStyle name="40% - akcent 1 3 2 8 2 2 2" xfId="16044"/>
    <cellStyle name="40% - akcent 1 3 2 8 2 3" xfId="16045"/>
    <cellStyle name="40% - akcent 1 3 2 8 3" xfId="16046"/>
    <cellStyle name="40% - akcent 1 3 2 8 3 2" xfId="16047"/>
    <cellStyle name="40% - akcent 1 3 2 8 3 2 2" xfId="16048"/>
    <cellStyle name="40% - akcent 1 3 2 8 3 3" xfId="16049"/>
    <cellStyle name="40% - akcent 1 3 2 8 4" xfId="16050"/>
    <cellStyle name="40% - akcent 1 3 2 8 4 2" xfId="16051"/>
    <cellStyle name="40% - akcent 1 3 2 8 4 2 2" xfId="16052"/>
    <cellStyle name="40% - akcent 1 3 2 8 4 3" xfId="16053"/>
    <cellStyle name="40% - akcent 1 3 2 8 5" xfId="16054"/>
    <cellStyle name="40% - akcent 1 3 2 8 5 2" xfId="16055"/>
    <cellStyle name="40% - akcent 1 3 2 8 6" xfId="16056"/>
    <cellStyle name="40% - akcent 1 3 3" xfId="16057"/>
    <cellStyle name="40% - akcent 1 3 3 2" xfId="16058"/>
    <cellStyle name="40% - akcent 1 3 3 2 2" xfId="16059"/>
    <cellStyle name="40% - akcent 1 3 3 2 2 2" xfId="16060"/>
    <cellStyle name="40% - akcent 1 3 3 2 2 2 2" xfId="16061"/>
    <cellStyle name="40% - akcent 1 3 3 2 2 2 2 2" xfId="16062"/>
    <cellStyle name="40% - akcent 1 3 3 2 2 2 2 2 2" xfId="16063"/>
    <cellStyle name="40% - akcent 1 3 3 2 2 2 2 3" xfId="16064"/>
    <cellStyle name="40% - akcent 1 3 3 2 2 2 3" xfId="16065"/>
    <cellStyle name="40% - akcent 1 3 3 2 2 2 3 2" xfId="16066"/>
    <cellStyle name="40% - akcent 1 3 3 2 2 2 3 2 2" xfId="16067"/>
    <cellStyle name="40% - akcent 1 3 3 2 2 2 3 3" xfId="16068"/>
    <cellStyle name="40% - akcent 1 3 3 2 2 2 4" xfId="16069"/>
    <cellStyle name="40% - akcent 1 3 3 2 2 2 4 2" xfId="16070"/>
    <cellStyle name="40% - akcent 1 3 3 2 2 2 4 2 2" xfId="16071"/>
    <cellStyle name="40% - akcent 1 3 3 2 2 2 4 3" xfId="16072"/>
    <cellStyle name="40% - akcent 1 3 3 2 2 2 5" xfId="16073"/>
    <cellStyle name="40% - akcent 1 3 3 2 2 2 5 2" xfId="16074"/>
    <cellStyle name="40% - akcent 1 3 3 2 2 2 6" xfId="16075"/>
    <cellStyle name="40% - akcent 1 3 3 2 2 3" xfId="16076"/>
    <cellStyle name="40% - akcent 1 3 3 2 2 3 2" xfId="16077"/>
    <cellStyle name="40% - akcent 1 3 3 2 2 3 2 2" xfId="16078"/>
    <cellStyle name="40% - akcent 1 3 3 2 2 3 3" xfId="16079"/>
    <cellStyle name="40% - akcent 1 3 3 2 2 4" xfId="16080"/>
    <cellStyle name="40% - akcent 1 3 3 2 2 4 2" xfId="16081"/>
    <cellStyle name="40% - akcent 1 3 3 2 2 4 2 2" xfId="16082"/>
    <cellStyle name="40% - akcent 1 3 3 2 2 4 3" xfId="16083"/>
    <cellStyle name="40% - akcent 1 3 3 2 2 5" xfId="16084"/>
    <cellStyle name="40% - akcent 1 3 3 2 2 5 2" xfId="16085"/>
    <cellStyle name="40% - akcent 1 3 3 2 2 5 2 2" xfId="16086"/>
    <cellStyle name="40% - akcent 1 3 3 2 2 5 3" xfId="16087"/>
    <cellStyle name="40% - akcent 1 3 3 2 2 6" xfId="16088"/>
    <cellStyle name="40% - akcent 1 3 3 2 2 6 2" xfId="16089"/>
    <cellStyle name="40% - akcent 1 3 3 2 2 7" xfId="16090"/>
    <cellStyle name="40% - akcent 1 3 3 2 3" xfId="16091"/>
    <cellStyle name="40% - akcent 1 3 3 2 3 2" xfId="16092"/>
    <cellStyle name="40% - akcent 1 3 3 2 3 2 2" xfId="16093"/>
    <cellStyle name="40% - akcent 1 3 3 2 3 2 2 2" xfId="16094"/>
    <cellStyle name="40% - akcent 1 3 3 2 3 2 3" xfId="16095"/>
    <cellStyle name="40% - akcent 1 3 3 2 3 3" xfId="16096"/>
    <cellStyle name="40% - akcent 1 3 3 2 3 3 2" xfId="16097"/>
    <cellStyle name="40% - akcent 1 3 3 2 3 3 2 2" xfId="16098"/>
    <cellStyle name="40% - akcent 1 3 3 2 3 3 3" xfId="16099"/>
    <cellStyle name="40% - akcent 1 3 3 2 3 4" xfId="16100"/>
    <cellStyle name="40% - akcent 1 3 3 2 3 4 2" xfId="16101"/>
    <cellStyle name="40% - akcent 1 3 3 2 3 4 2 2" xfId="16102"/>
    <cellStyle name="40% - akcent 1 3 3 2 3 4 3" xfId="16103"/>
    <cellStyle name="40% - akcent 1 3 3 2 3 5" xfId="16104"/>
    <cellStyle name="40% - akcent 1 3 3 2 3 5 2" xfId="16105"/>
    <cellStyle name="40% - akcent 1 3 3 2 3 6" xfId="16106"/>
    <cellStyle name="40% - akcent 1 3 3 2 4" xfId="16107"/>
    <cellStyle name="40% - akcent 1 3 3 2 4 2" xfId="16108"/>
    <cellStyle name="40% - akcent 1 3 3 2 4 2 2" xfId="16109"/>
    <cellStyle name="40% - akcent 1 3 3 2 4 2 2 2" xfId="16110"/>
    <cellStyle name="40% - akcent 1 3 3 2 4 2 3" xfId="16111"/>
    <cellStyle name="40% - akcent 1 3 3 2 4 3" xfId="16112"/>
    <cellStyle name="40% - akcent 1 3 3 2 4 3 2" xfId="16113"/>
    <cellStyle name="40% - akcent 1 3 3 2 4 3 2 2" xfId="16114"/>
    <cellStyle name="40% - akcent 1 3 3 2 4 3 3" xfId="16115"/>
    <cellStyle name="40% - akcent 1 3 3 2 4 4" xfId="16116"/>
    <cellStyle name="40% - akcent 1 3 3 2 4 4 2" xfId="16117"/>
    <cellStyle name="40% - akcent 1 3 3 2 4 4 2 2" xfId="16118"/>
    <cellStyle name="40% - akcent 1 3 3 2 4 4 3" xfId="16119"/>
    <cellStyle name="40% - akcent 1 3 3 2 4 5" xfId="16120"/>
    <cellStyle name="40% - akcent 1 3 3 2 4 5 2" xfId="16121"/>
    <cellStyle name="40% - akcent 1 3 3 2 4 6" xfId="16122"/>
    <cellStyle name="40% - akcent 1 3 3 2 5" xfId="16123"/>
    <cellStyle name="40% - akcent 1 3 3 2 5 2" xfId="16124"/>
    <cellStyle name="40% - akcent 1 3 3 2 5 2 2" xfId="16125"/>
    <cellStyle name="40% - akcent 1 3 3 2 5 3" xfId="16126"/>
    <cellStyle name="40% - akcent 1 3 3 2 6" xfId="16127"/>
    <cellStyle name="40% - akcent 1 3 3 2 6 2" xfId="16128"/>
    <cellStyle name="40% - akcent 1 3 3 2 6 2 2" xfId="16129"/>
    <cellStyle name="40% - akcent 1 3 3 2 6 3" xfId="16130"/>
    <cellStyle name="40% - akcent 1 3 3 2 7" xfId="16131"/>
    <cellStyle name="40% - akcent 1 3 3 2 7 2" xfId="16132"/>
    <cellStyle name="40% - akcent 1 3 3 2 7 2 2" xfId="16133"/>
    <cellStyle name="40% - akcent 1 3 3 2 7 3" xfId="16134"/>
    <cellStyle name="40% - akcent 1 3 3 2 8" xfId="16135"/>
    <cellStyle name="40% - akcent 1 3 3 2 8 2" xfId="16136"/>
    <cellStyle name="40% - akcent 1 3 3 2 9" xfId="16137"/>
    <cellStyle name="40% - akcent 1 3 3 3" xfId="16138"/>
    <cellStyle name="40% - akcent 1 3 3 3 2" xfId="16139"/>
    <cellStyle name="40% - akcent 1 3 3 3 2 2" xfId="16140"/>
    <cellStyle name="40% - akcent 1 3 3 3 2 2 2" xfId="16141"/>
    <cellStyle name="40% - akcent 1 3 3 3 2 2 2 2" xfId="16142"/>
    <cellStyle name="40% - akcent 1 3 3 3 2 2 3" xfId="16143"/>
    <cellStyle name="40% - akcent 1 3 3 3 2 3" xfId="16144"/>
    <cellStyle name="40% - akcent 1 3 3 3 2 3 2" xfId="16145"/>
    <cellStyle name="40% - akcent 1 3 3 3 2 3 2 2" xfId="16146"/>
    <cellStyle name="40% - akcent 1 3 3 3 2 3 3" xfId="16147"/>
    <cellStyle name="40% - akcent 1 3 3 3 2 4" xfId="16148"/>
    <cellStyle name="40% - akcent 1 3 3 3 2 4 2" xfId="16149"/>
    <cellStyle name="40% - akcent 1 3 3 3 2 4 2 2" xfId="16150"/>
    <cellStyle name="40% - akcent 1 3 3 3 2 4 3" xfId="16151"/>
    <cellStyle name="40% - akcent 1 3 3 3 2 5" xfId="16152"/>
    <cellStyle name="40% - akcent 1 3 3 3 2 5 2" xfId="16153"/>
    <cellStyle name="40% - akcent 1 3 3 3 2 6" xfId="16154"/>
    <cellStyle name="40% - akcent 1 3 3 3 3" xfId="16155"/>
    <cellStyle name="40% - akcent 1 3 3 3 3 2" xfId="16156"/>
    <cellStyle name="40% - akcent 1 3 3 3 3 2 2" xfId="16157"/>
    <cellStyle name="40% - akcent 1 3 3 3 3 3" xfId="16158"/>
    <cellStyle name="40% - akcent 1 3 3 3 4" xfId="16159"/>
    <cellStyle name="40% - akcent 1 3 3 3 4 2" xfId="16160"/>
    <cellStyle name="40% - akcent 1 3 3 3 4 2 2" xfId="16161"/>
    <cellStyle name="40% - akcent 1 3 3 3 4 3" xfId="16162"/>
    <cellStyle name="40% - akcent 1 3 3 3 5" xfId="16163"/>
    <cellStyle name="40% - akcent 1 3 3 3 5 2" xfId="16164"/>
    <cellStyle name="40% - akcent 1 3 3 3 5 2 2" xfId="16165"/>
    <cellStyle name="40% - akcent 1 3 3 3 5 3" xfId="16166"/>
    <cellStyle name="40% - akcent 1 3 3 3 6" xfId="16167"/>
    <cellStyle name="40% - akcent 1 3 3 3 6 2" xfId="16168"/>
    <cellStyle name="40% - akcent 1 3 3 3 7" xfId="16169"/>
    <cellStyle name="40% - akcent 1 3 3 4" xfId="16170"/>
    <cellStyle name="40% - akcent 1 3 3 4 2" xfId="16171"/>
    <cellStyle name="40% - akcent 1 3 3 4 2 2" xfId="16172"/>
    <cellStyle name="40% - akcent 1 3 3 4 2 2 2" xfId="16173"/>
    <cellStyle name="40% - akcent 1 3 3 4 2 3" xfId="16174"/>
    <cellStyle name="40% - akcent 1 3 3 4 3" xfId="16175"/>
    <cellStyle name="40% - akcent 1 3 3 4 3 2" xfId="16176"/>
    <cellStyle name="40% - akcent 1 3 3 4 3 2 2" xfId="16177"/>
    <cellStyle name="40% - akcent 1 3 3 4 3 3" xfId="16178"/>
    <cellStyle name="40% - akcent 1 3 3 4 4" xfId="16179"/>
    <cellStyle name="40% - akcent 1 3 3 4 4 2" xfId="16180"/>
    <cellStyle name="40% - akcent 1 3 3 4 4 2 2" xfId="16181"/>
    <cellStyle name="40% - akcent 1 3 3 4 4 3" xfId="16182"/>
    <cellStyle name="40% - akcent 1 3 3 4 5" xfId="16183"/>
    <cellStyle name="40% - akcent 1 3 3 4 5 2" xfId="16184"/>
    <cellStyle name="40% - akcent 1 3 3 4 6" xfId="16185"/>
    <cellStyle name="40% - akcent 1 3 3 5" xfId="16186"/>
    <cellStyle name="40% - akcent 1 3 3 5 2" xfId="16187"/>
    <cellStyle name="40% - akcent 1 3 3 5 2 2" xfId="16188"/>
    <cellStyle name="40% - akcent 1 3 3 5 2 2 2" xfId="16189"/>
    <cellStyle name="40% - akcent 1 3 3 5 2 3" xfId="16190"/>
    <cellStyle name="40% - akcent 1 3 3 5 3" xfId="16191"/>
    <cellStyle name="40% - akcent 1 3 3 5 3 2" xfId="16192"/>
    <cellStyle name="40% - akcent 1 3 3 5 3 2 2" xfId="16193"/>
    <cellStyle name="40% - akcent 1 3 3 5 3 3" xfId="16194"/>
    <cellStyle name="40% - akcent 1 3 3 5 4" xfId="16195"/>
    <cellStyle name="40% - akcent 1 3 3 5 4 2" xfId="16196"/>
    <cellStyle name="40% - akcent 1 3 3 5 4 2 2" xfId="16197"/>
    <cellStyle name="40% - akcent 1 3 3 5 4 3" xfId="16198"/>
    <cellStyle name="40% - akcent 1 3 3 5 5" xfId="16199"/>
    <cellStyle name="40% - akcent 1 3 3 5 5 2" xfId="16200"/>
    <cellStyle name="40% - akcent 1 3 3 5 6" xfId="16201"/>
    <cellStyle name="40% - akcent 1 3 3 6" xfId="16202"/>
    <cellStyle name="40% - akcent 1 3 3 6 2" xfId="16203"/>
    <cellStyle name="40% - akcent 1 3 3 6 2 2" xfId="16204"/>
    <cellStyle name="40% - akcent 1 3 3 6 2 2 2" xfId="16205"/>
    <cellStyle name="40% - akcent 1 3 3 6 2 3" xfId="16206"/>
    <cellStyle name="40% - akcent 1 3 3 6 3" xfId="16207"/>
    <cellStyle name="40% - akcent 1 3 3 6 3 2" xfId="16208"/>
    <cellStyle name="40% - akcent 1 3 3 6 3 2 2" xfId="16209"/>
    <cellStyle name="40% - akcent 1 3 3 6 3 3" xfId="16210"/>
    <cellStyle name="40% - akcent 1 3 3 6 4" xfId="16211"/>
    <cellStyle name="40% - akcent 1 3 3 6 4 2" xfId="16212"/>
    <cellStyle name="40% - akcent 1 3 3 6 4 2 2" xfId="16213"/>
    <cellStyle name="40% - akcent 1 3 3 6 4 3" xfId="16214"/>
    <cellStyle name="40% - akcent 1 3 3 6 5" xfId="16215"/>
    <cellStyle name="40% - akcent 1 3 3 6 5 2" xfId="16216"/>
    <cellStyle name="40% - akcent 1 3 3 6 6" xfId="16217"/>
    <cellStyle name="40% - akcent 1 3 4" xfId="16218"/>
    <cellStyle name="40% - akcent 1 3 4 10" xfId="16219"/>
    <cellStyle name="40% - akcent 1 3 4 2" xfId="16220"/>
    <cellStyle name="40% - akcent 1 3 4 2 2" xfId="16221"/>
    <cellStyle name="40% - akcent 1 3 4 2 2 2" xfId="16222"/>
    <cellStyle name="40% - akcent 1 3 4 2 2 2 2" xfId="16223"/>
    <cellStyle name="40% - akcent 1 3 4 2 2 2 2 2" xfId="16224"/>
    <cellStyle name="40% - akcent 1 3 4 2 2 2 2 2 2" xfId="16225"/>
    <cellStyle name="40% - akcent 1 3 4 2 2 2 2 3" xfId="16226"/>
    <cellStyle name="40% - akcent 1 3 4 2 2 2 3" xfId="16227"/>
    <cellStyle name="40% - akcent 1 3 4 2 2 2 3 2" xfId="16228"/>
    <cellStyle name="40% - akcent 1 3 4 2 2 2 3 2 2" xfId="16229"/>
    <cellStyle name="40% - akcent 1 3 4 2 2 2 3 3" xfId="16230"/>
    <cellStyle name="40% - akcent 1 3 4 2 2 2 4" xfId="16231"/>
    <cellStyle name="40% - akcent 1 3 4 2 2 2 4 2" xfId="16232"/>
    <cellStyle name="40% - akcent 1 3 4 2 2 2 4 2 2" xfId="16233"/>
    <cellStyle name="40% - akcent 1 3 4 2 2 2 4 3" xfId="16234"/>
    <cellStyle name="40% - akcent 1 3 4 2 2 2 5" xfId="16235"/>
    <cellStyle name="40% - akcent 1 3 4 2 2 2 5 2" xfId="16236"/>
    <cellStyle name="40% - akcent 1 3 4 2 2 2 6" xfId="16237"/>
    <cellStyle name="40% - akcent 1 3 4 2 2 3" xfId="16238"/>
    <cellStyle name="40% - akcent 1 3 4 2 2 3 2" xfId="16239"/>
    <cellStyle name="40% - akcent 1 3 4 2 2 3 2 2" xfId="16240"/>
    <cellStyle name="40% - akcent 1 3 4 2 2 3 3" xfId="16241"/>
    <cellStyle name="40% - akcent 1 3 4 2 2 4" xfId="16242"/>
    <cellStyle name="40% - akcent 1 3 4 2 2 4 2" xfId="16243"/>
    <cellStyle name="40% - akcent 1 3 4 2 2 4 2 2" xfId="16244"/>
    <cellStyle name="40% - akcent 1 3 4 2 2 4 3" xfId="16245"/>
    <cellStyle name="40% - akcent 1 3 4 2 2 5" xfId="16246"/>
    <cellStyle name="40% - akcent 1 3 4 2 2 5 2" xfId="16247"/>
    <cellStyle name="40% - akcent 1 3 4 2 2 5 2 2" xfId="16248"/>
    <cellStyle name="40% - akcent 1 3 4 2 2 5 3" xfId="16249"/>
    <cellStyle name="40% - akcent 1 3 4 2 2 6" xfId="16250"/>
    <cellStyle name="40% - akcent 1 3 4 2 2 6 2" xfId="16251"/>
    <cellStyle name="40% - akcent 1 3 4 2 2 7" xfId="16252"/>
    <cellStyle name="40% - akcent 1 3 4 2 3" xfId="16253"/>
    <cellStyle name="40% - akcent 1 3 4 2 3 2" xfId="16254"/>
    <cellStyle name="40% - akcent 1 3 4 2 3 2 2" xfId="16255"/>
    <cellStyle name="40% - akcent 1 3 4 2 3 2 2 2" xfId="16256"/>
    <cellStyle name="40% - akcent 1 3 4 2 3 2 3" xfId="16257"/>
    <cellStyle name="40% - akcent 1 3 4 2 3 3" xfId="16258"/>
    <cellStyle name="40% - akcent 1 3 4 2 3 3 2" xfId="16259"/>
    <cellStyle name="40% - akcent 1 3 4 2 3 3 2 2" xfId="16260"/>
    <cellStyle name="40% - akcent 1 3 4 2 3 3 3" xfId="16261"/>
    <cellStyle name="40% - akcent 1 3 4 2 3 4" xfId="16262"/>
    <cellStyle name="40% - akcent 1 3 4 2 3 4 2" xfId="16263"/>
    <cellStyle name="40% - akcent 1 3 4 2 3 4 2 2" xfId="16264"/>
    <cellStyle name="40% - akcent 1 3 4 2 3 4 3" xfId="16265"/>
    <cellStyle name="40% - akcent 1 3 4 2 3 5" xfId="16266"/>
    <cellStyle name="40% - akcent 1 3 4 2 3 5 2" xfId="16267"/>
    <cellStyle name="40% - akcent 1 3 4 2 3 6" xfId="16268"/>
    <cellStyle name="40% - akcent 1 3 4 2 4" xfId="16269"/>
    <cellStyle name="40% - akcent 1 3 4 2 4 2" xfId="16270"/>
    <cellStyle name="40% - akcent 1 3 4 2 4 2 2" xfId="16271"/>
    <cellStyle name="40% - akcent 1 3 4 2 4 2 2 2" xfId="16272"/>
    <cellStyle name="40% - akcent 1 3 4 2 4 2 3" xfId="16273"/>
    <cellStyle name="40% - akcent 1 3 4 2 4 3" xfId="16274"/>
    <cellStyle name="40% - akcent 1 3 4 2 4 3 2" xfId="16275"/>
    <cellStyle name="40% - akcent 1 3 4 2 4 3 2 2" xfId="16276"/>
    <cellStyle name="40% - akcent 1 3 4 2 4 3 3" xfId="16277"/>
    <cellStyle name="40% - akcent 1 3 4 2 4 4" xfId="16278"/>
    <cellStyle name="40% - akcent 1 3 4 2 4 4 2" xfId="16279"/>
    <cellStyle name="40% - akcent 1 3 4 2 4 4 2 2" xfId="16280"/>
    <cellStyle name="40% - akcent 1 3 4 2 4 4 3" xfId="16281"/>
    <cellStyle name="40% - akcent 1 3 4 2 4 5" xfId="16282"/>
    <cellStyle name="40% - akcent 1 3 4 2 4 5 2" xfId="16283"/>
    <cellStyle name="40% - akcent 1 3 4 2 4 6" xfId="16284"/>
    <cellStyle name="40% - akcent 1 3 4 2 5" xfId="16285"/>
    <cellStyle name="40% - akcent 1 3 4 2 5 2" xfId="16286"/>
    <cellStyle name="40% - akcent 1 3 4 2 5 2 2" xfId="16287"/>
    <cellStyle name="40% - akcent 1 3 4 2 5 3" xfId="16288"/>
    <cellStyle name="40% - akcent 1 3 4 2 6" xfId="16289"/>
    <cellStyle name="40% - akcent 1 3 4 2 6 2" xfId="16290"/>
    <cellStyle name="40% - akcent 1 3 4 2 6 2 2" xfId="16291"/>
    <cellStyle name="40% - akcent 1 3 4 2 6 3" xfId="16292"/>
    <cellStyle name="40% - akcent 1 3 4 2 7" xfId="16293"/>
    <cellStyle name="40% - akcent 1 3 4 2 7 2" xfId="16294"/>
    <cellStyle name="40% - akcent 1 3 4 2 7 2 2" xfId="16295"/>
    <cellStyle name="40% - akcent 1 3 4 2 7 3" xfId="16296"/>
    <cellStyle name="40% - akcent 1 3 4 2 8" xfId="16297"/>
    <cellStyle name="40% - akcent 1 3 4 2 8 2" xfId="16298"/>
    <cellStyle name="40% - akcent 1 3 4 2 9" xfId="16299"/>
    <cellStyle name="40% - akcent 1 3 4 3" xfId="16300"/>
    <cellStyle name="40% - akcent 1 3 4 3 2" xfId="16301"/>
    <cellStyle name="40% - akcent 1 3 4 3 2 2" xfId="16302"/>
    <cellStyle name="40% - akcent 1 3 4 3 2 2 2" xfId="16303"/>
    <cellStyle name="40% - akcent 1 3 4 3 2 2 2 2" xfId="16304"/>
    <cellStyle name="40% - akcent 1 3 4 3 2 2 3" xfId="16305"/>
    <cellStyle name="40% - akcent 1 3 4 3 2 3" xfId="16306"/>
    <cellStyle name="40% - akcent 1 3 4 3 2 3 2" xfId="16307"/>
    <cellStyle name="40% - akcent 1 3 4 3 2 3 2 2" xfId="16308"/>
    <cellStyle name="40% - akcent 1 3 4 3 2 3 3" xfId="16309"/>
    <cellStyle name="40% - akcent 1 3 4 3 2 4" xfId="16310"/>
    <cellStyle name="40% - akcent 1 3 4 3 2 4 2" xfId="16311"/>
    <cellStyle name="40% - akcent 1 3 4 3 2 4 2 2" xfId="16312"/>
    <cellStyle name="40% - akcent 1 3 4 3 2 4 3" xfId="16313"/>
    <cellStyle name="40% - akcent 1 3 4 3 2 5" xfId="16314"/>
    <cellStyle name="40% - akcent 1 3 4 3 2 5 2" xfId="16315"/>
    <cellStyle name="40% - akcent 1 3 4 3 2 6" xfId="16316"/>
    <cellStyle name="40% - akcent 1 3 4 3 3" xfId="16317"/>
    <cellStyle name="40% - akcent 1 3 4 3 3 2" xfId="16318"/>
    <cellStyle name="40% - akcent 1 3 4 3 3 2 2" xfId="16319"/>
    <cellStyle name="40% - akcent 1 3 4 3 3 3" xfId="16320"/>
    <cellStyle name="40% - akcent 1 3 4 3 4" xfId="16321"/>
    <cellStyle name="40% - akcent 1 3 4 3 4 2" xfId="16322"/>
    <cellStyle name="40% - akcent 1 3 4 3 4 2 2" xfId="16323"/>
    <cellStyle name="40% - akcent 1 3 4 3 4 3" xfId="16324"/>
    <cellStyle name="40% - akcent 1 3 4 3 5" xfId="16325"/>
    <cellStyle name="40% - akcent 1 3 4 3 5 2" xfId="16326"/>
    <cellStyle name="40% - akcent 1 3 4 3 5 2 2" xfId="16327"/>
    <cellStyle name="40% - akcent 1 3 4 3 5 3" xfId="16328"/>
    <cellStyle name="40% - akcent 1 3 4 3 6" xfId="16329"/>
    <cellStyle name="40% - akcent 1 3 4 3 6 2" xfId="16330"/>
    <cellStyle name="40% - akcent 1 3 4 3 7" xfId="16331"/>
    <cellStyle name="40% - akcent 1 3 4 4" xfId="16332"/>
    <cellStyle name="40% - akcent 1 3 4 4 2" xfId="16333"/>
    <cellStyle name="40% - akcent 1 3 4 4 2 2" xfId="16334"/>
    <cellStyle name="40% - akcent 1 3 4 4 2 2 2" xfId="16335"/>
    <cellStyle name="40% - akcent 1 3 4 4 2 3" xfId="16336"/>
    <cellStyle name="40% - akcent 1 3 4 4 3" xfId="16337"/>
    <cellStyle name="40% - akcent 1 3 4 4 3 2" xfId="16338"/>
    <cellStyle name="40% - akcent 1 3 4 4 3 2 2" xfId="16339"/>
    <cellStyle name="40% - akcent 1 3 4 4 3 3" xfId="16340"/>
    <cellStyle name="40% - akcent 1 3 4 4 4" xfId="16341"/>
    <cellStyle name="40% - akcent 1 3 4 4 4 2" xfId="16342"/>
    <cellStyle name="40% - akcent 1 3 4 4 4 2 2" xfId="16343"/>
    <cellStyle name="40% - akcent 1 3 4 4 4 3" xfId="16344"/>
    <cellStyle name="40% - akcent 1 3 4 4 5" xfId="16345"/>
    <cellStyle name="40% - akcent 1 3 4 4 5 2" xfId="16346"/>
    <cellStyle name="40% - akcent 1 3 4 4 6" xfId="16347"/>
    <cellStyle name="40% - akcent 1 3 4 5" xfId="16348"/>
    <cellStyle name="40% - akcent 1 3 4 5 2" xfId="16349"/>
    <cellStyle name="40% - akcent 1 3 4 5 2 2" xfId="16350"/>
    <cellStyle name="40% - akcent 1 3 4 5 2 2 2" xfId="16351"/>
    <cellStyle name="40% - akcent 1 3 4 5 2 3" xfId="16352"/>
    <cellStyle name="40% - akcent 1 3 4 5 3" xfId="16353"/>
    <cellStyle name="40% - akcent 1 3 4 5 3 2" xfId="16354"/>
    <cellStyle name="40% - akcent 1 3 4 5 3 2 2" xfId="16355"/>
    <cellStyle name="40% - akcent 1 3 4 5 3 3" xfId="16356"/>
    <cellStyle name="40% - akcent 1 3 4 5 4" xfId="16357"/>
    <cellStyle name="40% - akcent 1 3 4 5 4 2" xfId="16358"/>
    <cellStyle name="40% - akcent 1 3 4 5 4 2 2" xfId="16359"/>
    <cellStyle name="40% - akcent 1 3 4 5 4 3" xfId="16360"/>
    <cellStyle name="40% - akcent 1 3 4 5 5" xfId="16361"/>
    <cellStyle name="40% - akcent 1 3 4 5 5 2" xfId="16362"/>
    <cellStyle name="40% - akcent 1 3 4 5 6" xfId="16363"/>
    <cellStyle name="40% - akcent 1 3 4 6" xfId="16364"/>
    <cellStyle name="40% - akcent 1 3 4 6 2" xfId="16365"/>
    <cellStyle name="40% - akcent 1 3 4 6 2 2" xfId="16366"/>
    <cellStyle name="40% - akcent 1 3 4 6 3" xfId="16367"/>
    <cellStyle name="40% - akcent 1 3 4 7" xfId="16368"/>
    <cellStyle name="40% - akcent 1 3 4 7 2" xfId="16369"/>
    <cellStyle name="40% - akcent 1 3 4 7 2 2" xfId="16370"/>
    <cellStyle name="40% - akcent 1 3 4 7 3" xfId="16371"/>
    <cellStyle name="40% - akcent 1 3 4 8" xfId="16372"/>
    <cellStyle name="40% - akcent 1 3 4 8 2" xfId="16373"/>
    <cellStyle name="40% - akcent 1 3 4 8 2 2" xfId="16374"/>
    <cellStyle name="40% - akcent 1 3 4 8 3" xfId="16375"/>
    <cellStyle name="40% - akcent 1 3 4 9" xfId="16376"/>
    <cellStyle name="40% - akcent 1 3 4 9 2" xfId="16377"/>
    <cellStyle name="40% - akcent 1 3 5" xfId="16378"/>
    <cellStyle name="40% - akcent 1 3 5 2" xfId="16379"/>
    <cellStyle name="40% - akcent 1 3 5 2 2" xfId="16380"/>
    <cellStyle name="40% - akcent 1 3 5 2 2 2" xfId="16381"/>
    <cellStyle name="40% - akcent 1 3 5 2 2 2 2" xfId="16382"/>
    <cellStyle name="40% - akcent 1 3 5 2 2 2 2 2" xfId="16383"/>
    <cellStyle name="40% - akcent 1 3 5 2 2 2 3" xfId="16384"/>
    <cellStyle name="40% - akcent 1 3 5 2 2 3" xfId="16385"/>
    <cellStyle name="40% - akcent 1 3 5 2 2 3 2" xfId="16386"/>
    <cellStyle name="40% - akcent 1 3 5 2 2 3 2 2" xfId="16387"/>
    <cellStyle name="40% - akcent 1 3 5 2 2 3 3" xfId="16388"/>
    <cellStyle name="40% - akcent 1 3 5 2 2 4" xfId="16389"/>
    <cellStyle name="40% - akcent 1 3 5 2 2 4 2" xfId="16390"/>
    <cellStyle name="40% - akcent 1 3 5 2 2 4 2 2" xfId="16391"/>
    <cellStyle name="40% - akcent 1 3 5 2 2 4 3" xfId="16392"/>
    <cellStyle name="40% - akcent 1 3 5 2 2 5" xfId="16393"/>
    <cellStyle name="40% - akcent 1 3 5 2 2 5 2" xfId="16394"/>
    <cellStyle name="40% - akcent 1 3 5 2 2 6" xfId="16395"/>
    <cellStyle name="40% - akcent 1 3 5 2 3" xfId="16396"/>
    <cellStyle name="40% - akcent 1 3 5 2 3 2" xfId="16397"/>
    <cellStyle name="40% - akcent 1 3 5 2 3 2 2" xfId="16398"/>
    <cellStyle name="40% - akcent 1 3 5 2 3 3" xfId="16399"/>
    <cellStyle name="40% - akcent 1 3 5 2 4" xfId="16400"/>
    <cellStyle name="40% - akcent 1 3 5 2 4 2" xfId="16401"/>
    <cellStyle name="40% - akcent 1 3 5 2 4 2 2" xfId="16402"/>
    <cellStyle name="40% - akcent 1 3 5 2 4 3" xfId="16403"/>
    <cellStyle name="40% - akcent 1 3 5 2 5" xfId="16404"/>
    <cellStyle name="40% - akcent 1 3 5 2 5 2" xfId="16405"/>
    <cellStyle name="40% - akcent 1 3 5 2 5 2 2" xfId="16406"/>
    <cellStyle name="40% - akcent 1 3 5 2 5 3" xfId="16407"/>
    <cellStyle name="40% - akcent 1 3 5 2 6" xfId="16408"/>
    <cellStyle name="40% - akcent 1 3 5 2 6 2" xfId="16409"/>
    <cellStyle name="40% - akcent 1 3 5 2 7" xfId="16410"/>
    <cellStyle name="40% - akcent 1 3 5 3" xfId="16411"/>
    <cellStyle name="40% - akcent 1 3 5 3 2" xfId="16412"/>
    <cellStyle name="40% - akcent 1 3 5 3 2 2" xfId="16413"/>
    <cellStyle name="40% - akcent 1 3 5 3 2 2 2" xfId="16414"/>
    <cellStyle name="40% - akcent 1 3 5 3 2 3" xfId="16415"/>
    <cellStyle name="40% - akcent 1 3 5 3 3" xfId="16416"/>
    <cellStyle name="40% - akcent 1 3 5 3 3 2" xfId="16417"/>
    <cellStyle name="40% - akcent 1 3 5 3 3 2 2" xfId="16418"/>
    <cellStyle name="40% - akcent 1 3 5 3 3 3" xfId="16419"/>
    <cellStyle name="40% - akcent 1 3 5 3 4" xfId="16420"/>
    <cellStyle name="40% - akcent 1 3 5 3 4 2" xfId="16421"/>
    <cellStyle name="40% - akcent 1 3 5 3 4 2 2" xfId="16422"/>
    <cellStyle name="40% - akcent 1 3 5 3 4 3" xfId="16423"/>
    <cellStyle name="40% - akcent 1 3 5 3 5" xfId="16424"/>
    <cellStyle name="40% - akcent 1 3 5 3 5 2" xfId="16425"/>
    <cellStyle name="40% - akcent 1 3 5 3 6" xfId="16426"/>
    <cellStyle name="40% - akcent 1 3 5 4" xfId="16427"/>
    <cellStyle name="40% - akcent 1 3 5 4 2" xfId="16428"/>
    <cellStyle name="40% - akcent 1 3 5 4 2 2" xfId="16429"/>
    <cellStyle name="40% - akcent 1 3 5 4 2 2 2" xfId="16430"/>
    <cellStyle name="40% - akcent 1 3 5 4 2 3" xfId="16431"/>
    <cellStyle name="40% - akcent 1 3 5 4 3" xfId="16432"/>
    <cellStyle name="40% - akcent 1 3 5 4 3 2" xfId="16433"/>
    <cellStyle name="40% - akcent 1 3 5 4 3 2 2" xfId="16434"/>
    <cellStyle name="40% - akcent 1 3 5 4 3 3" xfId="16435"/>
    <cellStyle name="40% - akcent 1 3 5 4 4" xfId="16436"/>
    <cellStyle name="40% - akcent 1 3 5 4 4 2" xfId="16437"/>
    <cellStyle name="40% - akcent 1 3 5 4 4 2 2" xfId="16438"/>
    <cellStyle name="40% - akcent 1 3 5 4 4 3" xfId="16439"/>
    <cellStyle name="40% - akcent 1 3 5 4 5" xfId="16440"/>
    <cellStyle name="40% - akcent 1 3 5 4 5 2" xfId="16441"/>
    <cellStyle name="40% - akcent 1 3 5 4 6" xfId="16442"/>
    <cellStyle name="40% - akcent 1 3 5 5" xfId="16443"/>
    <cellStyle name="40% - akcent 1 3 5 5 2" xfId="16444"/>
    <cellStyle name="40% - akcent 1 3 5 5 2 2" xfId="16445"/>
    <cellStyle name="40% - akcent 1 3 5 5 3" xfId="16446"/>
    <cellStyle name="40% - akcent 1 3 5 6" xfId="16447"/>
    <cellStyle name="40% - akcent 1 3 5 6 2" xfId="16448"/>
    <cellStyle name="40% - akcent 1 3 5 6 2 2" xfId="16449"/>
    <cellStyle name="40% - akcent 1 3 5 6 3" xfId="16450"/>
    <cellStyle name="40% - akcent 1 3 5 7" xfId="16451"/>
    <cellStyle name="40% - akcent 1 3 5 7 2" xfId="16452"/>
    <cellStyle name="40% - akcent 1 3 5 7 2 2" xfId="16453"/>
    <cellStyle name="40% - akcent 1 3 5 7 3" xfId="16454"/>
    <cellStyle name="40% - akcent 1 3 5 8" xfId="16455"/>
    <cellStyle name="40% - akcent 1 3 5 8 2" xfId="16456"/>
    <cellStyle name="40% - akcent 1 3 5 9" xfId="16457"/>
    <cellStyle name="40% - akcent 1 3 6" xfId="16458"/>
    <cellStyle name="40% - akcent 1 3 6 2" xfId="16459"/>
    <cellStyle name="40% - akcent 1 3 6 2 2" xfId="16460"/>
    <cellStyle name="40% - akcent 1 3 6 2 2 2" xfId="16461"/>
    <cellStyle name="40% - akcent 1 3 6 2 2 2 2" xfId="16462"/>
    <cellStyle name="40% - akcent 1 3 6 2 2 2 2 2" xfId="16463"/>
    <cellStyle name="40% - akcent 1 3 6 2 2 2 3" xfId="16464"/>
    <cellStyle name="40% - akcent 1 3 6 2 2 3" xfId="16465"/>
    <cellStyle name="40% - akcent 1 3 6 2 2 3 2" xfId="16466"/>
    <cellStyle name="40% - akcent 1 3 6 2 2 3 2 2" xfId="16467"/>
    <cellStyle name="40% - akcent 1 3 6 2 2 3 3" xfId="16468"/>
    <cellStyle name="40% - akcent 1 3 6 2 2 4" xfId="16469"/>
    <cellStyle name="40% - akcent 1 3 6 2 2 4 2" xfId="16470"/>
    <cellStyle name="40% - akcent 1 3 6 2 2 4 2 2" xfId="16471"/>
    <cellStyle name="40% - akcent 1 3 6 2 2 4 3" xfId="16472"/>
    <cellStyle name="40% - akcent 1 3 6 2 2 5" xfId="16473"/>
    <cellStyle name="40% - akcent 1 3 6 2 2 5 2" xfId="16474"/>
    <cellStyle name="40% - akcent 1 3 6 2 2 6" xfId="16475"/>
    <cellStyle name="40% - akcent 1 3 6 2 3" xfId="16476"/>
    <cellStyle name="40% - akcent 1 3 6 2 3 2" xfId="16477"/>
    <cellStyle name="40% - akcent 1 3 6 2 3 2 2" xfId="16478"/>
    <cellStyle name="40% - akcent 1 3 6 2 3 3" xfId="16479"/>
    <cellStyle name="40% - akcent 1 3 6 2 4" xfId="16480"/>
    <cellStyle name="40% - akcent 1 3 6 2 4 2" xfId="16481"/>
    <cellStyle name="40% - akcent 1 3 6 2 4 2 2" xfId="16482"/>
    <cellStyle name="40% - akcent 1 3 6 2 4 3" xfId="16483"/>
    <cellStyle name="40% - akcent 1 3 6 2 5" xfId="16484"/>
    <cellStyle name="40% - akcent 1 3 6 2 5 2" xfId="16485"/>
    <cellStyle name="40% - akcent 1 3 6 2 5 2 2" xfId="16486"/>
    <cellStyle name="40% - akcent 1 3 6 2 5 3" xfId="16487"/>
    <cellStyle name="40% - akcent 1 3 6 2 6" xfId="16488"/>
    <cellStyle name="40% - akcent 1 3 6 2 6 2" xfId="16489"/>
    <cellStyle name="40% - akcent 1 3 6 2 7" xfId="16490"/>
    <cellStyle name="40% - akcent 1 3 6 3" xfId="16491"/>
    <cellStyle name="40% - akcent 1 3 6 3 2" xfId="16492"/>
    <cellStyle name="40% - akcent 1 3 6 3 2 2" xfId="16493"/>
    <cellStyle name="40% - akcent 1 3 6 3 2 2 2" xfId="16494"/>
    <cellStyle name="40% - akcent 1 3 6 3 2 3" xfId="16495"/>
    <cellStyle name="40% - akcent 1 3 6 3 3" xfId="16496"/>
    <cellStyle name="40% - akcent 1 3 6 3 3 2" xfId="16497"/>
    <cellStyle name="40% - akcent 1 3 6 3 3 2 2" xfId="16498"/>
    <cellStyle name="40% - akcent 1 3 6 3 3 3" xfId="16499"/>
    <cellStyle name="40% - akcent 1 3 6 3 4" xfId="16500"/>
    <cellStyle name="40% - akcent 1 3 6 3 4 2" xfId="16501"/>
    <cellStyle name="40% - akcent 1 3 6 3 4 2 2" xfId="16502"/>
    <cellStyle name="40% - akcent 1 3 6 3 4 3" xfId="16503"/>
    <cellStyle name="40% - akcent 1 3 6 3 5" xfId="16504"/>
    <cellStyle name="40% - akcent 1 3 6 3 5 2" xfId="16505"/>
    <cellStyle name="40% - akcent 1 3 6 3 6" xfId="16506"/>
    <cellStyle name="40% - akcent 1 3 6 4" xfId="16507"/>
    <cellStyle name="40% - akcent 1 3 6 4 2" xfId="16508"/>
    <cellStyle name="40% - akcent 1 3 6 4 2 2" xfId="16509"/>
    <cellStyle name="40% - akcent 1 3 6 4 2 2 2" xfId="16510"/>
    <cellStyle name="40% - akcent 1 3 6 4 2 3" xfId="16511"/>
    <cellStyle name="40% - akcent 1 3 6 4 3" xfId="16512"/>
    <cellStyle name="40% - akcent 1 3 6 4 3 2" xfId="16513"/>
    <cellStyle name="40% - akcent 1 3 6 4 3 2 2" xfId="16514"/>
    <cellStyle name="40% - akcent 1 3 6 4 3 3" xfId="16515"/>
    <cellStyle name="40% - akcent 1 3 6 4 4" xfId="16516"/>
    <cellStyle name="40% - akcent 1 3 6 4 4 2" xfId="16517"/>
    <cellStyle name="40% - akcent 1 3 6 4 4 2 2" xfId="16518"/>
    <cellStyle name="40% - akcent 1 3 6 4 4 3" xfId="16519"/>
    <cellStyle name="40% - akcent 1 3 6 4 5" xfId="16520"/>
    <cellStyle name="40% - akcent 1 3 6 4 5 2" xfId="16521"/>
    <cellStyle name="40% - akcent 1 3 6 4 6" xfId="16522"/>
    <cellStyle name="40% - akcent 1 3 6 5" xfId="16523"/>
    <cellStyle name="40% - akcent 1 3 6 5 2" xfId="16524"/>
    <cellStyle name="40% - akcent 1 3 6 5 2 2" xfId="16525"/>
    <cellStyle name="40% - akcent 1 3 6 5 3" xfId="16526"/>
    <cellStyle name="40% - akcent 1 3 6 6" xfId="16527"/>
    <cellStyle name="40% - akcent 1 3 6 6 2" xfId="16528"/>
    <cellStyle name="40% - akcent 1 3 6 6 2 2" xfId="16529"/>
    <cellStyle name="40% - akcent 1 3 6 6 3" xfId="16530"/>
    <cellStyle name="40% - akcent 1 3 6 7" xfId="16531"/>
    <cellStyle name="40% - akcent 1 3 6 7 2" xfId="16532"/>
    <cellStyle name="40% - akcent 1 3 6 7 2 2" xfId="16533"/>
    <cellStyle name="40% - akcent 1 3 6 7 3" xfId="16534"/>
    <cellStyle name="40% - akcent 1 3 6 8" xfId="16535"/>
    <cellStyle name="40% - akcent 1 3 6 8 2" xfId="16536"/>
    <cellStyle name="40% - akcent 1 3 6 9" xfId="16537"/>
    <cellStyle name="40% - akcent 1 3 7" xfId="16538"/>
    <cellStyle name="40% - akcent 1 3 7 2" xfId="16539"/>
    <cellStyle name="40% - akcent 1 3 7 2 2" xfId="16540"/>
    <cellStyle name="40% - akcent 1 3 7 2 2 2" xfId="16541"/>
    <cellStyle name="40% - akcent 1 3 7 2 2 2 2" xfId="16542"/>
    <cellStyle name="40% - akcent 1 3 7 2 2 3" xfId="16543"/>
    <cellStyle name="40% - akcent 1 3 7 2 3" xfId="16544"/>
    <cellStyle name="40% - akcent 1 3 7 2 3 2" xfId="16545"/>
    <cellStyle name="40% - akcent 1 3 7 2 3 2 2" xfId="16546"/>
    <cellStyle name="40% - akcent 1 3 7 2 3 3" xfId="16547"/>
    <cellStyle name="40% - akcent 1 3 7 2 4" xfId="16548"/>
    <cellStyle name="40% - akcent 1 3 7 2 4 2" xfId="16549"/>
    <cellStyle name="40% - akcent 1 3 7 2 4 2 2" xfId="16550"/>
    <cellStyle name="40% - akcent 1 3 7 2 4 3" xfId="16551"/>
    <cellStyle name="40% - akcent 1 3 7 2 5" xfId="16552"/>
    <cellStyle name="40% - akcent 1 3 7 2 5 2" xfId="16553"/>
    <cellStyle name="40% - akcent 1 3 7 2 6" xfId="16554"/>
    <cellStyle name="40% - akcent 1 3 7 3" xfId="16555"/>
    <cellStyle name="40% - akcent 1 3 7 3 2" xfId="16556"/>
    <cellStyle name="40% - akcent 1 3 7 3 2 2" xfId="16557"/>
    <cellStyle name="40% - akcent 1 3 7 3 3" xfId="16558"/>
    <cellStyle name="40% - akcent 1 3 7 4" xfId="16559"/>
    <cellStyle name="40% - akcent 1 3 7 4 2" xfId="16560"/>
    <cellStyle name="40% - akcent 1 3 7 4 2 2" xfId="16561"/>
    <cellStyle name="40% - akcent 1 3 7 4 3" xfId="16562"/>
    <cellStyle name="40% - akcent 1 3 7 5" xfId="16563"/>
    <cellStyle name="40% - akcent 1 3 7 5 2" xfId="16564"/>
    <cellStyle name="40% - akcent 1 3 7 5 2 2" xfId="16565"/>
    <cellStyle name="40% - akcent 1 3 7 5 3" xfId="16566"/>
    <cellStyle name="40% - akcent 1 3 7 6" xfId="16567"/>
    <cellStyle name="40% - akcent 1 3 7 6 2" xfId="16568"/>
    <cellStyle name="40% - akcent 1 3 7 7" xfId="16569"/>
    <cellStyle name="40% - akcent 1 3 8" xfId="16570"/>
    <cellStyle name="40% - akcent 1 3 8 2" xfId="16571"/>
    <cellStyle name="40% - akcent 1 3 8 2 2" xfId="16572"/>
    <cellStyle name="40% - akcent 1 3 8 2 2 2" xfId="16573"/>
    <cellStyle name="40% - akcent 1 3 8 2 3" xfId="16574"/>
    <cellStyle name="40% - akcent 1 3 8 3" xfId="16575"/>
    <cellStyle name="40% - akcent 1 3 8 3 2" xfId="16576"/>
    <cellStyle name="40% - akcent 1 3 8 3 2 2" xfId="16577"/>
    <cellStyle name="40% - akcent 1 3 8 3 3" xfId="16578"/>
    <cellStyle name="40% - akcent 1 3 8 4" xfId="16579"/>
    <cellStyle name="40% - akcent 1 3 8 4 2" xfId="16580"/>
    <cellStyle name="40% - akcent 1 3 8 4 2 2" xfId="16581"/>
    <cellStyle name="40% - akcent 1 3 8 4 3" xfId="16582"/>
    <cellStyle name="40% - akcent 1 3 8 5" xfId="16583"/>
    <cellStyle name="40% - akcent 1 3 8 5 2" xfId="16584"/>
    <cellStyle name="40% - akcent 1 3 8 6" xfId="16585"/>
    <cellStyle name="40% - akcent 1 3 9" xfId="16586"/>
    <cellStyle name="40% - akcent 1 3 9 2" xfId="16587"/>
    <cellStyle name="40% - akcent 1 3 9 2 2" xfId="16588"/>
    <cellStyle name="40% - akcent 1 3 9 2 2 2" xfId="16589"/>
    <cellStyle name="40% - akcent 1 3 9 2 3" xfId="16590"/>
    <cellStyle name="40% - akcent 1 3 9 3" xfId="16591"/>
    <cellStyle name="40% - akcent 1 3 9 3 2" xfId="16592"/>
    <cellStyle name="40% - akcent 1 3 9 3 2 2" xfId="16593"/>
    <cellStyle name="40% - akcent 1 3 9 3 3" xfId="16594"/>
    <cellStyle name="40% - akcent 1 3 9 4" xfId="16595"/>
    <cellStyle name="40% - akcent 1 3 9 4 2" xfId="16596"/>
    <cellStyle name="40% - akcent 1 3 9 4 2 2" xfId="16597"/>
    <cellStyle name="40% - akcent 1 3 9 4 3" xfId="16598"/>
    <cellStyle name="40% - akcent 1 3 9 5" xfId="16599"/>
    <cellStyle name="40% - akcent 1 3 9 5 2" xfId="16600"/>
    <cellStyle name="40% - akcent 1 3 9 6" xfId="16601"/>
    <cellStyle name="40% - akcent 1 3_2011'05 Raport PGE_DO-CO2" xfId="16602"/>
    <cellStyle name="40% - akcent 1 4" xfId="16603"/>
    <cellStyle name="40% - akcent 1 4 2" xfId="16604"/>
    <cellStyle name="40% - akcent 1 4 2 2" xfId="16605"/>
    <cellStyle name="40% - akcent 1 4 2 2 2" xfId="16606"/>
    <cellStyle name="40% - akcent 1 4 2 2 2 2" xfId="16607"/>
    <cellStyle name="40% - akcent 1 4 2 2 2 2 2" xfId="16608"/>
    <cellStyle name="40% - akcent 1 4 2 2 2 2 2 2" xfId="16609"/>
    <cellStyle name="40% - akcent 1 4 2 2 2 2 2 2 2" xfId="16610"/>
    <cellStyle name="40% - akcent 1 4 2 2 2 2 2 3" xfId="16611"/>
    <cellStyle name="40% - akcent 1 4 2 2 2 2 3" xfId="16612"/>
    <cellStyle name="40% - akcent 1 4 2 2 2 2 3 2" xfId="16613"/>
    <cellStyle name="40% - akcent 1 4 2 2 2 2 3 2 2" xfId="16614"/>
    <cellStyle name="40% - akcent 1 4 2 2 2 2 3 3" xfId="16615"/>
    <cellStyle name="40% - akcent 1 4 2 2 2 2 4" xfId="16616"/>
    <cellStyle name="40% - akcent 1 4 2 2 2 2 4 2" xfId="16617"/>
    <cellStyle name="40% - akcent 1 4 2 2 2 2 4 2 2" xfId="16618"/>
    <cellStyle name="40% - akcent 1 4 2 2 2 2 4 3" xfId="16619"/>
    <cellStyle name="40% - akcent 1 4 2 2 2 2 5" xfId="16620"/>
    <cellStyle name="40% - akcent 1 4 2 2 2 2 5 2" xfId="16621"/>
    <cellStyle name="40% - akcent 1 4 2 2 2 2 6" xfId="16622"/>
    <cellStyle name="40% - akcent 1 4 2 2 2 3" xfId="16623"/>
    <cellStyle name="40% - akcent 1 4 2 2 2 3 2" xfId="16624"/>
    <cellStyle name="40% - akcent 1 4 2 2 2 3 2 2" xfId="16625"/>
    <cellStyle name="40% - akcent 1 4 2 2 2 3 3" xfId="16626"/>
    <cellStyle name="40% - akcent 1 4 2 2 2 4" xfId="16627"/>
    <cellStyle name="40% - akcent 1 4 2 2 2 4 2" xfId="16628"/>
    <cellStyle name="40% - akcent 1 4 2 2 2 4 2 2" xfId="16629"/>
    <cellStyle name="40% - akcent 1 4 2 2 2 4 3" xfId="16630"/>
    <cellStyle name="40% - akcent 1 4 2 2 2 5" xfId="16631"/>
    <cellStyle name="40% - akcent 1 4 2 2 2 5 2" xfId="16632"/>
    <cellStyle name="40% - akcent 1 4 2 2 2 5 2 2" xfId="16633"/>
    <cellStyle name="40% - akcent 1 4 2 2 2 5 3" xfId="16634"/>
    <cellStyle name="40% - akcent 1 4 2 2 2 6" xfId="16635"/>
    <cellStyle name="40% - akcent 1 4 2 2 2 6 2" xfId="16636"/>
    <cellStyle name="40% - akcent 1 4 2 2 2 7" xfId="16637"/>
    <cellStyle name="40% - akcent 1 4 2 2 3" xfId="16638"/>
    <cellStyle name="40% - akcent 1 4 2 2 3 2" xfId="16639"/>
    <cellStyle name="40% - akcent 1 4 2 2 3 2 2" xfId="16640"/>
    <cellStyle name="40% - akcent 1 4 2 2 3 2 2 2" xfId="16641"/>
    <cellStyle name="40% - akcent 1 4 2 2 3 2 3" xfId="16642"/>
    <cellStyle name="40% - akcent 1 4 2 2 3 3" xfId="16643"/>
    <cellStyle name="40% - akcent 1 4 2 2 3 3 2" xfId="16644"/>
    <cellStyle name="40% - akcent 1 4 2 2 3 3 2 2" xfId="16645"/>
    <cellStyle name="40% - akcent 1 4 2 2 3 3 3" xfId="16646"/>
    <cellStyle name="40% - akcent 1 4 2 2 3 4" xfId="16647"/>
    <cellStyle name="40% - akcent 1 4 2 2 3 4 2" xfId="16648"/>
    <cellStyle name="40% - akcent 1 4 2 2 3 4 2 2" xfId="16649"/>
    <cellStyle name="40% - akcent 1 4 2 2 3 4 3" xfId="16650"/>
    <cellStyle name="40% - akcent 1 4 2 2 3 5" xfId="16651"/>
    <cellStyle name="40% - akcent 1 4 2 2 3 5 2" xfId="16652"/>
    <cellStyle name="40% - akcent 1 4 2 2 3 6" xfId="16653"/>
    <cellStyle name="40% - akcent 1 4 2 2 4" xfId="16654"/>
    <cellStyle name="40% - akcent 1 4 2 2 4 2" xfId="16655"/>
    <cellStyle name="40% - akcent 1 4 2 2 4 2 2" xfId="16656"/>
    <cellStyle name="40% - akcent 1 4 2 2 4 2 2 2" xfId="16657"/>
    <cellStyle name="40% - akcent 1 4 2 2 4 2 3" xfId="16658"/>
    <cellStyle name="40% - akcent 1 4 2 2 4 3" xfId="16659"/>
    <cellStyle name="40% - akcent 1 4 2 2 4 3 2" xfId="16660"/>
    <cellStyle name="40% - akcent 1 4 2 2 4 3 2 2" xfId="16661"/>
    <cellStyle name="40% - akcent 1 4 2 2 4 3 3" xfId="16662"/>
    <cellStyle name="40% - akcent 1 4 2 2 4 4" xfId="16663"/>
    <cellStyle name="40% - akcent 1 4 2 2 4 4 2" xfId="16664"/>
    <cellStyle name="40% - akcent 1 4 2 2 4 4 2 2" xfId="16665"/>
    <cellStyle name="40% - akcent 1 4 2 2 4 4 3" xfId="16666"/>
    <cellStyle name="40% - akcent 1 4 2 2 4 5" xfId="16667"/>
    <cellStyle name="40% - akcent 1 4 2 2 4 5 2" xfId="16668"/>
    <cellStyle name="40% - akcent 1 4 2 2 4 6" xfId="16669"/>
    <cellStyle name="40% - akcent 1 4 2 2 5" xfId="16670"/>
    <cellStyle name="40% - akcent 1 4 2 2 5 2" xfId="16671"/>
    <cellStyle name="40% - akcent 1 4 2 2 5 2 2" xfId="16672"/>
    <cellStyle name="40% - akcent 1 4 2 2 5 3" xfId="16673"/>
    <cellStyle name="40% - akcent 1 4 2 2 6" xfId="16674"/>
    <cellStyle name="40% - akcent 1 4 2 2 6 2" xfId="16675"/>
    <cellStyle name="40% - akcent 1 4 2 2 6 2 2" xfId="16676"/>
    <cellStyle name="40% - akcent 1 4 2 2 6 3" xfId="16677"/>
    <cellStyle name="40% - akcent 1 4 2 2 7" xfId="16678"/>
    <cellStyle name="40% - akcent 1 4 2 2 7 2" xfId="16679"/>
    <cellStyle name="40% - akcent 1 4 2 2 7 2 2" xfId="16680"/>
    <cellStyle name="40% - akcent 1 4 2 2 7 3" xfId="16681"/>
    <cellStyle name="40% - akcent 1 4 2 2 8" xfId="16682"/>
    <cellStyle name="40% - akcent 1 4 2 2 8 2" xfId="16683"/>
    <cellStyle name="40% - akcent 1 4 2 2 9" xfId="16684"/>
    <cellStyle name="40% - akcent 1 4 2 3" xfId="16685"/>
    <cellStyle name="40% - akcent 1 4 2 3 2" xfId="16686"/>
    <cellStyle name="40% - akcent 1 4 2 3 2 2" xfId="16687"/>
    <cellStyle name="40% - akcent 1 4 2 3 2 2 2" xfId="16688"/>
    <cellStyle name="40% - akcent 1 4 2 3 2 2 2 2" xfId="16689"/>
    <cellStyle name="40% - akcent 1 4 2 3 2 2 3" xfId="16690"/>
    <cellStyle name="40% - akcent 1 4 2 3 2 3" xfId="16691"/>
    <cellStyle name="40% - akcent 1 4 2 3 2 3 2" xfId="16692"/>
    <cellStyle name="40% - akcent 1 4 2 3 2 3 2 2" xfId="16693"/>
    <cellStyle name="40% - akcent 1 4 2 3 2 3 3" xfId="16694"/>
    <cellStyle name="40% - akcent 1 4 2 3 2 4" xfId="16695"/>
    <cellStyle name="40% - akcent 1 4 2 3 2 4 2" xfId="16696"/>
    <cellStyle name="40% - akcent 1 4 2 3 2 4 2 2" xfId="16697"/>
    <cellStyle name="40% - akcent 1 4 2 3 2 4 3" xfId="16698"/>
    <cellStyle name="40% - akcent 1 4 2 3 2 5" xfId="16699"/>
    <cellStyle name="40% - akcent 1 4 2 3 2 5 2" xfId="16700"/>
    <cellStyle name="40% - akcent 1 4 2 3 2 6" xfId="16701"/>
    <cellStyle name="40% - akcent 1 4 2 3 3" xfId="16702"/>
    <cellStyle name="40% - akcent 1 4 2 3 3 2" xfId="16703"/>
    <cellStyle name="40% - akcent 1 4 2 3 3 2 2" xfId="16704"/>
    <cellStyle name="40% - akcent 1 4 2 3 3 3" xfId="16705"/>
    <cellStyle name="40% - akcent 1 4 2 3 4" xfId="16706"/>
    <cellStyle name="40% - akcent 1 4 2 3 4 2" xfId="16707"/>
    <cellStyle name="40% - akcent 1 4 2 3 4 2 2" xfId="16708"/>
    <cellStyle name="40% - akcent 1 4 2 3 4 3" xfId="16709"/>
    <cellStyle name="40% - akcent 1 4 2 3 5" xfId="16710"/>
    <cellStyle name="40% - akcent 1 4 2 3 5 2" xfId="16711"/>
    <cellStyle name="40% - akcent 1 4 2 3 5 2 2" xfId="16712"/>
    <cellStyle name="40% - akcent 1 4 2 3 5 3" xfId="16713"/>
    <cellStyle name="40% - akcent 1 4 2 3 6" xfId="16714"/>
    <cellStyle name="40% - akcent 1 4 2 3 6 2" xfId="16715"/>
    <cellStyle name="40% - akcent 1 4 2 3 7" xfId="16716"/>
    <cellStyle name="40% - akcent 1 4 2 4" xfId="16717"/>
    <cellStyle name="40% - akcent 1 4 2 4 2" xfId="16718"/>
    <cellStyle name="40% - akcent 1 4 2 4 2 2" xfId="16719"/>
    <cellStyle name="40% - akcent 1 4 2 4 2 2 2" xfId="16720"/>
    <cellStyle name="40% - akcent 1 4 2 4 2 3" xfId="16721"/>
    <cellStyle name="40% - akcent 1 4 2 4 3" xfId="16722"/>
    <cellStyle name="40% - akcent 1 4 2 4 3 2" xfId="16723"/>
    <cellStyle name="40% - akcent 1 4 2 4 3 2 2" xfId="16724"/>
    <cellStyle name="40% - akcent 1 4 2 4 3 3" xfId="16725"/>
    <cellStyle name="40% - akcent 1 4 2 4 4" xfId="16726"/>
    <cellStyle name="40% - akcent 1 4 2 4 4 2" xfId="16727"/>
    <cellStyle name="40% - akcent 1 4 2 4 4 2 2" xfId="16728"/>
    <cellStyle name="40% - akcent 1 4 2 4 4 3" xfId="16729"/>
    <cellStyle name="40% - akcent 1 4 2 4 5" xfId="16730"/>
    <cellStyle name="40% - akcent 1 4 2 4 5 2" xfId="16731"/>
    <cellStyle name="40% - akcent 1 4 2 4 6" xfId="16732"/>
    <cellStyle name="40% - akcent 1 4 2 5" xfId="16733"/>
    <cellStyle name="40% - akcent 1 4 2 5 2" xfId="16734"/>
    <cellStyle name="40% - akcent 1 4 2 5 2 2" xfId="16735"/>
    <cellStyle name="40% - akcent 1 4 2 5 2 2 2" xfId="16736"/>
    <cellStyle name="40% - akcent 1 4 2 5 2 3" xfId="16737"/>
    <cellStyle name="40% - akcent 1 4 2 5 3" xfId="16738"/>
    <cellStyle name="40% - akcent 1 4 2 5 3 2" xfId="16739"/>
    <cellStyle name="40% - akcent 1 4 2 5 3 2 2" xfId="16740"/>
    <cellStyle name="40% - akcent 1 4 2 5 3 3" xfId="16741"/>
    <cellStyle name="40% - akcent 1 4 2 5 4" xfId="16742"/>
    <cellStyle name="40% - akcent 1 4 2 5 4 2" xfId="16743"/>
    <cellStyle name="40% - akcent 1 4 2 5 4 2 2" xfId="16744"/>
    <cellStyle name="40% - akcent 1 4 2 5 4 3" xfId="16745"/>
    <cellStyle name="40% - akcent 1 4 2 5 5" xfId="16746"/>
    <cellStyle name="40% - akcent 1 4 2 5 5 2" xfId="16747"/>
    <cellStyle name="40% - akcent 1 4 2 5 6" xfId="16748"/>
    <cellStyle name="40% - akcent 1 4 2 6" xfId="16749"/>
    <cellStyle name="40% - akcent 1 4 2 7" xfId="16750"/>
    <cellStyle name="40% - akcent 1 4 2 7 2" xfId="16751"/>
    <cellStyle name="40% - akcent 1 4 2 7 2 2" xfId="16752"/>
    <cellStyle name="40% - akcent 1 4 2 7 2 2 2" xfId="16753"/>
    <cellStyle name="40% - akcent 1 4 2 7 2 3" xfId="16754"/>
    <cellStyle name="40% - akcent 1 4 2 7 3" xfId="16755"/>
    <cellStyle name="40% - akcent 1 4 2 7 3 2" xfId="16756"/>
    <cellStyle name="40% - akcent 1 4 2 7 3 2 2" xfId="16757"/>
    <cellStyle name="40% - akcent 1 4 2 7 3 3" xfId="16758"/>
    <cellStyle name="40% - akcent 1 4 2 7 4" xfId="16759"/>
    <cellStyle name="40% - akcent 1 4 2 7 4 2" xfId="16760"/>
    <cellStyle name="40% - akcent 1 4 2 7 4 2 2" xfId="16761"/>
    <cellStyle name="40% - akcent 1 4 2 7 4 3" xfId="16762"/>
    <cellStyle name="40% - akcent 1 4 2 7 5" xfId="16763"/>
    <cellStyle name="40% - akcent 1 4 2 7 5 2" xfId="16764"/>
    <cellStyle name="40% - akcent 1 4 2 7 6" xfId="16765"/>
    <cellStyle name="40% - akcent 1 4 3" xfId="16766"/>
    <cellStyle name="40% - akcent 1 4 3 2" xfId="16767"/>
    <cellStyle name="40% - akcent 1 4 3 2 2" xfId="16768"/>
    <cellStyle name="40% - akcent 1 4 3 2 2 2" xfId="16769"/>
    <cellStyle name="40% - akcent 1 4 3 2 2 2 2" xfId="16770"/>
    <cellStyle name="40% - akcent 1 4 3 2 2 2 2 2" xfId="16771"/>
    <cellStyle name="40% - akcent 1 4 3 2 2 2 3" xfId="16772"/>
    <cellStyle name="40% - akcent 1 4 3 2 2 3" xfId="16773"/>
    <cellStyle name="40% - akcent 1 4 3 2 2 3 2" xfId="16774"/>
    <cellStyle name="40% - akcent 1 4 3 2 2 3 2 2" xfId="16775"/>
    <cellStyle name="40% - akcent 1 4 3 2 2 3 3" xfId="16776"/>
    <cellStyle name="40% - akcent 1 4 3 2 2 4" xfId="16777"/>
    <cellStyle name="40% - akcent 1 4 3 2 2 4 2" xfId="16778"/>
    <cellStyle name="40% - akcent 1 4 3 2 2 4 2 2" xfId="16779"/>
    <cellStyle name="40% - akcent 1 4 3 2 2 4 3" xfId="16780"/>
    <cellStyle name="40% - akcent 1 4 3 2 2 5" xfId="16781"/>
    <cellStyle name="40% - akcent 1 4 3 2 2 5 2" xfId="16782"/>
    <cellStyle name="40% - akcent 1 4 3 2 2 6" xfId="16783"/>
    <cellStyle name="40% - akcent 1 4 3 2 3" xfId="16784"/>
    <cellStyle name="40% - akcent 1 4 3 2 3 2" xfId="16785"/>
    <cellStyle name="40% - akcent 1 4 3 2 3 2 2" xfId="16786"/>
    <cellStyle name="40% - akcent 1 4 3 2 3 3" xfId="16787"/>
    <cellStyle name="40% - akcent 1 4 3 2 4" xfId="16788"/>
    <cellStyle name="40% - akcent 1 4 3 2 4 2" xfId="16789"/>
    <cellStyle name="40% - akcent 1 4 3 2 4 2 2" xfId="16790"/>
    <cellStyle name="40% - akcent 1 4 3 2 4 3" xfId="16791"/>
    <cellStyle name="40% - akcent 1 4 3 2 5" xfId="16792"/>
    <cellStyle name="40% - akcent 1 4 3 2 5 2" xfId="16793"/>
    <cellStyle name="40% - akcent 1 4 3 2 5 2 2" xfId="16794"/>
    <cellStyle name="40% - akcent 1 4 3 2 5 3" xfId="16795"/>
    <cellStyle name="40% - akcent 1 4 3 2 6" xfId="16796"/>
    <cellStyle name="40% - akcent 1 4 3 2 6 2" xfId="16797"/>
    <cellStyle name="40% - akcent 1 4 3 2 7" xfId="16798"/>
    <cellStyle name="40% - akcent 1 4 3 3" xfId="16799"/>
    <cellStyle name="40% - akcent 1 4 3 3 2" xfId="16800"/>
    <cellStyle name="40% - akcent 1 4 3 3 2 2" xfId="16801"/>
    <cellStyle name="40% - akcent 1 4 3 3 2 2 2" xfId="16802"/>
    <cellStyle name="40% - akcent 1 4 3 3 2 3" xfId="16803"/>
    <cellStyle name="40% - akcent 1 4 3 3 3" xfId="16804"/>
    <cellStyle name="40% - akcent 1 4 3 3 3 2" xfId="16805"/>
    <cellStyle name="40% - akcent 1 4 3 3 3 2 2" xfId="16806"/>
    <cellStyle name="40% - akcent 1 4 3 3 3 3" xfId="16807"/>
    <cellStyle name="40% - akcent 1 4 3 3 4" xfId="16808"/>
    <cellStyle name="40% - akcent 1 4 3 3 4 2" xfId="16809"/>
    <cellStyle name="40% - akcent 1 4 3 3 4 2 2" xfId="16810"/>
    <cellStyle name="40% - akcent 1 4 3 3 4 3" xfId="16811"/>
    <cellStyle name="40% - akcent 1 4 3 3 5" xfId="16812"/>
    <cellStyle name="40% - akcent 1 4 3 3 5 2" xfId="16813"/>
    <cellStyle name="40% - akcent 1 4 3 3 6" xfId="16814"/>
    <cellStyle name="40% - akcent 1 4 3 4" xfId="16815"/>
    <cellStyle name="40% - akcent 1 4 3 4 2" xfId="16816"/>
    <cellStyle name="40% - akcent 1 4 3 4 2 2" xfId="16817"/>
    <cellStyle name="40% - akcent 1 4 3 4 2 2 2" xfId="16818"/>
    <cellStyle name="40% - akcent 1 4 3 4 2 3" xfId="16819"/>
    <cellStyle name="40% - akcent 1 4 3 4 3" xfId="16820"/>
    <cellStyle name="40% - akcent 1 4 3 4 3 2" xfId="16821"/>
    <cellStyle name="40% - akcent 1 4 3 4 3 2 2" xfId="16822"/>
    <cellStyle name="40% - akcent 1 4 3 4 3 3" xfId="16823"/>
    <cellStyle name="40% - akcent 1 4 3 4 4" xfId="16824"/>
    <cellStyle name="40% - akcent 1 4 3 4 4 2" xfId="16825"/>
    <cellStyle name="40% - akcent 1 4 3 4 4 2 2" xfId="16826"/>
    <cellStyle name="40% - akcent 1 4 3 4 4 3" xfId="16827"/>
    <cellStyle name="40% - akcent 1 4 3 4 5" xfId="16828"/>
    <cellStyle name="40% - akcent 1 4 3 4 5 2" xfId="16829"/>
    <cellStyle name="40% - akcent 1 4 3 4 6" xfId="16830"/>
    <cellStyle name="40% - akcent 1 4 3 5" xfId="16831"/>
    <cellStyle name="40% - akcent 1 4 3 5 2" xfId="16832"/>
    <cellStyle name="40% - akcent 1 4 3 5 2 2" xfId="16833"/>
    <cellStyle name="40% - akcent 1 4 3 5 2 2 2" xfId="16834"/>
    <cellStyle name="40% - akcent 1 4 3 5 2 3" xfId="16835"/>
    <cellStyle name="40% - akcent 1 4 3 5 3" xfId="16836"/>
    <cellStyle name="40% - akcent 1 4 3 5 3 2" xfId="16837"/>
    <cellStyle name="40% - akcent 1 4 3 5 3 2 2" xfId="16838"/>
    <cellStyle name="40% - akcent 1 4 3 5 3 3" xfId="16839"/>
    <cellStyle name="40% - akcent 1 4 3 5 4" xfId="16840"/>
    <cellStyle name="40% - akcent 1 4 3 5 4 2" xfId="16841"/>
    <cellStyle name="40% - akcent 1 4 3 5 4 2 2" xfId="16842"/>
    <cellStyle name="40% - akcent 1 4 3 5 4 3" xfId="16843"/>
    <cellStyle name="40% - akcent 1 4 3 5 5" xfId="16844"/>
    <cellStyle name="40% - akcent 1 4 3 5 5 2" xfId="16845"/>
    <cellStyle name="40% - akcent 1 4 3 5 6" xfId="16846"/>
    <cellStyle name="40% - akcent 1 4 4" xfId="16847"/>
    <cellStyle name="40% - akcent 1 4 4 2" xfId="16848"/>
    <cellStyle name="40% - akcent 1 4 4 2 2" xfId="16849"/>
    <cellStyle name="40% - akcent 1 4 4 2 2 2" xfId="16850"/>
    <cellStyle name="40% - akcent 1 4 4 2 2 2 2" xfId="16851"/>
    <cellStyle name="40% - akcent 1 4 4 2 2 3" xfId="16852"/>
    <cellStyle name="40% - akcent 1 4 4 2 3" xfId="16853"/>
    <cellStyle name="40% - akcent 1 4 4 2 3 2" xfId="16854"/>
    <cellStyle name="40% - akcent 1 4 4 2 3 2 2" xfId="16855"/>
    <cellStyle name="40% - akcent 1 4 4 2 3 3" xfId="16856"/>
    <cellStyle name="40% - akcent 1 4 4 2 4" xfId="16857"/>
    <cellStyle name="40% - akcent 1 4 4 2 4 2" xfId="16858"/>
    <cellStyle name="40% - akcent 1 4 4 2 4 2 2" xfId="16859"/>
    <cellStyle name="40% - akcent 1 4 4 2 4 3" xfId="16860"/>
    <cellStyle name="40% - akcent 1 4 4 2 5" xfId="16861"/>
    <cellStyle name="40% - akcent 1 4 4 2 5 2" xfId="16862"/>
    <cellStyle name="40% - akcent 1 4 4 2 6" xfId="16863"/>
    <cellStyle name="40% - akcent 1 4 4 3" xfId="16864"/>
    <cellStyle name="40% - akcent 1 4 4 3 2" xfId="16865"/>
    <cellStyle name="40% - akcent 1 4 4 3 2 2" xfId="16866"/>
    <cellStyle name="40% - akcent 1 4 4 3 2 2 2" xfId="16867"/>
    <cellStyle name="40% - akcent 1 4 4 3 2 3" xfId="16868"/>
    <cellStyle name="40% - akcent 1 4 4 3 3" xfId="16869"/>
    <cellStyle name="40% - akcent 1 4 4 3 3 2" xfId="16870"/>
    <cellStyle name="40% - akcent 1 4 4 3 3 2 2" xfId="16871"/>
    <cellStyle name="40% - akcent 1 4 4 3 3 3" xfId="16872"/>
    <cellStyle name="40% - akcent 1 4 4 3 4" xfId="16873"/>
    <cellStyle name="40% - akcent 1 4 4 3 4 2" xfId="16874"/>
    <cellStyle name="40% - akcent 1 4 4 3 4 2 2" xfId="16875"/>
    <cellStyle name="40% - akcent 1 4 4 3 4 3" xfId="16876"/>
    <cellStyle name="40% - akcent 1 4 4 3 5" xfId="16877"/>
    <cellStyle name="40% - akcent 1 4 4 3 5 2" xfId="16878"/>
    <cellStyle name="40% - akcent 1 4 4 3 6" xfId="16879"/>
    <cellStyle name="40% - akcent 1 4 5" xfId="16880"/>
    <cellStyle name="40% - akcent 1 4 5 2" xfId="16881"/>
    <cellStyle name="40% - akcent 1 4 5 2 2" xfId="16882"/>
    <cellStyle name="40% - akcent 1 4 5 2 2 2" xfId="16883"/>
    <cellStyle name="40% - akcent 1 4 5 2 3" xfId="16884"/>
    <cellStyle name="40% - akcent 1 4 5 3" xfId="16885"/>
    <cellStyle name="40% - akcent 1 4 5 3 2" xfId="16886"/>
    <cellStyle name="40% - akcent 1 4 5 3 2 2" xfId="16887"/>
    <cellStyle name="40% - akcent 1 4 5 3 3" xfId="16888"/>
    <cellStyle name="40% - akcent 1 4 5 4" xfId="16889"/>
    <cellStyle name="40% - akcent 1 4 5 4 2" xfId="16890"/>
    <cellStyle name="40% - akcent 1 4 5 4 2 2" xfId="16891"/>
    <cellStyle name="40% - akcent 1 4 5 4 3" xfId="16892"/>
    <cellStyle name="40% - akcent 1 4 5 5" xfId="16893"/>
    <cellStyle name="40% - akcent 1 4 5 5 2" xfId="16894"/>
    <cellStyle name="40% - akcent 1 4 5 6" xfId="16895"/>
    <cellStyle name="40% - akcent 1 4 6" xfId="16896"/>
    <cellStyle name="40% - akcent 1 4 6 2" xfId="16897"/>
    <cellStyle name="40% - akcent 1 4 6 2 2" xfId="16898"/>
    <cellStyle name="40% - akcent 1 4 6 2 2 2" xfId="16899"/>
    <cellStyle name="40% - akcent 1 4 6 2 3" xfId="16900"/>
    <cellStyle name="40% - akcent 1 4 6 3" xfId="16901"/>
    <cellStyle name="40% - akcent 1 4 6 3 2" xfId="16902"/>
    <cellStyle name="40% - akcent 1 4 6 3 2 2" xfId="16903"/>
    <cellStyle name="40% - akcent 1 4 6 3 3" xfId="16904"/>
    <cellStyle name="40% - akcent 1 4 6 4" xfId="16905"/>
    <cellStyle name="40% - akcent 1 4 6 4 2" xfId="16906"/>
    <cellStyle name="40% - akcent 1 4 6 4 2 2" xfId="16907"/>
    <cellStyle name="40% - akcent 1 4 6 4 3" xfId="16908"/>
    <cellStyle name="40% - akcent 1 4 6 5" xfId="16909"/>
    <cellStyle name="40% - akcent 1 4 6 5 2" xfId="16910"/>
    <cellStyle name="40% - akcent 1 4 6 6" xfId="16911"/>
    <cellStyle name="40% - akcent 1 4 7" xfId="16912"/>
    <cellStyle name="40% - akcent 1 4 7 2" xfId="16913"/>
    <cellStyle name="40% - akcent 1 4 7 2 2" xfId="16914"/>
    <cellStyle name="40% - akcent 1 4 7 2 2 2" xfId="16915"/>
    <cellStyle name="40% - akcent 1 4 7 2 3" xfId="16916"/>
    <cellStyle name="40% - akcent 1 4 7 3" xfId="16917"/>
    <cellStyle name="40% - akcent 1 4 7 3 2" xfId="16918"/>
    <cellStyle name="40% - akcent 1 4 7 3 2 2" xfId="16919"/>
    <cellStyle name="40% - akcent 1 4 7 3 3" xfId="16920"/>
    <cellStyle name="40% - akcent 1 4 7 4" xfId="16921"/>
    <cellStyle name="40% - akcent 1 4 7 4 2" xfId="16922"/>
    <cellStyle name="40% - akcent 1 4 7 4 2 2" xfId="16923"/>
    <cellStyle name="40% - akcent 1 4 7 4 3" xfId="16924"/>
    <cellStyle name="40% - akcent 1 4 7 5" xfId="16925"/>
    <cellStyle name="40% - akcent 1 4 7 5 2" xfId="16926"/>
    <cellStyle name="40% - akcent 1 4 7 6" xfId="16927"/>
    <cellStyle name="40% - akcent 1 4_2011'05 Raport PGE_DO-CO2" xfId="16928"/>
    <cellStyle name="40% - akcent 1 5" xfId="16929"/>
    <cellStyle name="40% - akcent 1 5 2" xfId="16930"/>
    <cellStyle name="40% - akcent 1 5 2 2" xfId="16931"/>
    <cellStyle name="40% - akcent 1 5 2 2 2" xfId="16932"/>
    <cellStyle name="40% - akcent 1 5 2 2 2 2" xfId="16933"/>
    <cellStyle name="40% - akcent 1 5 2 2 2 2 2" xfId="16934"/>
    <cellStyle name="40% - akcent 1 5 2 2 2 2 2 2" xfId="16935"/>
    <cellStyle name="40% - akcent 1 5 2 2 2 2 3" xfId="16936"/>
    <cellStyle name="40% - akcent 1 5 2 2 2 3" xfId="16937"/>
    <cellStyle name="40% - akcent 1 5 2 2 2 3 2" xfId="16938"/>
    <cellStyle name="40% - akcent 1 5 2 2 2 3 2 2" xfId="16939"/>
    <cellStyle name="40% - akcent 1 5 2 2 2 3 3" xfId="16940"/>
    <cellStyle name="40% - akcent 1 5 2 2 2 4" xfId="16941"/>
    <cellStyle name="40% - akcent 1 5 2 2 2 4 2" xfId="16942"/>
    <cellStyle name="40% - akcent 1 5 2 2 2 4 2 2" xfId="16943"/>
    <cellStyle name="40% - akcent 1 5 2 2 2 4 3" xfId="16944"/>
    <cellStyle name="40% - akcent 1 5 2 2 2 5" xfId="16945"/>
    <cellStyle name="40% - akcent 1 5 2 2 2 5 2" xfId="16946"/>
    <cellStyle name="40% - akcent 1 5 2 2 2 6" xfId="16947"/>
    <cellStyle name="40% - akcent 1 5 2 2 3" xfId="16948"/>
    <cellStyle name="40% - akcent 1 5 2 2 3 2" xfId="16949"/>
    <cellStyle name="40% - akcent 1 5 2 2 3 2 2" xfId="16950"/>
    <cellStyle name="40% - akcent 1 5 2 2 3 3" xfId="16951"/>
    <cellStyle name="40% - akcent 1 5 2 2 4" xfId="16952"/>
    <cellStyle name="40% - akcent 1 5 2 2 4 2" xfId="16953"/>
    <cellStyle name="40% - akcent 1 5 2 2 4 2 2" xfId="16954"/>
    <cellStyle name="40% - akcent 1 5 2 2 4 3" xfId="16955"/>
    <cellStyle name="40% - akcent 1 5 2 2 5" xfId="16956"/>
    <cellStyle name="40% - akcent 1 5 2 2 5 2" xfId="16957"/>
    <cellStyle name="40% - akcent 1 5 2 2 5 2 2" xfId="16958"/>
    <cellStyle name="40% - akcent 1 5 2 2 5 3" xfId="16959"/>
    <cellStyle name="40% - akcent 1 5 2 2 6" xfId="16960"/>
    <cellStyle name="40% - akcent 1 5 2 2 6 2" xfId="16961"/>
    <cellStyle name="40% - akcent 1 5 2 2 7" xfId="16962"/>
    <cellStyle name="40% - akcent 1 5 2 3" xfId="16963"/>
    <cellStyle name="40% - akcent 1 5 2 3 2" xfId="16964"/>
    <cellStyle name="40% - akcent 1 5 2 3 2 2" xfId="16965"/>
    <cellStyle name="40% - akcent 1 5 2 3 2 2 2" xfId="16966"/>
    <cellStyle name="40% - akcent 1 5 2 3 2 3" xfId="16967"/>
    <cellStyle name="40% - akcent 1 5 2 3 3" xfId="16968"/>
    <cellStyle name="40% - akcent 1 5 2 3 3 2" xfId="16969"/>
    <cellStyle name="40% - akcent 1 5 2 3 3 2 2" xfId="16970"/>
    <cellStyle name="40% - akcent 1 5 2 3 3 3" xfId="16971"/>
    <cellStyle name="40% - akcent 1 5 2 3 4" xfId="16972"/>
    <cellStyle name="40% - akcent 1 5 2 3 4 2" xfId="16973"/>
    <cellStyle name="40% - akcent 1 5 2 3 4 2 2" xfId="16974"/>
    <cellStyle name="40% - akcent 1 5 2 3 4 3" xfId="16975"/>
    <cellStyle name="40% - akcent 1 5 2 3 5" xfId="16976"/>
    <cellStyle name="40% - akcent 1 5 2 3 5 2" xfId="16977"/>
    <cellStyle name="40% - akcent 1 5 2 3 6" xfId="16978"/>
    <cellStyle name="40% - akcent 1 5 2 4" xfId="16979"/>
    <cellStyle name="40% - akcent 1 5 2 4 2" xfId="16980"/>
    <cellStyle name="40% - akcent 1 5 2 4 2 2" xfId="16981"/>
    <cellStyle name="40% - akcent 1 5 2 4 2 2 2" xfId="16982"/>
    <cellStyle name="40% - akcent 1 5 2 4 2 3" xfId="16983"/>
    <cellStyle name="40% - akcent 1 5 2 4 3" xfId="16984"/>
    <cellStyle name="40% - akcent 1 5 2 4 3 2" xfId="16985"/>
    <cellStyle name="40% - akcent 1 5 2 4 3 2 2" xfId="16986"/>
    <cellStyle name="40% - akcent 1 5 2 4 3 3" xfId="16987"/>
    <cellStyle name="40% - akcent 1 5 2 4 4" xfId="16988"/>
    <cellStyle name="40% - akcent 1 5 2 4 4 2" xfId="16989"/>
    <cellStyle name="40% - akcent 1 5 2 4 4 2 2" xfId="16990"/>
    <cellStyle name="40% - akcent 1 5 2 4 4 3" xfId="16991"/>
    <cellStyle name="40% - akcent 1 5 2 4 5" xfId="16992"/>
    <cellStyle name="40% - akcent 1 5 2 4 5 2" xfId="16993"/>
    <cellStyle name="40% - akcent 1 5 2 4 6" xfId="16994"/>
    <cellStyle name="40% - akcent 1 5 2 5" xfId="16995"/>
    <cellStyle name="40% - akcent 1 5 2 6" xfId="16996"/>
    <cellStyle name="40% - akcent 1 5 2 6 2" xfId="16997"/>
    <cellStyle name="40% - akcent 1 5 2 6 2 2" xfId="16998"/>
    <cellStyle name="40% - akcent 1 5 2 6 2 2 2" xfId="16999"/>
    <cellStyle name="40% - akcent 1 5 2 6 2 3" xfId="17000"/>
    <cellStyle name="40% - akcent 1 5 2 6 3" xfId="17001"/>
    <cellStyle name="40% - akcent 1 5 2 6 3 2" xfId="17002"/>
    <cellStyle name="40% - akcent 1 5 2 6 3 2 2" xfId="17003"/>
    <cellStyle name="40% - akcent 1 5 2 6 3 3" xfId="17004"/>
    <cellStyle name="40% - akcent 1 5 2 6 4" xfId="17005"/>
    <cellStyle name="40% - akcent 1 5 2 6 4 2" xfId="17006"/>
    <cellStyle name="40% - akcent 1 5 2 6 4 2 2" xfId="17007"/>
    <cellStyle name="40% - akcent 1 5 2 6 4 3" xfId="17008"/>
    <cellStyle name="40% - akcent 1 5 2 6 5" xfId="17009"/>
    <cellStyle name="40% - akcent 1 5 2 6 5 2" xfId="17010"/>
    <cellStyle name="40% - akcent 1 5 2 6 6" xfId="17011"/>
    <cellStyle name="40% - akcent 1 5 3" xfId="17012"/>
    <cellStyle name="40% - akcent 1 5 3 2" xfId="17013"/>
    <cellStyle name="40% - akcent 1 5 3 2 2" xfId="17014"/>
    <cellStyle name="40% - akcent 1 5 3 2 2 2" xfId="17015"/>
    <cellStyle name="40% - akcent 1 5 3 2 2 2 2" xfId="17016"/>
    <cellStyle name="40% - akcent 1 5 3 2 2 3" xfId="17017"/>
    <cellStyle name="40% - akcent 1 5 3 2 3" xfId="17018"/>
    <cellStyle name="40% - akcent 1 5 3 2 3 2" xfId="17019"/>
    <cellStyle name="40% - akcent 1 5 3 2 3 2 2" xfId="17020"/>
    <cellStyle name="40% - akcent 1 5 3 2 3 3" xfId="17021"/>
    <cellStyle name="40% - akcent 1 5 3 2 4" xfId="17022"/>
    <cellStyle name="40% - akcent 1 5 3 2 4 2" xfId="17023"/>
    <cellStyle name="40% - akcent 1 5 3 2 4 2 2" xfId="17024"/>
    <cellStyle name="40% - akcent 1 5 3 2 4 3" xfId="17025"/>
    <cellStyle name="40% - akcent 1 5 3 2 5" xfId="17026"/>
    <cellStyle name="40% - akcent 1 5 3 2 5 2" xfId="17027"/>
    <cellStyle name="40% - akcent 1 5 3 2 6" xfId="17028"/>
    <cellStyle name="40% - akcent 1 5 3 3" xfId="17029"/>
    <cellStyle name="40% - akcent 1 5 3 3 2" xfId="17030"/>
    <cellStyle name="40% - akcent 1 5 3 3 2 2" xfId="17031"/>
    <cellStyle name="40% - akcent 1 5 3 3 3" xfId="17032"/>
    <cellStyle name="40% - akcent 1 5 3 4" xfId="17033"/>
    <cellStyle name="40% - akcent 1 5 3 4 2" xfId="17034"/>
    <cellStyle name="40% - akcent 1 5 3 4 2 2" xfId="17035"/>
    <cellStyle name="40% - akcent 1 5 3 4 3" xfId="17036"/>
    <cellStyle name="40% - akcent 1 5 3 5" xfId="17037"/>
    <cellStyle name="40% - akcent 1 5 3 5 2" xfId="17038"/>
    <cellStyle name="40% - akcent 1 5 3 5 2 2" xfId="17039"/>
    <cellStyle name="40% - akcent 1 5 3 5 3" xfId="17040"/>
    <cellStyle name="40% - akcent 1 5 3 6" xfId="17041"/>
    <cellStyle name="40% - akcent 1 5 3 6 2" xfId="17042"/>
    <cellStyle name="40% - akcent 1 5 3 7" xfId="17043"/>
    <cellStyle name="40% - akcent 1 5 4" xfId="17044"/>
    <cellStyle name="40% - akcent 1 5 4 2" xfId="17045"/>
    <cellStyle name="40% - akcent 1 5 4 2 2" xfId="17046"/>
    <cellStyle name="40% - akcent 1 5 4 2 2 2" xfId="17047"/>
    <cellStyle name="40% - akcent 1 5 4 2 3" xfId="17048"/>
    <cellStyle name="40% - akcent 1 5 4 3" xfId="17049"/>
    <cellStyle name="40% - akcent 1 5 4 3 2" xfId="17050"/>
    <cellStyle name="40% - akcent 1 5 4 3 2 2" xfId="17051"/>
    <cellStyle name="40% - akcent 1 5 4 3 3" xfId="17052"/>
    <cellStyle name="40% - akcent 1 5 4 4" xfId="17053"/>
    <cellStyle name="40% - akcent 1 5 4 4 2" xfId="17054"/>
    <cellStyle name="40% - akcent 1 5 4 4 2 2" xfId="17055"/>
    <cellStyle name="40% - akcent 1 5 4 4 3" xfId="17056"/>
    <cellStyle name="40% - akcent 1 5 4 5" xfId="17057"/>
    <cellStyle name="40% - akcent 1 5 4 5 2" xfId="17058"/>
    <cellStyle name="40% - akcent 1 5 4 6" xfId="17059"/>
    <cellStyle name="40% - akcent 1 5 5" xfId="17060"/>
    <cellStyle name="40% - akcent 1 5 5 2" xfId="17061"/>
    <cellStyle name="40% - akcent 1 5 5 2 2" xfId="17062"/>
    <cellStyle name="40% - akcent 1 5 5 2 2 2" xfId="17063"/>
    <cellStyle name="40% - akcent 1 5 5 2 3" xfId="17064"/>
    <cellStyle name="40% - akcent 1 5 5 3" xfId="17065"/>
    <cellStyle name="40% - akcent 1 5 5 3 2" xfId="17066"/>
    <cellStyle name="40% - akcent 1 5 5 3 2 2" xfId="17067"/>
    <cellStyle name="40% - akcent 1 5 5 3 3" xfId="17068"/>
    <cellStyle name="40% - akcent 1 5 5 4" xfId="17069"/>
    <cellStyle name="40% - akcent 1 5 5 4 2" xfId="17070"/>
    <cellStyle name="40% - akcent 1 5 5 4 2 2" xfId="17071"/>
    <cellStyle name="40% - akcent 1 5 5 4 3" xfId="17072"/>
    <cellStyle name="40% - akcent 1 5 5 5" xfId="17073"/>
    <cellStyle name="40% - akcent 1 5 5 5 2" xfId="17074"/>
    <cellStyle name="40% - akcent 1 5 5 6" xfId="17075"/>
    <cellStyle name="40% - akcent 1 5 6" xfId="17076"/>
    <cellStyle name="40% - akcent 1 5 6 2" xfId="17077"/>
    <cellStyle name="40% - akcent 1 5 6 2 2" xfId="17078"/>
    <cellStyle name="40% - akcent 1 5 6 2 2 2" xfId="17079"/>
    <cellStyle name="40% - akcent 1 5 6 2 3" xfId="17080"/>
    <cellStyle name="40% - akcent 1 5 6 3" xfId="17081"/>
    <cellStyle name="40% - akcent 1 5 6 3 2" xfId="17082"/>
    <cellStyle name="40% - akcent 1 5 6 3 2 2" xfId="17083"/>
    <cellStyle name="40% - akcent 1 5 6 3 3" xfId="17084"/>
    <cellStyle name="40% - akcent 1 5 6 4" xfId="17085"/>
    <cellStyle name="40% - akcent 1 5 6 4 2" xfId="17086"/>
    <cellStyle name="40% - akcent 1 5 6 4 2 2" xfId="17087"/>
    <cellStyle name="40% - akcent 1 5 6 4 3" xfId="17088"/>
    <cellStyle name="40% - akcent 1 5 6 5" xfId="17089"/>
    <cellStyle name="40% - akcent 1 5 6 5 2" xfId="17090"/>
    <cellStyle name="40% - akcent 1 5 6 6" xfId="17091"/>
    <cellStyle name="40% - akcent 1 5 7" xfId="17092"/>
    <cellStyle name="40% - akcent 1 5 8" xfId="17093"/>
    <cellStyle name="40% - akcent 1 5_2011'05 Raport PGE_DO-CO2" xfId="17094"/>
    <cellStyle name="40% - akcent 1 6" xfId="17095"/>
    <cellStyle name="40% - akcent 1 6 2" xfId="17096"/>
    <cellStyle name="40% - akcent 1 6 2 10" xfId="17097"/>
    <cellStyle name="40% - akcent 1 6 2 2" xfId="17098"/>
    <cellStyle name="40% - akcent 1 6 2 2 2" xfId="17099"/>
    <cellStyle name="40% - akcent 1 6 2 2 2 2" xfId="17100"/>
    <cellStyle name="40% - akcent 1 6 2 2 2 2 2" xfId="17101"/>
    <cellStyle name="40% - akcent 1 6 2 2 2 2 2 2" xfId="17102"/>
    <cellStyle name="40% - akcent 1 6 2 2 2 2 3" xfId="17103"/>
    <cellStyle name="40% - akcent 1 6 2 2 2 3" xfId="17104"/>
    <cellStyle name="40% - akcent 1 6 2 2 2 3 2" xfId="17105"/>
    <cellStyle name="40% - akcent 1 6 2 2 2 3 2 2" xfId="17106"/>
    <cellStyle name="40% - akcent 1 6 2 2 2 3 3" xfId="17107"/>
    <cellStyle name="40% - akcent 1 6 2 2 2 4" xfId="17108"/>
    <cellStyle name="40% - akcent 1 6 2 2 2 4 2" xfId="17109"/>
    <cellStyle name="40% - akcent 1 6 2 2 2 4 2 2" xfId="17110"/>
    <cellStyle name="40% - akcent 1 6 2 2 2 4 3" xfId="17111"/>
    <cellStyle name="40% - akcent 1 6 2 2 2 5" xfId="17112"/>
    <cellStyle name="40% - akcent 1 6 2 2 2 5 2" xfId="17113"/>
    <cellStyle name="40% - akcent 1 6 2 2 2 6" xfId="17114"/>
    <cellStyle name="40% - akcent 1 6 2 2 3" xfId="17115"/>
    <cellStyle name="40% - akcent 1 6 2 2 3 2" xfId="17116"/>
    <cellStyle name="40% - akcent 1 6 2 2 3 2 2" xfId="17117"/>
    <cellStyle name="40% - akcent 1 6 2 2 3 3" xfId="17118"/>
    <cellStyle name="40% - akcent 1 6 2 2 4" xfId="17119"/>
    <cellStyle name="40% - akcent 1 6 2 2 4 2" xfId="17120"/>
    <cellStyle name="40% - akcent 1 6 2 2 4 2 2" xfId="17121"/>
    <cellStyle name="40% - akcent 1 6 2 2 4 3" xfId="17122"/>
    <cellStyle name="40% - akcent 1 6 2 2 5" xfId="17123"/>
    <cellStyle name="40% - akcent 1 6 2 2 5 2" xfId="17124"/>
    <cellStyle name="40% - akcent 1 6 2 2 5 2 2" xfId="17125"/>
    <cellStyle name="40% - akcent 1 6 2 2 5 3" xfId="17126"/>
    <cellStyle name="40% - akcent 1 6 2 2 6" xfId="17127"/>
    <cellStyle name="40% - akcent 1 6 2 2 6 2" xfId="17128"/>
    <cellStyle name="40% - akcent 1 6 2 2 7" xfId="17129"/>
    <cellStyle name="40% - akcent 1 6 2 3" xfId="17130"/>
    <cellStyle name="40% - akcent 1 6 2 3 2" xfId="17131"/>
    <cellStyle name="40% - akcent 1 6 2 3 2 2" xfId="17132"/>
    <cellStyle name="40% - akcent 1 6 2 3 2 2 2" xfId="17133"/>
    <cellStyle name="40% - akcent 1 6 2 3 2 3" xfId="17134"/>
    <cellStyle name="40% - akcent 1 6 2 3 3" xfId="17135"/>
    <cellStyle name="40% - akcent 1 6 2 3 3 2" xfId="17136"/>
    <cellStyle name="40% - akcent 1 6 2 3 3 2 2" xfId="17137"/>
    <cellStyle name="40% - akcent 1 6 2 3 3 3" xfId="17138"/>
    <cellStyle name="40% - akcent 1 6 2 3 4" xfId="17139"/>
    <cellStyle name="40% - akcent 1 6 2 3 4 2" xfId="17140"/>
    <cellStyle name="40% - akcent 1 6 2 3 4 2 2" xfId="17141"/>
    <cellStyle name="40% - akcent 1 6 2 3 4 3" xfId="17142"/>
    <cellStyle name="40% - akcent 1 6 2 3 5" xfId="17143"/>
    <cellStyle name="40% - akcent 1 6 2 3 5 2" xfId="17144"/>
    <cellStyle name="40% - akcent 1 6 2 3 6" xfId="17145"/>
    <cellStyle name="40% - akcent 1 6 2 4" xfId="17146"/>
    <cellStyle name="40% - akcent 1 6 2 4 2" xfId="17147"/>
    <cellStyle name="40% - akcent 1 6 2 4 2 2" xfId="17148"/>
    <cellStyle name="40% - akcent 1 6 2 4 2 2 2" xfId="17149"/>
    <cellStyle name="40% - akcent 1 6 2 4 2 3" xfId="17150"/>
    <cellStyle name="40% - akcent 1 6 2 4 3" xfId="17151"/>
    <cellStyle name="40% - akcent 1 6 2 4 3 2" xfId="17152"/>
    <cellStyle name="40% - akcent 1 6 2 4 3 2 2" xfId="17153"/>
    <cellStyle name="40% - akcent 1 6 2 4 3 3" xfId="17154"/>
    <cellStyle name="40% - akcent 1 6 2 4 4" xfId="17155"/>
    <cellStyle name="40% - akcent 1 6 2 4 4 2" xfId="17156"/>
    <cellStyle name="40% - akcent 1 6 2 4 4 2 2" xfId="17157"/>
    <cellStyle name="40% - akcent 1 6 2 4 4 3" xfId="17158"/>
    <cellStyle name="40% - akcent 1 6 2 4 5" xfId="17159"/>
    <cellStyle name="40% - akcent 1 6 2 4 5 2" xfId="17160"/>
    <cellStyle name="40% - akcent 1 6 2 4 6" xfId="17161"/>
    <cellStyle name="40% - akcent 1 6 2 5" xfId="17162"/>
    <cellStyle name="40% - akcent 1 6 2 6" xfId="17163"/>
    <cellStyle name="40% - akcent 1 6 2 6 2" xfId="17164"/>
    <cellStyle name="40% - akcent 1 6 2 6 2 2" xfId="17165"/>
    <cellStyle name="40% - akcent 1 6 2 6 3" xfId="17166"/>
    <cellStyle name="40% - akcent 1 6 2 7" xfId="17167"/>
    <cellStyle name="40% - akcent 1 6 2 7 2" xfId="17168"/>
    <cellStyle name="40% - akcent 1 6 2 7 2 2" xfId="17169"/>
    <cellStyle name="40% - akcent 1 6 2 7 3" xfId="17170"/>
    <cellStyle name="40% - akcent 1 6 2 8" xfId="17171"/>
    <cellStyle name="40% - akcent 1 6 2 8 2" xfId="17172"/>
    <cellStyle name="40% - akcent 1 6 2 8 2 2" xfId="17173"/>
    <cellStyle name="40% - akcent 1 6 2 8 3" xfId="17174"/>
    <cellStyle name="40% - akcent 1 6 2 9" xfId="17175"/>
    <cellStyle name="40% - akcent 1 6 2 9 2" xfId="17176"/>
    <cellStyle name="40% - akcent 1 6 3" xfId="17177"/>
    <cellStyle name="40% - akcent 1 6 3 2" xfId="17178"/>
    <cellStyle name="40% - akcent 1 6 3 2 2" xfId="17179"/>
    <cellStyle name="40% - akcent 1 6 3 2 2 2" xfId="17180"/>
    <cellStyle name="40% - akcent 1 6 3 2 2 2 2" xfId="17181"/>
    <cellStyle name="40% - akcent 1 6 3 2 2 3" xfId="17182"/>
    <cellStyle name="40% - akcent 1 6 3 2 3" xfId="17183"/>
    <cellStyle name="40% - akcent 1 6 3 2 3 2" xfId="17184"/>
    <cellStyle name="40% - akcent 1 6 3 2 3 2 2" xfId="17185"/>
    <cellStyle name="40% - akcent 1 6 3 2 3 3" xfId="17186"/>
    <cellStyle name="40% - akcent 1 6 3 2 4" xfId="17187"/>
    <cellStyle name="40% - akcent 1 6 3 2 4 2" xfId="17188"/>
    <cellStyle name="40% - akcent 1 6 3 2 4 2 2" xfId="17189"/>
    <cellStyle name="40% - akcent 1 6 3 2 4 3" xfId="17190"/>
    <cellStyle name="40% - akcent 1 6 3 2 5" xfId="17191"/>
    <cellStyle name="40% - akcent 1 6 3 2 5 2" xfId="17192"/>
    <cellStyle name="40% - akcent 1 6 3 2 6" xfId="17193"/>
    <cellStyle name="40% - akcent 1 6 3 3" xfId="17194"/>
    <cellStyle name="40% - akcent 1 6 3 3 2" xfId="17195"/>
    <cellStyle name="40% - akcent 1 6 3 3 2 2" xfId="17196"/>
    <cellStyle name="40% - akcent 1 6 3 3 3" xfId="17197"/>
    <cellStyle name="40% - akcent 1 6 3 4" xfId="17198"/>
    <cellStyle name="40% - akcent 1 6 3 4 2" xfId="17199"/>
    <cellStyle name="40% - akcent 1 6 3 4 2 2" xfId="17200"/>
    <cellStyle name="40% - akcent 1 6 3 4 3" xfId="17201"/>
    <cellStyle name="40% - akcent 1 6 3 5" xfId="17202"/>
    <cellStyle name="40% - akcent 1 6 3 5 2" xfId="17203"/>
    <cellStyle name="40% - akcent 1 6 3 5 2 2" xfId="17204"/>
    <cellStyle name="40% - akcent 1 6 3 5 3" xfId="17205"/>
    <cellStyle name="40% - akcent 1 6 3 6" xfId="17206"/>
    <cellStyle name="40% - akcent 1 6 3 6 2" xfId="17207"/>
    <cellStyle name="40% - akcent 1 6 3 7" xfId="17208"/>
    <cellStyle name="40% - akcent 1 6 4" xfId="17209"/>
    <cellStyle name="40% - akcent 1 6 4 2" xfId="17210"/>
    <cellStyle name="40% - akcent 1 6 4 2 2" xfId="17211"/>
    <cellStyle name="40% - akcent 1 6 4 2 2 2" xfId="17212"/>
    <cellStyle name="40% - akcent 1 6 4 2 3" xfId="17213"/>
    <cellStyle name="40% - akcent 1 6 4 3" xfId="17214"/>
    <cellStyle name="40% - akcent 1 6 4 3 2" xfId="17215"/>
    <cellStyle name="40% - akcent 1 6 4 3 2 2" xfId="17216"/>
    <cellStyle name="40% - akcent 1 6 4 3 3" xfId="17217"/>
    <cellStyle name="40% - akcent 1 6 4 4" xfId="17218"/>
    <cellStyle name="40% - akcent 1 6 4 4 2" xfId="17219"/>
    <cellStyle name="40% - akcent 1 6 4 4 2 2" xfId="17220"/>
    <cellStyle name="40% - akcent 1 6 4 4 3" xfId="17221"/>
    <cellStyle name="40% - akcent 1 6 4 5" xfId="17222"/>
    <cellStyle name="40% - akcent 1 6 4 5 2" xfId="17223"/>
    <cellStyle name="40% - akcent 1 6 4 6" xfId="17224"/>
    <cellStyle name="40% - akcent 1 6 5" xfId="17225"/>
    <cellStyle name="40% - akcent 1 6 5 2" xfId="17226"/>
    <cellStyle name="40% - akcent 1 6 5 2 2" xfId="17227"/>
    <cellStyle name="40% - akcent 1 6 5 2 2 2" xfId="17228"/>
    <cellStyle name="40% - akcent 1 6 5 2 3" xfId="17229"/>
    <cellStyle name="40% - akcent 1 6 5 3" xfId="17230"/>
    <cellStyle name="40% - akcent 1 6 5 3 2" xfId="17231"/>
    <cellStyle name="40% - akcent 1 6 5 3 2 2" xfId="17232"/>
    <cellStyle name="40% - akcent 1 6 5 3 3" xfId="17233"/>
    <cellStyle name="40% - akcent 1 6 5 4" xfId="17234"/>
    <cellStyle name="40% - akcent 1 6 5 4 2" xfId="17235"/>
    <cellStyle name="40% - akcent 1 6 5 4 2 2" xfId="17236"/>
    <cellStyle name="40% - akcent 1 6 5 4 3" xfId="17237"/>
    <cellStyle name="40% - akcent 1 6 5 5" xfId="17238"/>
    <cellStyle name="40% - akcent 1 6 5 5 2" xfId="17239"/>
    <cellStyle name="40% - akcent 1 6 5 6" xfId="17240"/>
    <cellStyle name="40% - akcent 1 6 6" xfId="17241"/>
    <cellStyle name="40% - akcent 1 6 7" xfId="17242"/>
    <cellStyle name="40% - akcent 1 6 7 2" xfId="17243"/>
    <cellStyle name="40% - akcent 1 6 7 2 2" xfId="17244"/>
    <cellStyle name="40% - akcent 1 6 7 2 2 2" xfId="17245"/>
    <cellStyle name="40% - akcent 1 6 7 2 3" xfId="17246"/>
    <cellStyle name="40% - akcent 1 6 7 3" xfId="17247"/>
    <cellStyle name="40% - akcent 1 6 7 3 2" xfId="17248"/>
    <cellStyle name="40% - akcent 1 6 7 3 2 2" xfId="17249"/>
    <cellStyle name="40% - akcent 1 6 7 3 3" xfId="17250"/>
    <cellStyle name="40% - akcent 1 6 7 4" xfId="17251"/>
    <cellStyle name="40% - akcent 1 6 7 4 2" xfId="17252"/>
    <cellStyle name="40% - akcent 1 6 7 4 2 2" xfId="17253"/>
    <cellStyle name="40% - akcent 1 6 7 4 3" xfId="17254"/>
    <cellStyle name="40% - akcent 1 6 7 5" xfId="17255"/>
    <cellStyle name="40% - akcent 1 6 7 5 2" xfId="17256"/>
    <cellStyle name="40% - akcent 1 6 7 6" xfId="17257"/>
    <cellStyle name="40% - akcent 1 6_Arkusz1" xfId="17258"/>
    <cellStyle name="40% - akcent 1 7" xfId="17259"/>
    <cellStyle name="40% - akcent 1 7 2" xfId="17260"/>
    <cellStyle name="40% - akcent 1 7 2 10" xfId="17261"/>
    <cellStyle name="40% - akcent 1 7 2 2" xfId="17262"/>
    <cellStyle name="40% - akcent 1 7 2 2 2" xfId="17263"/>
    <cellStyle name="40% - akcent 1 7 2 2 2 2" xfId="17264"/>
    <cellStyle name="40% - akcent 1 7 2 2 2 2 2" xfId="17265"/>
    <cellStyle name="40% - akcent 1 7 2 2 2 2 2 2" xfId="17266"/>
    <cellStyle name="40% - akcent 1 7 2 2 2 2 3" xfId="17267"/>
    <cellStyle name="40% - akcent 1 7 2 2 2 3" xfId="17268"/>
    <cellStyle name="40% - akcent 1 7 2 2 2 3 2" xfId="17269"/>
    <cellStyle name="40% - akcent 1 7 2 2 2 3 2 2" xfId="17270"/>
    <cellStyle name="40% - akcent 1 7 2 2 2 3 3" xfId="17271"/>
    <cellStyle name="40% - akcent 1 7 2 2 2 4" xfId="17272"/>
    <cellStyle name="40% - akcent 1 7 2 2 2 4 2" xfId="17273"/>
    <cellStyle name="40% - akcent 1 7 2 2 2 4 2 2" xfId="17274"/>
    <cellStyle name="40% - akcent 1 7 2 2 2 4 3" xfId="17275"/>
    <cellStyle name="40% - akcent 1 7 2 2 2 5" xfId="17276"/>
    <cellStyle name="40% - akcent 1 7 2 2 2 5 2" xfId="17277"/>
    <cellStyle name="40% - akcent 1 7 2 2 2 6" xfId="17278"/>
    <cellStyle name="40% - akcent 1 7 2 2 3" xfId="17279"/>
    <cellStyle name="40% - akcent 1 7 2 2 3 2" xfId="17280"/>
    <cellStyle name="40% - akcent 1 7 2 2 3 2 2" xfId="17281"/>
    <cellStyle name="40% - akcent 1 7 2 2 3 3" xfId="17282"/>
    <cellStyle name="40% - akcent 1 7 2 2 4" xfId="17283"/>
    <cellStyle name="40% - akcent 1 7 2 2 4 2" xfId="17284"/>
    <cellStyle name="40% - akcent 1 7 2 2 4 2 2" xfId="17285"/>
    <cellStyle name="40% - akcent 1 7 2 2 4 3" xfId="17286"/>
    <cellStyle name="40% - akcent 1 7 2 2 5" xfId="17287"/>
    <cellStyle name="40% - akcent 1 7 2 2 5 2" xfId="17288"/>
    <cellStyle name="40% - akcent 1 7 2 2 5 2 2" xfId="17289"/>
    <cellStyle name="40% - akcent 1 7 2 2 5 3" xfId="17290"/>
    <cellStyle name="40% - akcent 1 7 2 2 6" xfId="17291"/>
    <cellStyle name="40% - akcent 1 7 2 2 6 2" xfId="17292"/>
    <cellStyle name="40% - akcent 1 7 2 2 7" xfId="17293"/>
    <cellStyle name="40% - akcent 1 7 2 3" xfId="17294"/>
    <cellStyle name="40% - akcent 1 7 2 3 2" xfId="17295"/>
    <cellStyle name="40% - akcent 1 7 2 3 2 2" xfId="17296"/>
    <cellStyle name="40% - akcent 1 7 2 3 2 2 2" xfId="17297"/>
    <cellStyle name="40% - akcent 1 7 2 3 2 3" xfId="17298"/>
    <cellStyle name="40% - akcent 1 7 2 3 3" xfId="17299"/>
    <cellStyle name="40% - akcent 1 7 2 3 3 2" xfId="17300"/>
    <cellStyle name="40% - akcent 1 7 2 3 3 2 2" xfId="17301"/>
    <cellStyle name="40% - akcent 1 7 2 3 3 3" xfId="17302"/>
    <cellStyle name="40% - akcent 1 7 2 3 4" xfId="17303"/>
    <cellStyle name="40% - akcent 1 7 2 3 4 2" xfId="17304"/>
    <cellStyle name="40% - akcent 1 7 2 3 4 2 2" xfId="17305"/>
    <cellStyle name="40% - akcent 1 7 2 3 4 3" xfId="17306"/>
    <cellStyle name="40% - akcent 1 7 2 3 5" xfId="17307"/>
    <cellStyle name="40% - akcent 1 7 2 3 5 2" xfId="17308"/>
    <cellStyle name="40% - akcent 1 7 2 3 6" xfId="17309"/>
    <cellStyle name="40% - akcent 1 7 2 4" xfId="17310"/>
    <cellStyle name="40% - akcent 1 7 2 4 2" xfId="17311"/>
    <cellStyle name="40% - akcent 1 7 2 4 2 2" xfId="17312"/>
    <cellStyle name="40% - akcent 1 7 2 4 2 2 2" xfId="17313"/>
    <cellStyle name="40% - akcent 1 7 2 4 2 3" xfId="17314"/>
    <cellStyle name="40% - akcent 1 7 2 4 3" xfId="17315"/>
    <cellStyle name="40% - akcent 1 7 2 4 3 2" xfId="17316"/>
    <cellStyle name="40% - akcent 1 7 2 4 3 2 2" xfId="17317"/>
    <cellStyle name="40% - akcent 1 7 2 4 3 3" xfId="17318"/>
    <cellStyle name="40% - akcent 1 7 2 4 4" xfId="17319"/>
    <cellStyle name="40% - akcent 1 7 2 4 4 2" xfId="17320"/>
    <cellStyle name="40% - akcent 1 7 2 4 4 2 2" xfId="17321"/>
    <cellStyle name="40% - akcent 1 7 2 4 4 3" xfId="17322"/>
    <cellStyle name="40% - akcent 1 7 2 4 5" xfId="17323"/>
    <cellStyle name="40% - akcent 1 7 2 4 5 2" xfId="17324"/>
    <cellStyle name="40% - akcent 1 7 2 4 6" xfId="17325"/>
    <cellStyle name="40% - akcent 1 7 2 5" xfId="17326"/>
    <cellStyle name="40% - akcent 1 7 2 6" xfId="17327"/>
    <cellStyle name="40% - akcent 1 7 2 6 2" xfId="17328"/>
    <cellStyle name="40% - akcent 1 7 2 6 2 2" xfId="17329"/>
    <cellStyle name="40% - akcent 1 7 2 6 3" xfId="17330"/>
    <cellStyle name="40% - akcent 1 7 2 7" xfId="17331"/>
    <cellStyle name="40% - akcent 1 7 2 7 2" xfId="17332"/>
    <cellStyle name="40% - akcent 1 7 2 7 2 2" xfId="17333"/>
    <cellStyle name="40% - akcent 1 7 2 7 3" xfId="17334"/>
    <cellStyle name="40% - akcent 1 7 2 8" xfId="17335"/>
    <cellStyle name="40% - akcent 1 7 2 8 2" xfId="17336"/>
    <cellStyle name="40% - akcent 1 7 2 8 2 2" xfId="17337"/>
    <cellStyle name="40% - akcent 1 7 2 8 3" xfId="17338"/>
    <cellStyle name="40% - akcent 1 7 2 9" xfId="17339"/>
    <cellStyle name="40% - akcent 1 7 2 9 2" xfId="17340"/>
    <cellStyle name="40% - akcent 1 7 3" xfId="17341"/>
    <cellStyle name="40% - akcent 1 7 3 2" xfId="17342"/>
    <cellStyle name="40% - akcent 1 7 3 2 2" xfId="17343"/>
    <cellStyle name="40% - akcent 1 7 3 2 2 2" xfId="17344"/>
    <cellStyle name="40% - akcent 1 7 3 2 2 2 2" xfId="17345"/>
    <cellStyle name="40% - akcent 1 7 3 2 2 3" xfId="17346"/>
    <cellStyle name="40% - akcent 1 7 3 2 3" xfId="17347"/>
    <cellStyle name="40% - akcent 1 7 3 2 3 2" xfId="17348"/>
    <cellStyle name="40% - akcent 1 7 3 2 3 2 2" xfId="17349"/>
    <cellStyle name="40% - akcent 1 7 3 2 3 3" xfId="17350"/>
    <cellStyle name="40% - akcent 1 7 3 2 4" xfId="17351"/>
    <cellStyle name="40% - akcent 1 7 3 2 4 2" xfId="17352"/>
    <cellStyle name="40% - akcent 1 7 3 2 4 2 2" xfId="17353"/>
    <cellStyle name="40% - akcent 1 7 3 2 4 3" xfId="17354"/>
    <cellStyle name="40% - akcent 1 7 3 2 5" xfId="17355"/>
    <cellStyle name="40% - akcent 1 7 3 2 5 2" xfId="17356"/>
    <cellStyle name="40% - akcent 1 7 3 2 6" xfId="17357"/>
    <cellStyle name="40% - akcent 1 7 3 3" xfId="17358"/>
    <cellStyle name="40% - akcent 1 7 3 3 2" xfId="17359"/>
    <cellStyle name="40% - akcent 1 7 3 3 2 2" xfId="17360"/>
    <cellStyle name="40% - akcent 1 7 3 3 3" xfId="17361"/>
    <cellStyle name="40% - akcent 1 7 3 4" xfId="17362"/>
    <cellStyle name="40% - akcent 1 7 3 4 2" xfId="17363"/>
    <cellStyle name="40% - akcent 1 7 3 4 2 2" xfId="17364"/>
    <cellStyle name="40% - akcent 1 7 3 4 3" xfId="17365"/>
    <cellStyle name="40% - akcent 1 7 3 5" xfId="17366"/>
    <cellStyle name="40% - akcent 1 7 3 5 2" xfId="17367"/>
    <cellStyle name="40% - akcent 1 7 3 5 2 2" xfId="17368"/>
    <cellStyle name="40% - akcent 1 7 3 5 3" xfId="17369"/>
    <cellStyle name="40% - akcent 1 7 3 6" xfId="17370"/>
    <cellStyle name="40% - akcent 1 7 3 6 2" xfId="17371"/>
    <cellStyle name="40% - akcent 1 7 3 7" xfId="17372"/>
    <cellStyle name="40% - akcent 1 7 4" xfId="17373"/>
    <cellStyle name="40% - akcent 1 7 4 2" xfId="17374"/>
    <cellStyle name="40% - akcent 1 7 4 2 2" xfId="17375"/>
    <cellStyle name="40% - akcent 1 7 4 2 2 2" xfId="17376"/>
    <cellStyle name="40% - akcent 1 7 4 2 3" xfId="17377"/>
    <cellStyle name="40% - akcent 1 7 4 3" xfId="17378"/>
    <cellStyle name="40% - akcent 1 7 4 3 2" xfId="17379"/>
    <cellStyle name="40% - akcent 1 7 4 3 2 2" xfId="17380"/>
    <cellStyle name="40% - akcent 1 7 4 3 3" xfId="17381"/>
    <cellStyle name="40% - akcent 1 7 4 4" xfId="17382"/>
    <cellStyle name="40% - akcent 1 7 4 4 2" xfId="17383"/>
    <cellStyle name="40% - akcent 1 7 4 4 2 2" xfId="17384"/>
    <cellStyle name="40% - akcent 1 7 4 4 3" xfId="17385"/>
    <cellStyle name="40% - akcent 1 7 4 5" xfId="17386"/>
    <cellStyle name="40% - akcent 1 7 4 5 2" xfId="17387"/>
    <cellStyle name="40% - akcent 1 7 4 6" xfId="17388"/>
    <cellStyle name="40% - akcent 1 7 5" xfId="17389"/>
    <cellStyle name="40% - akcent 1 7 5 2" xfId="17390"/>
    <cellStyle name="40% - akcent 1 7 5 2 2" xfId="17391"/>
    <cellStyle name="40% - akcent 1 7 5 2 2 2" xfId="17392"/>
    <cellStyle name="40% - akcent 1 7 5 2 3" xfId="17393"/>
    <cellStyle name="40% - akcent 1 7 5 3" xfId="17394"/>
    <cellStyle name="40% - akcent 1 7 5 3 2" xfId="17395"/>
    <cellStyle name="40% - akcent 1 7 5 3 2 2" xfId="17396"/>
    <cellStyle name="40% - akcent 1 7 5 3 3" xfId="17397"/>
    <cellStyle name="40% - akcent 1 7 5 4" xfId="17398"/>
    <cellStyle name="40% - akcent 1 7 5 4 2" xfId="17399"/>
    <cellStyle name="40% - akcent 1 7 5 4 2 2" xfId="17400"/>
    <cellStyle name="40% - akcent 1 7 5 4 3" xfId="17401"/>
    <cellStyle name="40% - akcent 1 7 5 5" xfId="17402"/>
    <cellStyle name="40% - akcent 1 7 5 5 2" xfId="17403"/>
    <cellStyle name="40% - akcent 1 7 5 6" xfId="17404"/>
    <cellStyle name="40% - akcent 1 7 6" xfId="17405"/>
    <cellStyle name="40% - akcent 1 7 7" xfId="17406"/>
    <cellStyle name="40% - akcent 1 7 7 2" xfId="17407"/>
    <cellStyle name="40% - akcent 1 7 7 2 2" xfId="17408"/>
    <cellStyle name="40% - akcent 1 7 7 2 2 2" xfId="17409"/>
    <cellStyle name="40% - akcent 1 7 7 2 3" xfId="17410"/>
    <cellStyle name="40% - akcent 1 7 7 3" xfId="17411"/>
    <cellStyle name="40% - akcent 1 7 7 3 2" xfId="17412"/>
    <cellStyle name="40% - akcent 1 7 7 3 2 2" xfId="17413"/>
    <cellStyle name="40% - akcent 1 7 7 3 3" xfId="17414"/>
    <cellStyle name="40% - akcent 1 7 7 4" xfId="17415"/>
    <cellStyle name="40% - akcent 1 7 7 4 2" xfId="17416"/>
    <cellStyle name="40% - akcent 1 7 7 4 2 2" xfId="17417"/>
    <cellStyle name="40% - akcent 1 7 7 4 3" xfId="17418"/>
    <cellStyle name="40% - akcent 1 7 7 5" xfId="17419"/>
    <cellStyle name="40% - akcent 1 7 7 5 2" xfId="17420"/>
    <cellStyle name="40% - akcent 1 7 7 6" xfId="17421"/>
    <cellStyle name="40% - akcent 1 7_Arkusz1" xfId="17422"/>
    <cellStyle name="40% - akcent 1 8" xfId="17423"/>
    <cellStyle name="40% - akcent 1 8 2" xfId="17424"/>
    <cellStyle name="40% - akcent 1 8 3" xfId="17425"/>
    <cellStyle name="40% - akcent 1 8_Arkusz1" xfId="17426"/>
    <cellStyle name="40% - akcent 1 9" xfId="17427"/>
    <cellStyle name="40% - akcent 1 9 2" xfId="17428"/>
    <cellStyle name="40% - akcent 1 9_Arkusz1" xfId="17429"/>
    <cellStyle name="40% - akcent 2 10" xfId="17430"/>
    <cellStyle name="40% - akcent 2 10 2" xfId="17431"/>
    <cellStyle name="40% - akcent 2 10_Arkusz1" xfId="17432"/>
    <cellStyle name="40% - akcent 2 11" xfId="17433"/>
    <cellStyle name="40% - akcent 2 2" xfId="17434"/>
    <cellStyle name="40% - akcent 2 2 10" xfId="17435"/>
    <cellStyle name="40% - akcent 2 2 2" xfId="17436"/>
    <cellStyle name="40% - akcent 2 2 2 2" xfId="17437"/>
    <cellStyle name="40% - akcent 2 2 2 2 2" xfId="17438"/>
    <cellStyle name="40% - akcent 2 2 2 2 2 2" xfId="17439"/>
    <cellStyle name="40% - akcent 2 2 2 2 2 2 2" xfId="17440"/>
    <cellStyle name="40% - akcent 2 2 2 2 2 2 2 2" xfId="17441"/>
    <cellStyle name="40% - akcent 2 2 2 2 2 2 2 2 2" xfId="17442"/>
    <cellStyle name="40% - akcent 2 2 2 2 2 2 2 2 2 2" xfId="17443"/>
    <cellStyle name="40% - akcent 2 2 2 2 2 2 2 2 3" xfId="17444"/>
    <cellStyle name="40% - akcent 2 2 2 2 2 2 2 3" xfId="17445"/>
    <cellStyle name="40% - akcent 2 2 2 2 2 2 2 3 2" xfId="17446"/>
    <cellStyle name="40% - akcent 2 2 2 2 2 2 2 3 2 2" xfId="17447"/>
    <cellStyle name="40% - akcent 2 2 2 2 2 2 2 3 3" xfId="17448"/>
    <cellStyle name="40% - akcent 2 2 2 2 2 2 2 4" xfId="17449"/>
    <cellStyle name="40% - akcent 2 2 2 2 2 2 2 4 2" xfId="17450"/>
    <cellStyle name="40% - akcent 2 2 2 2 2 2 2 4 2 2" xfId="17451"/>
    <cellStyle name="40% - akcent 2 2 2 2 2 2 2 4 3" xfId="17452"/>
    <cellStyle name="40% - akcent 2 2 2 2 2 2 2 5" xfId="17453"/>
    <cellStyle name="40% - akcent 2 2 2 2 2 2 2 5 2" xfId="17454"/>
    <cellStyle name="40% - akcent 2 2 2 2 2 2 2 6" xfId="17455"/>
    <cellStyle name="40% - akcent 2 2 2 2 2 2 3" xfId="17456"/>
    <cellStyle name="40% - akcent 2 2 2 2 2 2 3 2" xfId="17457"/>
    <cellStyle name="40% - akcent 2 2 2 2 2 2 3 2 2" xfId="17458"/>
    <cellStyle name="40% - akcent 2 2 2 2 2 2 3 3" xfId="17459"/>
    <cellStyle name="40% - akcent 2 2 2 2 2 2 4" xfId="17460"/>
    <cellStyle name="40% - akcent 2 2 2 2 2 2 4 2" xfId="17461"/>
    <cellStyle name="40% - akcent 2 2 2 2 2 2 4 2 2" xfId="17462"/>
    <cellStyle name="40% - akcent 2 2 2 2 2 2 4 3" xfId="17463"/>
    <cellStyle name="40% - akcent 2 2 2 2 2 2 5" xfId="17464"/>
    <cellStyle name="40% - akcent 2 2 2 2 2 2 5 2" xfId="17465"/>
    <cellStyle name="40% - akcent 2 2 2 2 2 2 5 2 2" xfId="17466"/>
    <cellStyle name="40% - akcent 2 2 2 2 2 2 5 3" xfId="17467"/>
    <cellStyle name="40% - akcent 2 2 2 2 2 2 6" xfId="17468"/>
    <cellStyle name="40% - akcent 2 2 2 2 2 2 6 2" xfId="17469"/>
    <cellStyle name="40% - akcent 2 2 2 2 2 2 7" xfId="17470"/>
    <cellStyle name="40% - akcent 2 2 2 2 2 3" xfId="17471"/>
    <cellStyle name="40% - akcent 2 2 2 2 2 3 2" xfId="17472"/>
    <cellStyle name="40% - akcent 2 2 2 2 2 3 2 2" xfId="17473"/>
    <cellStyle name="40% - akcent 2 2 2 2 2 3 2 2 2" xfId="17474"/>
    <cellStyle name="40% - akcent 2 2 2 2 2 3 2 3" xfId="17475"/>
    <cellStyle name="40% - akcent 2 2 2 2 2 3 3" xfId="17476"/>
    <cellStyle name="40% - akcent 2 2 2 2 2 3 3 2" xfId="17477"/>
    <cellStyle name="40% - akcent 2 2 2 2 2 3 3 2 2" xfId="17478"/>
    <cellStyle name="40% - akcent 2 2 2 2 2 3 3 3" xfId="17479"/>
    <cellStyle name="40% - akcent 2 2 2 2 2 3 4" xfId="17480"/>
    <cellStyle name="40% - akcent 2 2 2 2 2 3 4 2" xfId="17481"/>
    <cellStyle name="40% - akcent 2 2 2 2 2 3 4 2 2" xfId="17482"/>
    <cellStyle name="40% - akcent 2 2 2 2 2 3 4 3" xfId="17483"/>
    <cellStyle name="40% - akcent 2 2 2 2 2 3 5" xfId="17484"/>
    <cellStyle name="40% - akcent 2 2 2 2 2 3 5 2" xfId="17485"/>
    <cellStyle name="40% - akcent 2 2 2 2 2 3 6" xfId="17486"/>
    <cellStyle name="40% - akcent 2 2 2 2 2 4" xfId="17487"/>
    <cellStyle name="40% - akcent 2 2 2 2 2 4 2" xfId="17488"/>
    <cellStyle name="40% - akcent 2 2 2 2 2 4 2 2" xfId="17489"/>
    <cellStyle name="40% - akcent 2 2 2 2 2 4 2 2 2" xfId="17490"/>
    <cellStyle name="40% - akcent 2 2 2 2 2 4 2 3" xfId="17491"/>
    <cellStyle name="40% - akcent 2 2 2 2 2 4 3" xfId="17492"/>
    <cellStyle name="40% - akcent 2 2 2 2 2 4 3 2" xfId="17493"/>
    <cellStyle name="40% - akcent 2 2 2 2 2 4 3 2 2" xfId="17494"/>
    <cellStyle name="40% - akcent 2 2 2 2 2 4 3 3" xfId="17495"/>
    <cellStyle name="40% - akcent 2 2 2 2 2 4 4" xfId="17496"/>
    <cellStyle name="40% - akcent 2 2 2 2 2 4 4 2" xfId="17497"/>
    <cellStyle name="40% - akcent 2 2 2 2 2 4 4 2 2" xfId="17498"/>
    <cellStyle name="40% - akcent 2 2 2 2 2 4 4 3" xfId="17499"/>
    <cellStyle name="40% - akcent 2 2 2 2 2 4 5" xfId="17500"/>
    <cellStyle name="40% - akcent 2 2 2 2 2 4 5 2" xfId="17501"/>
    <cellStyle name="40% - akcent 2 2 2 2 2 4 6" xfId="17502"/>
    <cellStyle name="40% - akcent 2 2 2 2 2 5" xfId="17503"/>
    <cellStyle name="40% - akcent 2 2 2 2 2 5 2" xfId="17504"/>
    <cellStyle name="40% - akcent 2 2 2 2 2 5 2 2" xfId="17505"/>
    <cellStyle name="40% - akcent 2 2 2 2 2 5 3" xfId="17506"/>
    <cellStyle name="40% - akcent 2 2 2 2 2 6" xfId="17507"/>
    <cellStyle name="40% - akcent 2 2 2 2 2 6 2" xfId="17508"/>
    <cellStyle name="40% - akcent 2 2 2 2 2 6 2 2" xfId="17509"/>
    <cellStyle name="40% - akcent 2 2 2 2 2 6 3" xfId="17510"/>
    <cellStyle name="40% - akcent 2 2 2 2 2 7" xfId="17511"/>
    <cellStyle name="40% - akcent 2 2 2 2 2 7 2" xfId="17512"/>
    <cellStyle name="40% - akcent 2 2 2 2 2 7 2 2" xfId="17513"/>
    <cellStyle name="40% - akcent 2 2 2 2 2 7 3" xfId="17514"/>
    <cellStyle name="40% - akcent 2 2 2 2 2 8" xfId="17515"/>
    <cellStyle name="40% - akcent 2 2 2 2 2 8 2" xfId="17516"/>
    <cellStyle name="40% - akcent 2 2 2 2 2 9" xfId="17517"/>
    <cellStyle name="40% - akcent 2 2 2 2 3" xfId="17518"/>
    <cellStyle name="40% - akcent 2 2 2 2 3 2" xfId="17519"/>
    <cellStyle name="40% - akcent 2 2 2 2 3 2 2" xfId="17520"/>
    <cellStyle name="40% - akcent 2 2 2 2 3 2 2 2" xfId="17521"/>
    <cellStyle name="40% - akcent 2 2 2 2 3 2 2 2 2" xfId="17522"/>
    <cellStyle name="40% - akcent 2 2 2 2 3 2 2 3" xfId="17523"/>
    <cellStyle name="40% - akcent 2 2 2 2 3 2 3" xfId="17524"/>
    <cellStyle name="40% - akcent 2 2 2 2 3 2 3 2" xfId="17525"/>
    <cellStyle name="40% - akcent 2 2 2 2 3 2 3 2 2" xfId="17526"/>
    <cellStyle name="40% - akcent 2 2 2 2 3 2 3 3" xfId="17527"/>
    <cellStyle name="40% - akcent 2 2 2 2 3 2 4" xfId="17528"/>
    <cellStyle name="40% - akcent 2 2 2 2 3 2 4 2" xfId="17529"/>
    <cellStyle name="40% - akcent 2 2 2 2 3 2 4 2 2" xfId="17530"/>
    <cellStyle name="40% - akcent 2 2 2 2 3 2 4 3" xfId="17531"/>
    <cellStyle name="40% - akcent 2 2 2 2 3 2 5" xfId="17532"/>
    <cellStyle name="40% - akcent 2 2 2 2 3 2 5 2" xfId="17533"/>
    <cellStyle name="40% - akcent 2 2 2 2 3 2 6" xfId="17534"/>
    <cellStyle name="40% - akcent 2 2 2 2 3 3" xfId="17535"/>
    <cellStyle name="40% - akcent 2 2 2 2 3 3 2" xfId="17536"/>
    <cellStyle name="40% - akcent 2 2 2 2 3 3 2 2" xfId="17537"/>
    <cellStyle name="40% - akcent 2 2 2 2 3 3 3" xfId="17538"/>
    <cellStyle name="40% - akcent 2 2 2 2 3 4" xfId="17539"/>
    <cellStyle name="40% - akcent 2 2 2 2 3 4 2" xfId="17540"/>
    <cellStyle name="40% - akcent 2 2 2 2 3 4 2 2" xfId="17541"/>
    <cellStyle name="40% - akcent 2 2 2 2 3 4 3" xfId="17542"/>
    <cellStyle name="40% - akcent 2 2 2 2 3 5" xfId="17543"/>
    <cellStyle name="40% - akcent 2 2 2 2 3 5 2" xfId="17544"/>
    <cellStyle name="40% - akcent 2 2 2 2 3 5 2 2" xfId="17545"/>
    <cellStyle name="40% - akcent 2 2 2 2 3 5 3" xfId="17546"/>
    <cellStyle name="40% - akcent 2 2 2 2 3 6" xfId="17547"/>
    <cellStyle name="40% - akcent 2 2 2 2 3 6 2" xfId="17548"/>
    <cellStyle name="40% - akcent 2 2 2 2 3 7" xfId="17549"/>
    <cellStyle name="40% - akcent 2 2 2 2 4" xfId="17550"/>
    <cellStyle name="40% - akcent 2 2 2 2 4 2" xfId="17551"/>
    <cellStyle name="40% - akcent 2 2 2 2 4 2 2" xfId="17552"/>
    <cellStyle name="40% - akcent 2 2 2 2 4 2 2 2" xfId="17553"/>
    <cellStyle name="40% - akcent 2 2 2 2 4 2 3" xfId="17554"/>
    <cellStyle name="40% - akcent 2 2 2 2 4 3" xfId="17555"/>
    <cellStyle name="40% - akcent 2 2 2 2 4 3 2" xfId="17556"/>
    <cellStyle name="40% - akcent 2 2 2 2 4 3 2 2" xfId="17557"/>
    <cellStyle name="40% - akcent 2 2 2 2 4 3 3" xfId="17558"/>
    <cellStyle name="40% - akcent 2 2 2 2 4 4" xfId="17559"/>
    <cellStyle name="40% - akcent 2 2 2 2 4 4 2" xfId="17560"/>
    <cellStyle name="40% - akcent 2 2 2 2 4 4 2 2" xfId="17561"/>
    <cellStyle name="40% - akcent 2 2 2 2 4 4 3" xfId="17562"/>
    <cellStyle name="40% - akcent 2 2 2 2 4 5" xfId="17563"/>
    <cellStyle name="40% - akcent 2 2 2 2 4 5 2" xfId="17564"/>
    <cellStyle name="40% - akcent 2 2 2 2 4 6" xfId="17565"/>
    <cellStyle name="40% - akcent 2 2 2 2 5" xfId="17566"/>
    <cellStyle name="40% - akcent 2 2 2 2 5 2" xfId="17567"/>
    <cellStyle name="40% - akcent 2 2 2 2 5 2 2" xfId="17568"/>
    <cellStyle name="40% - akcent 2 2 2 2 5 2 2 2" xfId="17569"/>
    <cellStyle name="40% - akcent 2 2 2 2 5 2 3" xfId="17570"/>
    <cellStyle name="40% - akcent 2 2 2 2 5 3" xfId="17571"/>
    <cellStyle name="40% - akcent 2 2 2 2 5 3 2" xfId="17572"/>
    <cellStyle name="40% - akcent 2 2 2 2 5 3 2 2" xfId="17573"/>
    <cellStyle name="40% - akcent 2 2 2 2 5 3 3" xfId="17574"/>
    <cellStyle name="40% - akcent 2 2 2 2 5 4" xfId="17575"/>
    <cellStyle name="40% - akcent 2 2 2 2 5 4 2" xfId="17576"/>
    <cellStyle name="40% - akcent 2 2 2 2 5 4 2 2" xfId="17577"/>
    <cellStyle name="40% - akcent 2 2 2 2 5 4 3" xfId="17578"/>
    <cellStyle name="40% - akcent 2 2 2 2 5 5" xfId="17579"/>
    <cellStyle name="40% - akcent 2 2 2 2 5 5 2" xfId="17580"/>
    <cellStyle name="40% - akcent 2 2 2 2 5 6" xfId="17581"/>
    <cellStyle name="40% - akcent 2 2 2 2 6" xfId="17582"/>
    <cellStyle name="40% - akcent 2 2 2 2 6 2" xfId="17583"/>
    <cellStyle name="40% - akcent 2 2 2 2 6 2 2" xfId="17584"/>
    <cellStyle name="40% - akcent 2 2 2 2 6 2 2 2" xfId="17585"/>
    <cellStyle name="40% - akcent 2 2 2 2 6 2 3" xfId="17586"/>
    <cellStyle name="40% - akcent 2 2 2 2 6 3" xfId="17587"/>
    <cellStyle name="40% - akcent 2 2 2 2 6 3 2" xfId="17588"/>
    <cellStyle name="40% - akcent 2 2 2 2 6 3 2 2" xfId="17589"/>
    <cellStyle name="40% - akcent 2 2 2 2 6 3 3" xfId="17590"/>
    <cellStyle name="40% - akcent 2 2 2 2 6 4" xfId="17591"/>
    <cellStyle name="40% - akcent 2 2 2 2 6 4 2" xfId="17592"/>
    <cellStyle name="40% - akcent 2 2 2 2 6 4 2 2" xfId="17593"/>
    <cellStyle name="40% - akcent 2 2 2 2 6 4 3" xfId="17594"/>
    <cellStyle name="40% - akcent 2 2 2 2 6 5" xfId="17595"/>
    <cellStyle name="40% - akcent 2 2 2 2 6 5 2" xfId="17596"/>
    <cellStyle name="40% - akcent 2 2 2 2 6 6" xfId="17597"/>
    <cellStyle name="40% - akcent 2 2 2 3" xfId="17598"/>
    <cellStyle name="40% - akcent 2 2 2 3 2" xfId="17599"/>
    <cellStyle name="40% - akcent 2 2 2 3 2 2" xfId="17600"/>
    <cellStyle name="40% - akcent 2 2 2 3 2 2 2" xfId="17601"/>
    <cellStyle name="40% - akcent 2 2 2 3 2 2 2 2" xfId="17602"/>
    <cellStyle name="40% - akcent 2 2 2 3 2 2 2 2 2" xfId="17603"/>
    <cellStyle name="40% - akcent 2 2 2 3 2 2 2 3" xfId="17604"/>
    <cellStyle name="40% - akcent 2 2 2 3 2 2 3" xfId="17605"/>
    <cellStyle name="40% - akcent 2 2 2 3 2 2 3 2" xfId="17606"/>
    <cellStyle name="40% - akcent 2 2 2 3 2 2 3 2 2" xfId="17607"/>
    <cellStyle name="40% - akcent 2 2 2 3 2 2 3 3" xfId="17608"/>
    <cellStyle name="40% - akcent 2 2 2 3 2 2 4" xfId="17609"/>
    <cellStyle name="40% - akcent 2 2 2 3 2 2 4 2" xfId="17610"/>
    <cellStyle name="40% - akcent 2 2 2 3 2 2 4 2 2" xfId="17611"/>
    <cellStyle name="40% - akcent 2 2 2 3 2 2 4 3" xfId="17612"/>
    <cellStyle name="40% - akcent 2 2 2 3 2 2 5" xfId="17613"/>
    <cellStyle name="40% - akcent 2 2 2 3 2 2 5 2" xfId="17614"/>
    <cellStyle name="40% - akcent 2 2 2 3 2 2 6" xfId="17615"/>
    <cellStyle name="40% - akcent 2 2 2 3 2 3" xfId="17616"/>
    <cellStyle name="40% - akcent 2 2 2 3 2 3 2" xfId="17617"/>
    <cellStyle name="40% - akcent 2 2 2 3 2 3 2 2" xfId="17618"/>
    <cellStyle name="40% - akcent 2 2 2 3 2 3 3" xfId="17619"/>
    <cellStyle name="40% - akcent 2 2 2 3 2 4" xfId="17620"/>
    <cellStyle name="40% - akcent 2 2 2 3 2 4 2" xfId="17621"/>
    <cellStyle name="40% - akcent 2 2 2 3 2 4 2 2" xfId="17622"/>
    <cellStyle name="40% - akcent 2 2 2 3 2 4 3" xfId="17623"/>
    <cellStyle name="40% - akcent 2 2 2 3 2 5" xfId="17624"/>
    <cellStyle name="40% - akcent 2 2 2 3 2 5 2" xfId="17625"/>
    <cellStyle name="40% - akcent 2 2 2 3 2 5 2 2" xfId="17626"/>
    <cellStyle name="40% - akcent 2 2 2 3 2 5 3" xfId="17627"/>
    <cellStyle name="40% - akcent 2 2 2 3 2 6" xfId="17628"/>
    <cellStyle name="40% - akcent 2 2 2 3 2 6 2" xfId="17629"/>
    <cellStyle name="40% - akcent 2 2 2 3 2 7" xfId="17630"/>
    <cellStyle name="40% - akcent 2 2 2 3 3" xfId="17631"/>
    <cellStyle name="40% - akcent 2 2 2 3 3 2" xfId="17632"/>
    <cellStyle name="40% - akcent 2 2 2 3 3 2 2" xfId="17633"/>
    <cellStyle name="40% - akcent 2 2 2 3 3 2 2 2" xfId="17634"/>
    <cellStyle name="40% - akcent 2 2 2 3 3 2 3" xfId="17635"/>
    <cellStyle name="40% - akcent 2 2 2 3 3 3" xfId="17636"/>
    <cellStyle name="40% - akcent 2 2 2 3 3 3 2" xfId="17637"/>
    <cellStyle name="40% - akcent 2 2 2 3 3 3 2 2" xfId="17638"/>
    <cellStyle name="40% - akcent 2 2 2 3 3 3 3" xfId="17639"/>
    <cellStyle name="40% - akcent 2 2 2 3 3 4" xfId="17640"/>
    <cellStyle name="40% - akcent 2 2 2 3 3 4 2" xfId="17641"/>
    <cellStyle name="40% - akcent 2 2 2 3 3 4 2 2" xfId="17642"/>
    <cellStyle name="40% - akcent 2 2 2 3 3 4 3" xfId="17643"/>
    <cellStyle name="40% - akcent 2 2 2 3 3 5" xfId="17644"/>
    <cellStyle name="40% - akcent 2 2 2 3 3 5 2" xfId="17645"/>
    <cellStyle name="40% - akcent 2 2 2 3 3 6" xfId="17646"/>
    <cellStyle name="40% - akcent 2 2 2 3 4" xfId="17647"/>
    <cellStyle name="40% - akcent 2 2 2 3 4 2" xfId="17648"/>
    <cellStyle name="40% - akcent 2 2 2 3 4 2 2" xfId="17649"/>
    <cellStyle name="40% - akcent 2 2 2 3 4 2 2 2" xfId="17650"/>
    <cellStyle name="40% - akcent 2 2 2 3 4 2 3" xfId="17651"/>
    <cellStyle name="40% - akcent 2 2 2 3 4 3" xfId="17652"/>
    <cellStyle name="40% - akcent 2 2 2 3 4 3 2" xfId="17653"/>
    <cellStyle name="40% - akcent 2 2 2 3 4 3 2 2" xfId="17654"/>
    <cellStyle name="40% - akcent 2 2 2 3 4 3 3" xfId="17655"/>
    <cellStyle name="40% - akcent 2 2 2 3 4 4" xfId="17656"/>
    <cellStyle name="40% - akcent 2 2 2 3 4 4 2" xfId="17657"/>
    <cellStyle name="40% - akcent 2 2 2 3 4 4 2 2" xfId="17658"/>
    <cellStyle name="40% - akcent 2 2 2 3 4 4 3" xfId="17659"/>
    <cellStyle name="40% - akcent 2 2 2 3 4 5" xfId="17660"/>
    <cellStyle name="40% - akcent 2 2 2 3 4 5 2" xfId="17661"/>
    <cellStyle name="40% - akcent 2 2 2 3 4 6" xfId="17662"/>
    <cellStyle name="40% - akcent 2 2 2 3 5" xfId="17663"/>
    <cellStyle name="40% - akcent 2 2 2 3 5 2" xfId="17664"/>
    <cellStyle name="40% - akcent 2 2 2 3 5 2 2" xfId="17665"/>
    <cellStyle name="40% - akcent 2 2 2 3 5 2 2 2" xfId="17666"/>
    <cellStyle name="40% - akcent 2 2 2 3 5 2 3" xfId="17667"/>
    <cellStyle name="40% - akcent 2 2 2 3 5 3" xfId="17668"/>
    <cellStyle name="40% - akcent 2 2 2 3 5 3 2" xfId="17669"/>
    <cellStyle name="40% - akcent 2 2 2 3 5 3 2 2" xfId="17670"/>
    <cellStyle name="40% - akcent 2 2 2 3 5 3 3" xfId="17671"/>
    <cellStyle name="40% - akcent 2 2 2 3 5 4" xfId="17672"/>
    <cellStyle name="40% - akcent 2 2 2 3 5 4 2" xfId="17673"/>
    <cellStyle name="40% - akcent 2 2 2 3 5 4 2 2" xfId="17674"/>
    <cellStyle name="40% - akcent 2 2 2 3 5 4 3" xfId="17675"/>
    <cellStyle name="40% - akcent 2 2 2 3 5 5" xfId="17676"/>
    <cellStyle name="40% - akcent 2 2 2 3 5 5 2" xfId="17677"/>
    <cellStyle name="40% - akcent 2 2 2 3 5 6" xfId="17678"/>
    <cellStyle name="40% - akcent 2 2 2 4" xfId="17679"/>
    <cellStyle name="40% - akcent 2 2 2 4 2" xfId="17680"/>
    <cellStyle name="40% - akcent 2 2 2 4 2 2" xfId="17681"/>
    <cellStyle name="40% - akcent 2 2 2 4 2 2 2" xfId="17682"/>
    <cellStyle name="40% - akcent 2 2 2 4 2 2 2 2" xfId="17683"/>
    <cellStyle name="40% - akcent 2 2 2 4 2 2 3" xfId="17684"/>
    <cellStyle name="40% - akcent 2 2 2 4 2 3" xfId="17685"/>
    <cellStyle name="40% - akcent 2 2 2 4 2 3 2" xfId="17686"/>
    <cellStyle name="40% - akcent 2 2 2 4 2 3 2 2" xfId="17687"/>
    <cellStyle name="40% - akcent 2 2 2 4 2 3 3" xfId="17688"/>
    <cellStyle name="40% - akcent 2 2 2 4 2 4" xfId="17689"/>
    <cellStyle name="40% - akcent 2 2 2 4 2 4 2" xfId="17690"/>
    <cellStyle name="40% - akcent 2 2 2 4 2 4 2 2" xfId="17691"/>
    <cellStyle name="40% - akcent 2 2 2 4 2 4 3" xfId="17692"/>
    <cellStyle name="40% - akcent 2 2 2 4 2 5" xfId="17693"/>
    <cellStyle name="40% - akcent 2 2 2 4 2 5 2" xfId="17694"/>
    <cellStyle name="40% - akcent 2 2 2 4 2 6" xfId="17695"/>
    <cellStyle name="40% - akcent 2 2 2 4 3" xfId="17696"/>
    <cellStyle name="40% - akcent 2 2 2 4 3 2" xfId="17697"/>
    <cellStyle name="40% - akcent 2 2 2 4 3 2 2" xfId="17698"/>
    <cellStyle name="40% - akcent 2 2 2 4 3 3" xfId="17699"/>
    <cellStyle name="40% - akcent 2 2 2 4 4" xfId="17700"/>
    <cellStyle name="40% - akcent 2 2 2 4 4 2" xfId="17701"/>
    <cellStyle name="40% - akcent 2 2 2 4 4 2 2" xfId="17702"/>
    <cellStyle name="40% - akcent 2 2 2 4 4 3" xfId="17703"/>
    <cellStyle name="40% - akcent 2 2 2 4 5" xfId="17704"/>
    <cellStyle name="40% - akcent 2 2 2 4 5 2" xfId="17705"/>
    <cellStyle name="40% - akcent 2 2 2 4 5 2 2" xfId="17706"/>
    <cellStyle name="40% - akcent 2 2 2 4 5 3" xfId="17707"/>
    <cellStyle name="40% - akcent 2 2 2 4 6" xfId="17708"/>
    <cellStyle name="40% - akcent 2 2 2 4 6 2" xfId="17709"/>
    <cellStyle name="40% - akcent 2 2 2 4 7" xfId="17710"/>
    <cellStyle name="40% - akcent 2 2 2 5" xfId="17711"/>
    <cellStyle name="40% - akcent 2 2 2 5 2" xfId="17712"/>
    <cellStyle name="40% - akcent 2 2 2 5 2 2" xfId="17713"/>
    <cellStyle name="40% - akcent 2 2 2 5 2 2 2" xfId="17714"/>
    <cellStyle name="40% - akcent 2 2 2 5 2 3" xfId="17715"/>
    <cellStyle name="40% - akcent 2 2 2 5 3" xfId="17716"/>
    <cellStyle name="40% - akcent 2 2 2 5 3 2" xfId="17717"/>
    <cellStyle name="40% - akcent 2 2 2 5 3 2 2" xfId="17718"/>
    <cellStyle name="40% - akcent 2 2 2 5 3 3" xfId="17719"/>
    <cellStyle name="40% - akcent 2 2 2 5 4" xfId="17720"/>
    <cellStyle name="40% - akcent 2 2 2 5 4 2" xfId="17721"/>
    <cellStyle name="40% - akcent 2 2 2 5 4 2 2" xfId="17722"/>
    <cellStyle name="40% - akcent 2 2 2 5 4 3" xfId="17723"/>
    <cellStyle name="40% - akcent 2 2 2 5 5" xfId="17724"/>
    <cellStyle name="40% - akcent 2 2 2 5 5 2" xfId="17725"/>
    <cellStyle name="40% - akcent 2 2 2 5 6" xfId="17726"/>
    <cellStyle name="40% - akcent 2 2 2 6" xfId="17727"/>
    <cellStyle name="40% - akcent 2 2 2 6 2" xfId="17728"/>
    <cellStyle name="40% - akcent 2 2 2 6 2 2" xfId="17729"/>
    <cellStyle name="40% - akcent 2 2 2 6 2 2 2" xfId="17730"/>
    <cellStyle name="40% - akcent 2 2 2 6 2 3" xfId="17731"/>
    <cellStyle name="40% - akcent 2 2 2 6 3" xfId="17732"/>
    <cellStyle name="40% - akcent 2 2 2 6 3 2" xfId="17733"/>
    <cellStyle name="40% - akcent 2 2 2 6 3 2 2" xfId="17734"/>
    <cellStyle name="40% - akcent 2 2 2 6 3 3" xfId="17735"/>
    <cellStyle name="40% - akcent 2 2 2 6 4" xfId="17736"/>
    <cellStyle name="40% - akcent 2 2 2 6 4 2" xfId="17737"/>
    <cellStyle name="40% - akcent 2 2 2 6 4 2 2" xfId="17738"/>
    <cellStyle name="40% - akcent 2 2 2 6 4 3" xfId="17739"/>
    <cellStyle name="40% - akcent 2 2 2 6 5" xfId="17740"/>
    <cellStyle name="40% - akcent 2 2 2 6 5 2" xfId="17741"/>
    <cellStyle name="40% - akcent 2 2 2 6 6" xfId="17742"/>
    <cellStyle name="40% - akcent 2 2 2 7" xfId="17743"/>
    <cellStyle name="40% - akcent 2 2 2 8" xfId="17744"/>
    <cellStyle name="40% - akcent 2 2 2 8 2" xfId="17745"/>
    <cellStyle name="40% - akcent 2 2 2 8 2 2" xfId="17746"/>
    <cellStyle name="40% - akcent 2 2 2 8 2 2 2" xfId="17747"/>
    <cellStyle name="40% - akcent 2 2 2 8 2 3" xfId="17748"/>
    <cellStyle name="40% - akcent 2 2 2 8 3" xfId="17749"/>
    <cellStyle name="40% - akcent 2 2 2 8 3 2" xfId="17750"/>
    <cellStyle name="40% - akcent 2 2 2 8 3 2 2" xfId="17751"/>
    <cellStyle name="40% - akcent 2 2 2 8 3 3" xfId="17752"/>
    <cellStyle name="40% - akcent 2 2 2 8 4" xfId="17753"/>
    <cellStyle name="40% - akcent 2 2 2 8 4 2" xfId="17754"/>
    <cellStyle name="40% - akcent 2 2 2 8 4 2 2" xfId="17755"/>
    <cellStyle name="40% - akcent 2 2 2 8 4 3" xfId="17756"/>
    <cellStyle name="40% - akcent 2 2 2 8 5" xfId="17757"/>
    <cellStyle name="40% - akcent 2 2 2 8 5 2" xfId="17758"/>
    <cellStyle name="40% - akcent 2 2 2 8 6" xfId="17759"/>
    <cellStyle name="40% - akcent 2 2 2_2011'05 Raport PGE_DO-CO2" xfId="17760"/>
    <cellStyle name="40% - akcent 2 2 3" xfId="17761"/>
    <cellStyle name="40% - akcent 2 2 3 2" xfId="17762"/>
    <cellStyle name="40% - akcent 2 2 3 2 2" xfId="17763"/>
    <cellStyle name="40% - akcent 2 2 3 2 2 2" xfId="17764"/>
    <cellStyle name="40% - akcent 2 2 3 2 2 2 2" xfId="17765"/>
    <cellStyle name="40% - akcent 2 2 3 2 2 2 2 2" xfId="17766"/>
    <cellStyle name="40% - akcent 2 2 3 2 2 2 2 2 2" xfId="17767"/>
    <cellStyle name="40% - akcent 2 2 3 2 2 2 2 3" xfId="17768"/>
    <cellStyle name="40% - akcent 2 2 3 2 2 2 3" xfId="17769"/>
    <cellStyle name="40% - akcent 2 2 3 2 2 2 3 2" xfId="17770"/>
    <cellStyle name="40% - akcent 2 2 3 2 2 2 3 2 2" xfId="17771"/>
    <cellStyle name="40% - akcent 2 2 3 2 2 2 3 3" xfId="17772"/>
    <cellStyle name="40% - akcent 2 2 3 2 2 2 4" xfId="17773"/>
    <cellStyle name="40% - akcent 2 2 3 2 2 2 4 2" xfId="17774"/>
    <cellStyle name="40% - akcent 2 2 3 2 2 2 4 2 2" xfId="17775"/>
    <cellStyle name="40% - akcent 2 2 3 2 2 2 4 3" xfId="17776"/>
    <cellStyle name="40% - akcent 2 2 3 2 2 2 5" xfId="17777"/>
    <cellStyle name="40% - akcent 2 2 3 2 2 2 5 2" xfId="17778"/>
    <cellStyle name="40% - akcent 2 2 3 2 2 2 6" xfId="17779"/>
    <cellStyle name="40% - akcent 2 2 3 2 2 3" xfId="17780"/>
    <cellStyle name="40% - akcent 2 2 3 2 2 3 2" xfId="17781"/>
    <cellStyle name="40% - akcent 2 2 3 2 2 3 2 2" xfId="17782"/>
    <cellStyle name="40% - akcent 2 2 3 2 2 3 3" xfId="17783"/>
    <cellStyle name="40% - akcent 2 2 3 2 2 4" xfId="17784"/>
    <cellStyle name="40% - akcent 2 2 3 2 2 4 2" xfId="17785"/>
    <cellStyle name="40% - akcent 2 2 3 2 2 4 2 2" xfId="17786"/>
    <cellStyle name="40% - akcent 2 2 3 2 2 4 3" xfId="17787"/>
    <cellStyle name="40% - akcent 2 2 3 2 2 5" xfId="17788"/>
    <cellStyle name="40% - akcent 2 2 3 2 2 5 2" xfId="17789"/>
    <cellStyle name="40% - akcent 2 2 3 2 2 5 2 2" xfId="17790"/>
    <cellStyle name="40% - akcent 2 2 3 2 2 5 3" xfId="17791"/>
    <cellStyle name="40% - akcent 2 2 3 2 2 6" xfId="17792"/>
    <cellStyle name="40% - akcent 2 2 3 2 2 6 2" xfId="17793"/>
    <cellStyle name="40% - akcent 2 2 3 2 2 7" xfId="17794"/>
    <cellStyle name="40% - akcent 2 2 3 2 3" xfId="17795"/>
    <cellStyle name="40% - akcent 2 2 3 2 3 2" xfId="17796"/>
    <cellStyle name="40% - akcent 2 2 3 2 3 2 2" xfId="17797"/>
    <cellStyle name="40% - akcent 2 2 3 2 3 2 2 2" xfId="17798"/>
    <cellStyle name="40% - akcent 2 2 3 2 3 2 3" xfId="17799"/>
    <cellStyle name="40% - akcent 2 2 3 2 3 3" xfId="17800"/>
    <cellStyle name="40% - akcent 2 2 3 2 3 3 2" xfId="17801"/>
    <cellStyle name="40% - akcent 2 2 3 2 3 3 2 2" xfId="17802"/>
    <cellStyle name="40% - akcent 2 2 3 2 3 3 3" xfId="17803"/>
    <cellStyle name="40% - akcent 2 2 3 2 3 4" xfId="17804"/>
    <cellStyle name="40% - akcent 2 2 3 2 3 4 2" xfId="17805"/>
    <cellStyle name="40% - akcent 2 2 3 2 3 4 2 2" xfId="17806"/>
    <cellStyle name="40% - akcent 2 2 3 2 3 4 3" xfId="17807"/>
    <cellStyle name="40% - akcent 2 2 3 2 3 5" xfId="17808"/>
    <cellStyle name="40% - akcent 2 2 3 2 3 5 2" xfId="17809"/>
    <cellStyle name="40% - akcent 2 2 3 2 3 6" xfId="17810"/>
    <cellStyle name="40% - akcent 2 2 3 2 4" xfId="17811"/>
    <cellStyle name="40% - akcent 2 2 3 2 4 2" xfId="17812"/>
    <cellStyle name="40% - akcent 2 2 3 2 4 2 2" xfId="17813"/>
    <cellStyle name="40% - akcent 2 2 3 2 4 2 2 2" xfId="17814"/>
    <cellStyle name="40% - akcent 2 2 3 2 4 2 3" xfId="17815"/>
    <cellStyle name="40% - akcent 2 2 3 2 4 3" xfId="17816"/>
    <cellStyle name="40% - akcent 2 2 3 2 4 3 2" xfId="17817"/>
    <cellStyle name="40% - akcent 2 2 3 2 4 3 2 2" xfId="17818"/>
    <cellStyle name="40% - akcent 2 2 3 2 4 3 3" xfId="17819"/>
    <cellStyle name="40% - akcent 2 2 3 2 4 4" xfId="17820"/>
    <cellStyle name="40% - akcent 2 2 3 2 4 4 2" xfId="17821"/>
    <cellStyle name="40% - akcent 2 2 3 2 4 4 2 2" xfId="17822"/>
    <cellStyle name="40% - akcent 2 2 3 2 4 4 3" xfId="17823"/>
    <cellStyle name="40% - akcent 2 2 3 2 4 5" xfId="17824"/>
    <cellStyle name="40% - akcent 2 2 3 2 4 5 2" xfId="17825"/>
    <cellStyle name="40% - akcent 2 2 3 2 4 6" xfId="17826"/>
    <cellStyle name="40% - akcent 2 2 3 2 5" xfId="17827"/>
    <cellStyle name="40% - akcent 2 2 3 2 5 2" xfId="17828"/>
    <cellStyle name="40% - akcent 2 2 3 2 5 2 2" xfId="17829"/>
    <cellStyle name="40% - akcent 2 2 3 2 5 2 2 2" xfId="17830"/>
    <cellStyle name="40% - akcent 2 2 3 2 5 2 3" xfId="17831"/>
    <cellStyle name="40% - akcent 2 2 3 2 5 3" xfId="17832"/>
    <cellStyle name="40% - akcent 2 2 3 2 5 3 2" xfId="17833"/>
    <cellStyle name="40% - akcent 2 2 3 2 5 3 2 2" xfId="17834"/>
    <cellStyle name="40% - akcent 2 2 3 2 5 3 3" xfId="17835"/>
    <cellStyle name="40% - akcent 2 2 3 2 5 4" xfId="17836"/>
    <cellStyle name="40% - akcent 2 2 3 2 5 4 2" xfId="17837"/>
    <cellStyle name="40% - akcent 2 2 3 2 5 4 2 2" xfId="17838"/>
    <cellStyle name="40% - akcent 2 2 3 2 5 4 3" xfId="17839"/>
    <cellStyle name="40% - akcent 2 2 3 2 5 5" xfId="17840"/>
    <cellStyle name="40% - akcent 2 2 3 2 5 5 2" xfId="17841"/>
    <cellStyle name="40% - akcent 2 2 3 2 5 6" xfId="17842"/>
    <cellStyle name="40% - akcent 2 2 3 3" xfId="17843"/>
    <cellStyle name="40% - akcent 2 2 3 3 2" xfId="17844"/>
    <cellStyle name="40% - akcent 2 2 3 3 2 2" xfId="17845"/>
    <cellStyle name="40% - akcent 2 2 3 3 2 2 2" xfId="17846"/>
    <cellStyle name="40% - akcent 2 2 3 3 2 2 2 2" xfId="17847"/>
    <cellStyle name="40% - akcent 2 2 3 3 2 2 3" xfId="17848"/>
    <cellStyle name="40% - akcent 2 2 3 3 2 3" xfId="17849"/>
    <cellStyle name="40% - akcent 2 2 3 3 2 3 2" xfId="17850"/>
    <cellStyle name="40% - akcent 2 2 3 3 2 3 2 2" xfId="17851"/>
    <cellStyle name="40% - akcent 2 2 3 3 2 3 3" xfId="17852"/>
    <cellStyle name="40% - akcent 2 2 3 3 2 4" xfId="17853"/>
    <cellStyle name="40% - akcent 2 2 3 3 2 4 2" xfId="17854"/>
    <cellStyle name="40% - akcent 2 2 3 3 2 4 2 2" xfId="17855"/>
    <cellStyle name="40% - akcent 2 2 3 3 2 4 3" xfId="17856"/>
    <cellStyle name="40% - akcent 2 2 3 3 2 5" xfId="17857"/>
    <cellStyle name="40% - akcent 2 2 3 3 2 5 2" xfId="17858"/>
    <cellStyle name="40% - akcent 2 2 3 3 2 6" xfId="17859"/>
    <cellStyle name="40% - akcent 2 2 3 3 3" xfId="17860"/>
    <cellStyle name="40% - akcent 2 2 3 3 3 2" xfId="17861"/>
    <cellStyle name="40% - akcent 2 2 3 3 3 2 2" xfId="17862"/>
    <cellStyle name="40% - akcent 2 2 3 3 3 3" xfId="17863"/>
    <cellStyle name="40% - akcent 2 2 3 3 4" xfId="17864"/>
    <cellStyle name="40% - akcent 2 2 3 3 4 2" xfId="17865"/>
    <cellStyle name="40% - akcent 2 2 3 3 4 2 2" xfId="17866"/>
    <cellStyle name="40% - akcent 2 2 3 3 4 3" xfId="17867"/>
    <cellStyle name="40% - akcent 2 2 3 3 5" xfId="17868"/>
    <cellStyle name="40% - akcent 2 2 3 3 5 2" xfId="17869"/>
    <cellStyle name="40% - akcent 2 2 3 3 5 2 2" xfId="17870"/>
    <cellStyle name="40% - akcent 2 2 3 3 5 3" xfId="17871"/>
    <cellStyle name="40% - akcent 2 2 3 3 6" xfId="17872"/>
    <cellStyle name="40% - akcent 2 2 3 3 6 2" xfId="17873"/>
    <cellStyle name="40% - akcent 2 2 3 3 7" xfId="17874"/>
    <cellStyle name="40% - akcent 2 2 3 4" xfId="17875"/>
    <cellStyle name="40% - akcent 2 2 3 4 2" xfId="17876"/>
    <cellStyle name="40% - akcent 2 2 3 4 2 2" xfId="17877"/>
    <cellStyle name="40% - akcent 2 2 3 4 2 2 2" xfId="17878"/>
    <cellStyle name="40% - akcent 2 2 3 4 2 3" xfId="17879"/>
    <cellStyle name="40% - akcent 2 2 3 4 3" xfId="17880"/>
    <cellStyle name="40% - akcent 2 2 3 4 3 2" xfId="17881"/>
    <cellStyle name="40% - akcent 2 2 3 4 3 2 2" xfId="17882"/>
    <cellStyle name="40% - akcent 2 2 3 4 3 3" xfId="17883"/>
    <cellStyle name="40% - akcent 2 2 3 4 4" xfId="17884"/>
    <cellStyle name="40% - akcent 2 2 3 4 4 2" xfId="17885"/>
    <cellStyle name="40% - akcent 2 2 3 4 4 2 2" xfId="17886"/>
    <cellStyle name="40% - akcent 2 2 3 4 4 3" xfId="17887"/>
    <cellStyle name="40% - akcent 2 2 3 4 5" xfId="17888"/>
    <cellStyle name="40% - akcent 2 2 3 4 5 2" xfId="17889"/>
    <cellStyle name="40% - akcent 2 2 3 4 6" xfId="17890"/>
    <cellStyle name="40% - akcent 2 2 3 5" xfId="17891"/>
    <cellStyle name="40% - akcent 2 2 3 5 2" xfId="17892"/>
    <cellStyle name="40% - akcent 2 2 3 5 2 2" xfId="17893"/>
    <cellStyle name="40% - akcent 2 2 3 5 2 2 2" xfId="17894"/>
    <cellStyle name="40% - akcent 2 2 3 5 2 3" xfId="17895"/>
    <cellStyle name="40% - akcent 2 2 3 5 3" xfId="17896"/>
    <cellStyle name="40% - akcent 2 2 3 5 3 2" xfId="17897"/>
    <cellStyle name="40% - akcent 2 2 3 5 3 2 2" xfId="17898"/>
    <cellStyle name="40% - akcent 2 2 3 5 3 3" xfId="17899"/>
    <cellStyle name="40% - akcent 2 2 3 5 4" xfId="17900"/>
    <cellStyle name="40% - akcent 2 2 3 5 4 2" xfId="17901"/>
    <cellStyle name="40% - akcent 2 2 3 5 4 2 2" xfId="17902"/>
    <cellStyle name="40% - akcent 2 2 3 5 4 3" xfId="17903"/>
    <cellStyle name="40% - akcent 2 2 3 5 5" xfId="17904"/>
    <cellStyle name="40% - akcent 2 2 3 5 5 2" xfId="17905"/>
    <cellStyle name="40% - akcent 2 2 3 5 6" xfId="17906"/>
    <cellStyle name="40% - akcent 2 2 3 6" xfId="17907"/>
    <cellStyle name="40% - akcent 2 2 3 6 2" xfId="17908"/>
    <cellStyle name="40% - akcent 2 2 3 6 2 2" xfId="17909"/>
    <cellStyle name="40% - akcent 2 2 3 6 2 2 2" xfId="17910"/>
    <cellStyle name="40% - akcent 2 2 3 6 2 3" xfId="17911"/>
    <cellStyle name="40% - akcent 2 2 3 6 3" xfId="17912"/>
    <cellStyle name="40% - akcent 2 2 3 6 3 2" xfId="17913"/>
    <cellStyle name="40% - akcent 2 2 3 6 3 2 2" xfId="17914"/>
    <cellStyle name="40% - akcent 2 2 3 6 3 3" xfId="17915"/>
    <cellStyle name="40% - akcent 2 2 3 6 4" xfId="17916"/>
    <cellStyle name="40% - akcent 2 2 3 6 4 2" xfId="17917"/>
    <cellStyle name="40% - akcent 2 2 3 6 4 2 2" xfId="17918"/>
    <cellStyle name="40% - akcent 2 2 3 6 4 3" xfId="17919"/>
    <cellStyle name="40% - akcent 2 2 3 6 5" xfId="17920"/>
    <cellStyle name="40% - akcent 2 2 3 6 5 2" xfId="17921"/>
    <cellStyle name="40% - akcent 2 2 3 6 6" xfId="17922"/>
    <cellStyle name="40% - akcent 2 2 3_2011'05 Raport PGE_DO-CO2" xfId="17923"/>
    <cellStyle name="40% - akcent 2 2 4" xfId="17924"/>
    <cellStyle name="40% - akcent 2 2 4 2" xfId="17925"/>
    <cellStyle name="40% - akcent 2 2 4 2 2" xfId="17926"/>
    <cellStyle name="40% - akcent 2 2 4 2 2 2" xfId="17927"/>
    <cellStyle name="40% - akcent 2 2 4 2 2 2 2" xfId="17928"/>
    <cellStyle name="40% - akcent 2 2 4 2 2 2 2 2" xfId="17929"/>
    <cellStyle name="40% - akcent 2 2 4 2 2 2 2 2 2" xfId="17930"/>
    <cellStyle name="40% - akcent 2 2 4 2 2 2 2 3" xfId="17931"/>
    <cellStyle name="40% - akcent 2 2 4 2 2 2 3" xfId="17932"/>
    <cellStyle name="40% - akcent 2 2 4 2 2 2 3 2" xfId="17933"/>
    <cellStyle name="40% - akcent 2 2 4 2 2 2 3 2 2" xfId="17934"/>
    <cellStyle name="40% - akcent 2 2 4 2 2 2 3 3" xfId="17935"/>
    <cellStyle name="40% - akcent 2 2 4 2 2 2 4" xfId="17936"/>
    <cellStyle name="40% - akcent 2 2 4 2 2 2 4 2" xfId="17937"/>
    <cellStyle name="40% - akcent 2 2 4 2 2 2 4 2 2" xfId="17938"/>
    <cellStyle name="40% - akcent 2 2 4 2 2 2 4 3" xfId="17939"/>
    <cellStyle name="40% - akcent 2 2 4 2 2 2 5" xfId="17940"/>
    <cellStyle name="40% - akcent 2 2 4 2 2 2 5 2" xfId="17941"/>
    <cellStyle name="40% - akcent 2 2 4 2 2 2 6" xfId="17942"/>
    <cellStyle name="40% - akcent 2 2 4 2 2 3" xfId="17943"/>
    <cellStyle name="40% - akcent 2 2 4 2 2 3 2" xfId="17944"/>
    <cellStyle name="40% - akcent 2 2 4 2 2 3 2 2" xfId="17945"/>
    <cellStyle name="40% - akcent 2 2 4 2 2 3 3" xfId="17946"/>
    <cellStyle name="40% - akcent 2 2 4 2 2 4" xfId="17947"/>
    <cellStyle name="40% - akcent 2 2 4 2 2 4 2" xfId="17948"/>
    <cellStyle name="40% - akcent 2 2 4 2 2 4 2 2" xfId="17949"/>
    <cellStyle name="40% - akcent 2 2 4 2 2 4 3" xfId="17950"/>
    <cellStyle name="40% - akcent 2 2 4 2 2 5" xfId="17951"/>
    <cellStyle name="40% - akcent 2 2 4 2 2 5 2" xfId="17952"/>
    <cellStyle name="40% - akcent 2 2 4 2 2 5 2 2" xfId="17953"/>
    <cellStyle name="40% - akcent 2 2 4 2 2 5 3" xfId="17954"/>
    <cellStyle name="40% - akcent 2 2 4 2 2 6" xfId="17955"/>
    <cellStyle name="40% - akcent 2 2 4 2 2 6 2" xfId="17956"/>
    <cellStyle name="40% - akcent 2 2 4 2 2 7" xfId="17957"/>
    <cellStyle name="40% - akcent 2 2 4 2 3" xfId="17958"/>
    <cellStyle name="40% - akcent 2 2 4 2 3 2" xfId="17959"/>
    <cellStyle name="40% - akcent 2 2 4 2 3 2 2" xfId="17960"/>
    <cellStyle name="40% - akcent 2 2 4 2 3 2 2 2" xfId="17961"/>
    <cellStyle name="40% - akcent 2 2 4 2 3 2 3" xfId="17962"/>
    <cellStyle name="40% - akcent 2 2 4 2 3 3" xfId="17963"/>
    <cellStyle name="40% - akcent 2 2 4 2 3 3 2" xfId="17964"/>
    <cellStyle name="40% - akcent 2 2 4 2 3 3 2 2" xfId="17965"/>
    <cellStyle name="40% - akcent 2 2 4 2 3 3 3" xfId="17966"/>
    <cellStyle name="40% - akcent 2 2 4 2 3 4" xfId="17967"/>
    <cellStyle name="40% - akcent 2 2 4 2 3 4 2" xfId="17968"/>
    <cellStyle name="40% - akcent 2 2 4 2 3 4 2 2" xfId="17969"/>
    <cellStyle name="40% - akcent 2 2 4 2 3 4 3" xfId="17970"/>
    <cellStyle name="40% - akcent 2 2 4 2 3 5" xfId="17971"/>
    <cellStyle name="40% - akcent 2 2 4 2 3 5 2" xfId="17972"/>
    <cellStyle name="40% - akcent 2 2 4 2 3 6" xfId="17973"/>
    <cellStyle name="40% - akcent 2 2 4 2 4" xfId="17974"/>
    <cellStyle name="40% - akcent 2 2 4 2 4 2" xfId="17975"/>
    <cellStyle name="40% - akcent 2 2 4 2 4 2 2" xfId="17976"/>
    <cellStyle name="40% - akcent 2 2 4 2 4 2 2 2" xfId="17977"/>
    <cellStyle name="40% - akcent 2 2 4 2 4 2 3" xfId="17978"/>
    <cellStyle name="40% - akcent 2 2 4 2 4 3" xfId="17979"/>
    <cellStyle name="40% - akcent 2 2 4 2 4 3 2" xfId="17980"/>
    <cellStyle name="40% - akcent 2 2 4 2 4 3 2 2" xfId="17981"/>
    <cellStyle name="40% - akcent 2 2 4 2 4 3 3" xfId="17982"/>
    <cellStyle name="40% - akcent 2 2 4 2 4 4" xfId="17983"/>
    <cellStyle name="40% - akcent 2 2 4 2 4 4 2" xfId="17984"/>
    <cellStyle name="40% - akcent 2 2 4 2 4 4 2 2" xfId="17985"/>
    <cellStyle name="40% - akcent 2 2 4 2 4 4 3" xfId="17986"/>
    <cellStyle name="40% - akcent 2 2 4 2 4 5" xfId="17987"/>
    <cellStyle name="40% - akcent 2 2 4 2 4 5 2" xfId="17988"/>
    <cellStyle name="40% - akcent 2 2 4 2 4 6" xfId="17989"/>
    <cellStyle name="40% - akcent 2 2 4 2 5" xfId="17990"/>
    <cellStyle name="40% - akcent 2 2 4 2 5 2" xfId="17991"/>
    <cellStyle name="40% - akcent 2 2 4 2 5 2 2" xfId="17992"/>
    <cellStyle name="40% - akcent 2 2 4 2 5 3" xfId="17993"/>
    <cellStyle name="40% - akcent 2 2 4 2 6" xfId="17994"/>
    <cellStyle name="40% - akcent 2 2 4 2 6 2" xfId="17995"/>
    <cellStyle name="40% - akcent 2 2 4 2 6 2 2" xfId="17996"/>
    <cellStyle name="40% - akcent 2 2 4 2 6 3" xfId="17997"/>
    <cellStyle name="40% - akcent 2 2 4 2 7" xfId="17998"/>
    <cellStyle name="40% - akcent 2 2 4 2 7 2" xfId="17999"/>
    <cellStyle name="40% - akcent 2 2 4 2 7 2 2" xfId="18000"/>
    <cellStyle name="40% - akcent 2 2 4 2 7 3" xfId="18001"/>
    <cellStyle name="40% - akcent 2 2 4 2 8" xfId="18002"/>
    <cellStyle name="40% - akcent 2 2 4 2 8 2" xfId="18003"/>
    <cellStyle name="40% - akcent 2 2 4 2 9" xfId="18004"/>
    <cellStyle name="40% - akcent 2 2 4 3" xfId="18005"/>
    <cellStyle name="40% - akcent 2 2 4 3 2" xfId="18006"/>
    <cellStyle name="40% - akcent 2 2 4 3 2 2" xfId="18007"/>
    <cellStyle name="40% - akcent 2 2 4 3 2 2 2" xfId="18008"/>
    <cellStyle name="40% - akcent 2 2 4 3 2 2 2 2" xfId="18009"/>
    <cellStyle name="40% - akcent 2 2 4 3 2 2 3" xfId="18010"/>
    <cellStyle name="40% - akcent 2 2 4 3 2 3" xfId="18011"/>
    <cellStyle name="40% - akcent 2 2 4 3 2 3 2" xfId="18012"/>
    <cellStyle name="40% - akcent 2 2 4 3 2 3 2 2" xfId="18013"/>
    <cellStyle name="40% - akcent 2 2 4 3 2 3 3" xfId="18014"/>
    <cellStyle name="40% - akcent 2 2 4 3 2 4" xfId="18015"/>
    <cellStyle name="40% - akcent 2 2 4 3 2 4 2" xfId="18016"/>
    <cellStyle name="40% - akcent 2 2 4 3 2 4 2 2" xfId="18017"/>
    <cellStyle name="40% - akcent 2 2 4 3 2 4 3" xfId="18018"/>
    <cellStyle name="40% - akcent 2 2 4 3 2 5" xfId="18019"/>
    <cellStyle name="40% - akcent 2 2 4 3 2 5 2" xfId="18020"/>
    <cellStyle name="40% - akcent 2 2 4 3 2 6" xfId="18021"/>
    <cellStyle name="40% - akcent 2 2 4 3 3" xfId="18022"/>
    <cellStyle name="40% - akcent 2 2 4 3 3 2" xfId="18023"/>
    <cellStyle name="40% - akcent 2 2 4 3 3 2 2" xfId="18024"/>
    <cellStyle name="40% - akcent 2 2 4 3 3 3" xfId="18025"/>
    <cellStyle name="40% - akcent 2 2 4 3 4" xfId="18026"/>
    <cellStyle name="40% - akcent 2 2 4 3 4 2" xfId="18027"/>
    <cellStyle name="40% - akcent 2 2 4 3 4 2 2" xfId="18028"/>
    <cellStyle name="40% - akcent 2 2 4 3 4 3" xfId="18029"/>
    <cellStyle name="40% - akcent 2 2 4 3 5" xfId="18030"/>
    <cellStyle name="40% - akcent 2 2 4 3 5 2" xfId="18031"/>
    <cellStyle name="40% - akcent 2 2 4 3 5 2 2" xfId="18032"/>
    <cellStyle name="40% - akcent 2 2 4 3 5 3" xfId="18033"/>
    <cellStyle name="40% - akcent 2 2 4 3 6" xfId="18034"/>
    <cellStyle name="40% - akcent 2 2 4 3 6 2" xfId="18035"/>
    <cellStyle name="40% - akcent 2 2 4 3 7" xfId="18036"/>
    <cellStyle name="40% - akcent 2 2 4 4" xfId="18037"/>
    <cellStyle name="40% - akcent 2 2 4 4 2" xfId="18038"/>
    <cellStyle name="40% - akcent 2 2 4 4 2 2" xfId="18039"/>
    <cellStyle name="40% - akcent 2 2 4 4 2 2 2" xfId="18040"/>
    <cellStyle name="40% - akcent 2 2 4 4 2 3" xfId="18041"/>
    <cellStyle name="40% - akcent 2 2 4 4 3" xfId="18042"/>
    <cellStyle name="40% - akcent 2 2 4 4 3 2" xfId="18043"/>
    <cellStyle name="40% - akcent 2 2 4 4 3 2 2" xfId="18044"/>
    <cellStyle name="40% - akcent 2 2 4 4 3 3" xfId="18045"/>
    <cellStyle name="40% - akcent 2 2 4 4 4" xfId="18046"/>
    <cellStyle name="40% - akcent 2 2 4 4 4 2" xfId="18047"/>
    <cellStyle name="40% - akcent 2 2 4 4 4 2 2" xfId="18048"/>
    <cellStyle name="40% - akcent 2 2 4 4 4 3" xfId="18049"/>
    <cellStyle name="40% - akcent 2 2 4 4 5" xfId="18050"/>
    <cellStyle name="40% - akcent 2 2 4 4 5 2" xfId="18051"/>
    <cellStyle name="40% - akcent 2 2 4 4 6" xfId="18052"/>
    <cellStyle name="40% - akcent 2 2 4 5" xfId="18053"/>
    <cellStyle name="40% - akcent 2 2 4 5 2" xfId="18054"/>
    <cellStyle name="40% - akcent 2 2 4 5 2 2" xfId="18055"/>
    <cellStyle name="40% - akcent 2 2 4 5 2 2 2" xfId="18056"/>
    <cellStyle name="40% - akcent 2 2 4 5 2 3" xfId="18057"/>
    <cellStyle name="40% - akcent 2 2 4 5 3" xfId="18058"/>
    <cellStyle name="40% - akcent 2 2 4 5 3 2" xfId="18059"/>
    <cellStyle name="40% - akcent 2 2 4 5 3 2 2" xfId="18060"/>
    <cellStyle name="40% - akcent 2 2 4 5 3 3" xfId="18061"/>
    <cellStyle name="40% - akcent 2 2 4 5 4" xfId="18062"/>
    <cellStyle name="40% - akcent 2 2 4 5 4 2" xfId="18063"/>
    <cellStyle name="40% - akcent 2 2 4 5 4 2 2" xfId="18064"/>
    <cellStyle name="40% - akcent 2 2 4 5 4 3" xfId="18065"/>
    <cellStyle name="40% - akcent 2 2 4 5 5" xfId="18066"/>
    <cellStyle name="40% - akcent 2 2 4 5 5 2" xfId="18067"/>
    <cellStyle name="40% - akcent 2 2 4 5 6" xfId="18068"/>
    <cellStyle name="40% - akcent 2 2 4 6" xfId="18069"/>
    <cellStyle name="40% - akcent 2 2 4 6 2" xfId="18070"/>
    <cellStyle name="40% - akcent 2 2 4 6 2 2" xfId="18071"/>
    <cellStyle name="40% - akcent 2 2 4 6 2 2 2" xfId="18072"/>
    <cellStyle name="40% - akcent 2 2 4 6 2 3" xfId="18073"/>
    <cellStyle name="40% - akcent 2 2 4 6 3" xfId="18074"/>
    <cellStyle name="40% - akcent 2 2 4 6 3 2" xfId="18075"/>
    <cellStyle name="40% - akcent 2 2 4 6 3 2 2" xfId="18076"/>
    <cellStyle name="40% - akcent 2 2 4 6 3 3" xfId="18077"/>
    <cellStyle name="40% - akcent 2 2 4 6 4" xfId="18078"/>
    <cellStyle name="40% - akcent 2 2 4 6 4 2" xfId="18079"/>
    <cellStyle name="40% - akcent 2 2 4 6 4 2 2" xfId="18080"/>
    <cellStyle name="40% - akcent 2 2 4 6 4 3" xfId="18081"/>
    <cellStyle name="40% - akcent 2 2 4 6 5" xfId="18082"/>
    <cellStyle name="40% - akcent 2 2 4 6 5 2" xfId="18083"/>
    <cellStyle name="40% - akcent 2 2 4 6 6" xfId="18084"/>
    <cellStyle name="40% - akcent 2 2 5" xfId="18085"/>
    <cellStyle name="40% - akcent 2 2 6" xfId="18086"/>
    <cellStyle name="40% - akcent 2 2 7" xfId="18087"/>
    <cellStyle name="40% - akcent 2 2 8" xfId="18088"/>
    <cellStyle name="40% - akcent 2 2 9" xfId="18089"/>
    <cellStyle name="40% - akcent 2 2_2011'05 Raport PGE_DO-CO2" xfId="18090"/>
    <cellStyle name="40% - akcent 2 3" xfId="18091"/>
    <cellStyle name="40% - akcent 2 3 10" xfId="18092"/>
    <cellStyle name="40% - akcent 2 3 10 2" xfId="18093"/>
    <cellStyle name="40% - akcent 2 3 10 2 2" xfId="18094"/>
    <cellStyle name="40% - akcent 2 3 10 2 2 2" xfId="18095"/>
    <cellStyle name="40% - akcent 2 3 10 2 3" xfId="18096"/>
    <cellStyle name="40% - akcent 2 3 10 3" xfId="18097"/>
    <cellStyle name="40% - akcent 2 3 10 3 2" xfId="18098"/>
    <cellStyle name="40% - akcent 2 3 10 3 2 2" xfId="18099"/>
    <cellStyle name="40% - akcent 2 3 10 3 3" xfId="18100"/>
    <cellStyle name="40% - akcent 2 3 10 4" xfId="18101"/>
    <cellStyle name="40% - akcent 2 3 10 4 2" xfId="18102"/>
    <cellStyle name="40% - akcent 2 3 10 4 2 2" xfId="18103"/>
    <cellStyle name="40% - akcent 2 3 10 4 3" xfId="18104"/>
    <cellStyle name="40% - akcent 2 3 10 5" xfId="18105"/>
    <cellStyle name="40% - akcent 2 3 10 5 2" xfId="18106"/>
    <cellStyle name="40% - akcent 2 3 10 6" xfId="18107"/>
    <cellStyle name="40% - akcent 2 3 2" xfId="18108"/>
    <cellStyle name="40% - akcent 2 3 2 2" xfId="18109"/>
    <cellStyle name="40% - akcent 2 3 2 2 10" xfId="18110"/>
    <cellStyle name="40% - akcent 2 3 2 2 2" xfId="18111"/>
    <cellStyle name="40% - akcent 2 3 2 2 2 2" xfId="18112"/>
    <cellStyle name="40% - akcent 2 3 2 2 2 2 2" xfId="18113"/>
    <cellStyle name="40% - akcent 2 3 2 2 2 2 2 2" xfId="18114"/>
    <cellStyle name="40% - akcent 2 3 2 2 2 2 2 2 2" xfId="18115"/>
    <cellStyle name="40% - akcent 2 3 2 2 2 2 2 2 2 2" xfId="18116"/>
    <cellStyle name="40% - akcent 2 3 2 2 2 2 2 2 3" xfId="18117"/>
    <cellStyle name="40% - akcent 2 3 2 2 2 2 2 3" xfId="18118"/>
    <cellStyle name="40% - akcent 2 3 2 2 2 2 2 3 2" xfId="18119"/>
    <cellStyle name="40% - akcent 2 3 2 2 2 2 2 3 2 2" xfId="18120"/>
    <cellStyle name="40% - akcent 2 3 2 2 2 2 2 3 3" xfId="18121"/>
    <cellStyle name="40% - akcent 2 3 2 2 2 2 2 4" xfId="18122"/>
    <cellStyle name="40% - akcent 2 3 2 2 2 2 2 4 2" xfId="18123"/>
    <cellStyle name="40% - akcent 2 3 2 2 2 2 2 4 2 2" xfId="18124"/>
    <cellStyle name="40% - akcent 2 3 2 2 2 2 2 4 3" xfId="18125"/>
    <cellStyle name="40% - akcent 2 3 2 2 2 2 2 5" xfId="18126"/>
    <cellStyle name="40% - akcent 2 3 2 2 2 2 2 5 2" xfId="18127"/>
    <cellStyle name="40% - akcent 2 3 2 2 2 2 2 6" xfId="18128"/>
    <cellStyle name="40% - akcent 2 3 2 2 2 2 3" xfId="18129"/>
    <cellStyle name="40% - akcent 2 3 2 2 2 2 3 2" xfId="18130"/>
    <cellStyle name="40% - akcent 2 3 2 2 2 2 3 2 2" xfId="18131"/>
    <cellStyle name="40% - akcent 2 3 2 2 2 2 3 3" xfId="18132"/>
    <cellStyle name="40% - akcent 2 3 2 2 2 2 4" xfId="18133"/>
    <cellStyle name="40% - akcent 2 3 2 2 2 2 4 2" xfId="18134"/>
    <cellStyle name="40% - akcent 2 3 2 2 2 2 4 2 2" xfId="18135"/>
    <cellStyle name="40% - akcent 2 3 2 2 2 2 4 3" xfId="18136"/>
    <cellStyle name="40% - akcent 2 3 2 2 2 2 5" xfId="18137"/>
    <cellStyle name="40% - akcent 2 3 2 2 2 2 5 2" xfId="18138"/>
    <cellStyle name="40% - akcent 2 3 2 2 2 2 5 2 2" xfId="18139"/>
    <cellStyle name="40% - akcent 2 3 2 2 2 2 5 3" xfId="18140"/>
    <cellStyle name="40% - akcent 2 3 2 2 2 2 6" xfId="18141"/>
    <cellStyle name="40% - akcent 2 3 2 2 2 2 6 2" xfId="18142"/>
    <cellStyle name="40% - akcent 2 3 2 2 2 2 7" xfId="18143"/>
    <cellStyle name="40% - akcent 2 3 2 2 2 3" xfId="18144"/>
    <cellStyle name="40% - akcent 2 3 2 2 2 3 2" xfId="18145"/>
    <cellStyle name="40% - akcent 2 3 2 2 2 3 2 2" xfId="18146"/>
    <cellStyle name="40% - akcent 2 3 2 2 2 3 2 2 2" xfId="18147"/>
    <cellStyle name="40% - akcent 2 3 2 2 2 3 2 3" xfId="18148"/>
    <cellStyle name="40% - akcent 2 3 2 2 2 3 3" xfId="18149"/>
    <cellStyle name="40% - akcent 2 3 2 2 2 3 3 2" xfId="18150"/>
    <cellStyle name="40% - akcent 2 3 2 2 2 3 3 2 2" xfId="18151"/>
    <cellStyle name="40% - akcent 2 3 2 2 2 3 3 3" xfId="18152"/>
    <cellStyle name="40% - akcent 2 3 2 2 2 3 4" xfId="18153"/>
    <cellStyle name="40% - akcent 2 3 2 2 2 3 4 2" xfId="18154"/>
    <cellStyle name="40% - akcent 2 3 2 2 2 3 4 2 2" xfId="18155"/>
    <cellStyle name="40% - akcent 2 3 2 2 2 3 4 3" xfId="18156"/>
    <cellStyle name="40% - akcent 2 3 2 2 2 3 5" xfId="18157"/>
    <cellStyle name="40% - akcent 2 3 2 2 2 3 5 2" xfId="18158"/>
    <cellStyle name="40% - akcent 2 3 2 2 2 3 6" xfId="18159"/>
    <cellStyle name="40% - akcent 2 3 2 2 2 4" xfId="18160"/>
    <cellStyle name="40% - akcent 2 3 2 2 2 4 2" xfId="18161"/>
    <cellStyle name="40% - akcent 2 3 2 2 2 4 2 2" xfId="18162"/>
    <cellStyle name="40% - akcent 2 3 2 2 2 4 2 2 2" xfId="18163"/>
    <cellStyle name="40% - akcent 2 3 2 2 2 4 2 3" xfId="18164"/>
    <cellStyle name="40% - akcent 2 3 2 2 2 4 3" xfId="18165"/>
    <cellStyle name="40% - akcent 2 3 2 2 2 4 3 2" xfId="18166"/>
    <cellStyle name="40% - akcent 2 3 2 2 2 4 3 2 2" xfId="18167"/>
    <cellStyle name="40% - akcent 2 3 2 2 2 4 3 3" xfId="18168"/>
    <cellStyle name="40% - akcent 2 3 2 2 2 4 4" xfId="18169"/>
    <cellStyle name="40% - akcent 2 3 2 2 2 4 4 2" xfId="18170"/>
    <cellStyle name="40% - akcent 2 3 2 2 2 4 4 2 2" xfId="18171"/>
    <cellStyle name="40% - akcent 2 3 2 2 2 4 4 3" xfId="18172"/>
    <cellStyle name="40% - akcent 2 3 2 2 2 4 5" xfId="18173"/>
    <cellStyle name="40% - akcent 2 3 2 2 2 4 5 2" xfId="18174"/>
    <cellStyle name="40% - akcent 2 3 2 2 2 4 6" xfId="18175"/>
    <cellStyle name="40% - akcent 2 3 2 2 2 5" xfId="18176"/>
    <cellStyle name="40% - akcent 2 3 2 2 2 5 2" xfId="18177"/>
    <cellStyle name="40% - akcent 2 3 2 2 2 5 2 2" xfId="18178"/>
    <cellStyle name="40% - akcent 2 3 2 2 2 5 3" xfId="18179"/>
    <cellStyle name="40% - akcent 2 3 2 2 2 6" xfId="18180"/>
    <cellStyle name="40% - akcent 2 3 2 2 2 6 2" xfId="18181"/>
    <cellStyle name="40% - akcent 2 3 2 2 2 6 2 2" xfId="18182"/>
    <cellStyle name="40% - akcent 2 3 2 2 2 6 3" xfId="18183"/>
    <cellStyle name="40% - akcent 2 3 2 2 2 7" xfId="18184"/>
    <cellStyle name="40% - akcent 2 3 2 2 2 7 2" xfId="18185"/>
    <cellStyle name="40% - akcent 2 3 2 2 2 7 2 2" xfId="18186"/>
    <cellStyle name="40% - akcent 2 3 2 2 2 7 3" xfId="18187"/>
    <cellStyle name="40% - akcent 2 3 2 2 2 8" xfId="18188"/>
    <cellStyle name="40% - akcent 2 3 2 2 2 8 2" xfId="18189"/>
    <cellStyle name="40% - akcent 2 3 2 2 2 9" xfId="18190"/>
    <cellStyle name="40% - akcent 2 3 2 2 3" xfId="18191"/>
    <cellStyle name="40% - akcent 2 3 2 2 3 2" xfId="18192"/>
    <cellStyle name="40% - akcent 2 3 2 2 3 2 2" xfId="18193"/>
    <cellStyle name="40% - akcent 2 3 2 2 3 2 2 2" xfId="18194"/>
    <cellStyle name="40% - akcent 2 3 2 2 3 2 2 2 2" xfId="18195"/>
    <cellStyle name="40% - akcent 2 3 2 2 3 2 2 3" xfId="18196"/>
    <cellStyle name="40% - akcent 2 3 2 2 3 2 3" xfId="18197"/>
    <cellStyle name="40% - akcent 2 3 2 2 3 2 3 2" xfId="18198"/>
    <cellStyle name="40% - akcent 2 3 2 2 3 2 3 2 2" xfId="18199"/>
    <cellStyle name="40% - akcent 2 3 2 2 3 2 3 3" xfId="18200"/>
    <cellStyle name="40% - akcent 2 3 2 2 3 2 4" xfId="18201"/>
    <cellStyle name="40% - akcent 2 3 2 2 3 2 4 2" xfId="18202"/>
    <cellStyle name="40% - akcent 2 3 2 2 3 2 4 2 2" xfId="18203"/>
    <cellStyle name="40% - akcent 2 3 2 2 3 2 4 3" xfId="18204"/>
    <cellStyle name="40% - akcent 2 3 2 2 3 2 5" xfId="18205"/>
    <cellStyle name="40% - akcent 2 3 2 2 3 2 5 2" xfId="18206"/>
    <cellStyle name="40% - akcent 2 3 2 2 3 2 6" xfId="18207"/>
    <cellStyle name="40% - akcent 2 3 2 2 3 3" xfId="18208"/>
    <cellStyle name="40% - akcent 2 3 2 2 3 3 2" xfId="18209"/>
    <cellStyle name="40% - akcent 2 3 2 2 3 3 2 2" xfId="18210"/>
    <cellStyle name="40% - akcent 2 3 2 2 3 3 3" xfId="18211"/>
    <cellStyle name="40% - akcent 2 3 2 2 3 4" xfId="18212"/>
    <cellStyle name="40% - akcent 2 3 2 2 3 4 2" xfId="18213"/>
    <cellStyle name="40% - akcent 2 3 2 2 3 4 2 2" xfId="18214"/>
    <cellStyle name="40% - akcent 2 3 2 2 3 4 3" xfId="18215"/>
    <cellStyle name="40% - akcent 2 3 2 2 3 5" xfId="18216"/>
    <cellStyle name="40% - akcent 2 3 2 2 3 5 2" xfId="18217"/>
    <cellStyle name="40% - akcent 2 3 2 2 3 5 2 2" xfId="18218"/>
    <cellStyle name="40% - akcent 2 3 2 2 3 5 3" xfId="18219"/>
    <cellStyle name="40% - akcent 2 3 2 2 3 6" xfId="18220"/>
    <cellStyle name="40% - akcent 2 3 2 2 3 6 2" xfId="18221"/>
    <cellStyle name="40% - akcent 2 3 2 2 3 7" xfId="18222"/>
    <cellStyle name="40% - akcent 2 3 2 2 4" xfId="18223"/>
    <cellStyle name="40% - akcent 2 3 2 2 4 2" xfId="18224"/>
    <cellStyle name="40% - akcent 2 3 2 2 4 2 2" xfId="18225"/>
    <cellStyle name="40% - akcent 2 3 2 2 4 2 2 2" xfId="18226"/>
    <cellStyle name="40% - akcent 2 3 2 2 4 2 3" xfId="18227"/>
    <cellStyle name="40% - akcent 2 3 2 2 4 3" xfId="18228"/>
    <cellStyle name="40% - akcent 2 3 2 2 4 3 2" xfId="18229"/>
    <cellStyle name="40% - akcent 2 3 2 2 4 3 2 2" xfId="18230"/>
    <cellStyle name="40% - akcent 2 3 2 2 4 3 3" xfId="18231"/>
    <cellStyle name="40% - akcent 2 3 2 2 4 4" xfId="18232"/>
    <cellStyle name="40% - akcent 2 3 2 2 4 4 2" xfId="18233"/>
    <cellStyle name="40% - akcent 2 3 2 2 4 4 2 2" xfId="18234"/>
    <cellStyle name="40% - akcent 2 3 2 2 4 4 3" xfId="18235"/>
    <cellStyle name="40% - akcent 2 3 2 2 4 5" xfId="18236"/>
    <cellStyle name="40% - akcent 2 3 2 2 4 5 2" xfId="18237"/>
    <cellStyle name="40% - akcent 2 3 2 2 4 6" xfId="18238"/>
    <cellStyle name="40% - akcent 2 3 2 2 5" xfId="18239"/>
    <cellStyle name="40% - akcent 2 3 2 2 5 2" xfId="18240"/>
    <cellStyle name="40% - akcent 2 3 2 2 5 2 2" xfId="18241"/>
    <cellStyle name="40% - akcent 2 3 2 2 5 2 2 2" xfId="18242"/>
    <cellStyle name="40% - akcent 2 3 2 2 5 2 3" xfId="18243"/>
    <cellStyle name="40% - akcent 2 3 2 2 5 3" xfId="18244"/>
    <cellStyle name="40% - akcent 2 3 2 2 5 3 2" xfId="18245"/>
    <cellStyle name="40% - akcent 2 3 2 2 5 3 2 2" xfId="18246"/>
    <cellStyle name="40% - akcent 2 3 2 2 5 3 3" xfId="18247"/>
    <cellStyle name="40% - akcent 2 3 2 2 5 4" xfId="18248"/>
    <cellStyle name="40% - akcent 2 3 2 2 5 4 2" xfId="18249"/>
    <cellStyle name="40% - akcent 2 3 2 2 5 4 2 2" xfId="18250"/>
    <cellStyle name="40% - akcent 2 3 2 2 5 4 3" xfId="18251"/>
    <cellStyle name="40% - akcent 2 3 2 2 5 5" xfId="18252"/>
    <cellStyle name="40% - akcent 2 3 2 2 5 5 2" xfId="18253"/>
    <cellStyle name="40% - akcent 2 3 2 2 5 6" xfId="18254"/>
    <cellStyle name="40% - akcent 2 3 2 2 6" xfId="18255"/>
    <cellStyle name="40% - akcent 2 3 2 2 6 2" xfId="18256"/>
    <cellStyle name="40% - akcent 2 3 2 2 6 2 2" xfId="18257"/>
    <cellStyle name="40% - akcent 2 3 2 2 6 3" xfId="18258"/>
    <cellStyle name="40% - akcent 2 3 2 2 7" xfId="18259"/>
    <cellStyle name="40% - akcent 2 3 2 2 7 2" xfId="18260"/>
    <cellStyle name="40% - akcent 2 3 2 2 7 2 2" xfId="18261"/>
    <cellStyle name="40% - akcent 2 3 2 2 7 3" xfId="18262"/>
    <cellStyle name="40% - akcent 2 3 2 2 8" xfId="18263"/>
    <cellStyle name="40% - akcent 2 3 2 2 8 2" xfId="18264"/>
    <cellStyle name="40% - akcent 2 3 2 2 8 2 2" xfId="18265"/>
    <cellStyle name="40% - akcent 2 3 2 2 8 3" xfId="18266"/>
    <cellStyle name="40% - akcent 2 3 2 2 9" xfId="18267"/>
    <cellStyle name="40% - akcent 2 3 2 2 9 2" xfId="18268"/>
    <cellStyle name="40% - akcent 2 3 2 3" xfId="18269"/>
    <cellStyle name="40% - akcent 2 3 2 3 2" xfId="18270"/>
    <cellStyle name="40% - akcent 2 3 2 3 2 2" xfId="18271"/>
    <cellStyle name="40% - akcent 2 3 2 3 2 2 2" xfId="18272"/>
    <cellStyle name="40% - akcent 2 3 2 3 2 2 2 2" xfId="18273"/>
    <cellStyle name="40% - akcent 2 3 2 3 2 2 2 2 2" xfId="18274"/>
    <cellStyle name="40% - akcent 2 3 2 3 2 2 2 3" xfId="18275"/>
    <cellStyle name="40% - akcent 2 3 2 3 2 2 3" xfId="18276"/>
    <cellStyle name="40% - akcent 2 3 2 3 2 2 3 2" xfId="18277"/>
    <cellStyle name="40% - akcent 2 3 2 3 2 2 3 2 2" xfId="18278"/>
    <cellStyle name="40% - akcent 2 3 2 3 2 2 3 3" xfId="18279"/>
    <cellStyle name="40% - akcent 2 3 2 3 2 2 4" xfId="18280"/>
    <cellStyle name="40% - akcent 2 3 2 3 2 2 4 2" xfId="18281"/>
    <cellStyle name="40% - akcent 2 3 2 3 2 2 4 2 2" xfId="18282"/>
    <cellStyle name="40% - akcent 2 3 2 3 2 2 4 3" xfId="18283"/>
    <cellStyle name="40% - akcent 2 3 2 3 2 2 5" xfId="18284"/>
    <cellStyle name="40% - akcent 2 3 2 3 2 2 5 2" xfId="18285"/>
    <cellStyle name="40% - akcent 2 3 2 3 2 2 6" xfId="18286"/>
    <cellStyle name="40% - akcent 2 3 2 3 2 3" xfId="18287"/>
    <cellStyle name="40% - akcent 2 3 2 3 2 3 2" xfId="18288"/>
    <cellStyle name="40% - akcent 2 3 2 3 2 3 2 2" xfId="18289"/>
    <cellStyle name="40% - akcent 2 3 2 3 2 3 3" xfId="18290"/>
    <cellStyle name="40% - akcent 2 3 2 3 2 4" xfId="18291"/>
    <cellStyle name="40% - akcent 2 3 2 3 2 4 2" xfId="18292"/>
    <cellStyle name="40% - akcent 2 3 2 3 2 4 2 2" xfId="18293"/>
    <cellStyle name="40% - akcent 2 3 2 3 2 4 3" xfId="18294"/>
    <cellStyle name="40% - akcent 2 3 2 3 2 5" xfId="18295"/>
    <cellStyle name="40% - akcent 2 3 2 3 2 5 2" xfId="18296"/>
    <cellStyle name="40% - akcent 2 3 2 3 2 5 2 2" xfId="18297"/>
    <cellStyle name="40% - akcent 2 3 2 3 2 5 3" xfId="18298"/>
    <cellStyle name="40% - akcent 2 3 2 3 2 6" xfId="18299"/>
    <cellStyle name="40% - akcent 2 3 2 3 2 6 2" xfId="18300"/>
    <cellStyle name="40% - akcent 2 3 2 3 2 7" xfId="18301"/>
    <cellStyle name="40% - akcent 2 3 2 3 3" xfId="18302"/>
    <cellStyle name="40% - akcent 2 3 2 3 3 2" xfId="18303"/>
    <cellStyle name="40% - akcent 2 3 2 3 3 2 2" xfId="18304"/>
    <cellStyle name="40% - akcent 2 3 2 3 3 2 2 2" xfId="18305"/>
    <cellStyle name="40% - akcent 2 3 2 3 3 2 3" xfId="18306"/>
    <cellStyle name="40% - akcent 2 3 2 3 3 3" xfId="18307"/>
    <cellStyle name="40% - akcent 2 3 2 3 3 3 2" xfId="18308"/>
    <cellStyle name="40% - akcent 2 3 2 3 3 3 2 2" xfId="18309"/>
    <cellStyle name="40% - akcent 2 3 2 3 3 3 3" xfId="18310"/>
    <cellStyle name="40% - akcent 2 3 2 3 3 4" xfId="18311"/>
    <cellStyle name="40% - akcent 2 3 2 3 3 4 2" xfId="18312"/>
    <cellStyle name="40% - akcent 2 3 2 3 3 4 2 2" xfId="18313"/>
    <cellStyle name="40% - akcent 2 3 2 3 3 4 3" xfId="18314"/>
    <cellStyle name="40% - akcent 2 3 2 3 3 5" xfId="18315"/>
    <cellStyle name="40% - akcent 2 3 2 3 3 5 2" xfId="18316"/>
    <cellStyle name="40% - akcent 2 3 2 3 3 6" xfId="18317"/>
    <cellStyle name="40% - akcent 2 3 2 3 4" xfId="18318"/>
    <cellStyle name="40% - akcent 2 3 2 3 4 2" xfId="18319"/>
    <cellStyle name="40% - akcent 2 3 2 3 4 2 2" xfId="18320"/>
    <cellStyle name="40% - akcent 2 3 2 3 4 2 2 2" xfId="18321"/>
    <cellStyle name="40% - akcent 2 3 2 3 4 2 3" xfId="18322"/>
    <cellStyle name="40% - akcent 2 3 2 3 4 3" xfId="18323"/>
    <cellStyle name="40% - akcent 2 3 2 3 4 3 2" xfId="18324"/>
    <cellStyle name="40% - akcent 2 3 2 3 4 3 2 2" xfId="18325"/>
    <cellStyle name="40% - akcent 2 3 2 3 4 3 3" xfId="18326"/>
    <cellStyle name="40% - akcent 2 3 2 3 4 4" xfId="18327"/>
    <cellStyle name="40% - akcent 2 3 2 3 4 4 2" xfId="18328"/>
    <cellStyle name="40% - akcent 2 3 2 3 4 4 2 2" xfId="18329"/>
    <cellStyle name="40% - akcent 2 3 2 3 4 4 3" xfId="18330"/>
    <cellStyle name="40% - akcent 2 3 2 3 4 5" xfId="18331"/>
    <cellStyle name="40% - akcent 2 3 2 3 4 5 2" xfId="18332"/>
    <cellStyle name="40% - akcent 2 3 2 3 4 6" xfId="18333"/>
    <cellStyle name="40% - akcent 2 3 2 3 5" xfId="18334"/>
    <cellStyle name="40% - akcent 2 3 2 3 5 2" xfId="18335"/>
    <cellStyle name="40% - akcent 2 3 2 3 5 2 2" xfId="18336"/>
    <cellStyle name="40% - akcent 2 3 2 3 5 3" xfId="18337"/>
    <cellStyle name="40% - akcent 2 3 2 3 6" xfId="18338"/>
    <cellStyle name="40% - akcent 2 3 2 3 6 2" xfId="18339"/>
    <cellStyle name="40% - akcent 2 3 2 3 6 2 2" xfId="18340"/>
    <cellStyle name="40% - akcent 2 3 2 3 6 3" xfId="18341"/>
    <cellStyle name="40% - akcent 2 3 2 3 7" xfId="18342"/>
    <cellStyle name="40% - akcent 2 3 2 3 7 2" xfId="18343"/>
    <cellStyle name="40% - akcent 2 3 2 3 7 2 2" xfId="18344"/>
    <cellStyle name="40% - akcent 2 3 2 3 7 3" xfId="18345"/>
    <cellStyle name="40% - akcent 2 3 2 3 8" xfId="18346"/>
    <cellStyle name="40% - akcent 2 3 2 3 8 2" xfId="18347"/>
    <cellStyle name="40% - akcent 2 3 2 3 9" xfId="18348"/>
    <cellStyle name="40% - akcent 2 3 2 4" xfId="18349"/>
    <cellStyle name="40% - akcent 2 3 2 4 2" xfId="18350"/>
    <cellStyle name="40% - akcent 2 3 2 4 2 2" xfId="18351"/>
    <cellStyle name="40% - akcent 2 3 2 4 2 2 2" xfId="18352"/>
    <cellStyle name="40% - akcent 2 3 2 4 2 2 2 2" xfId="18353"/>
    <cellStyle name="40% - akcent 2 3 2 4 2 2 3" xfId="18354"/>
    <cellStyle name="40% - akcent 2 3 2 4 2 3" xfId="18355"/>
    <cellStyle name="40% - akcent 2 3 2 4 2 3 2" xfId="18356"/>
    <cellStyle name="40% - akcent 2 3 2 4 2 3 2 2" xfId="18357"/>
    <cellStyle name="40% - akcent 2 3 2 4 2 3 3" xfId="18358"/>
    <cellStyle name="40% - akcent 2 3 2 4 2 4" xfId="18359"/>
    <cellStyle name="40% - akcent 2 3 2 4 2 4 2" xfId="18360"/>
    <cellStyle name="40% - akcent 2 3 2 4 2 4 2 2" xfId="18361"/>
    <cellStyle name="40% - akcent 2 3 2 4 2 4 3" xfId="18362"/>
    <cellStyle name="40% - akcent 2 3 2 4 2 5" xfId="18363"/>
    <cellStyle name="40% - akcent 2 3 2 4 2 5 2" xfId="18364"/>
    <cellStyle name="40% - akcent 2 3 2 4 2 6" xfId="18365"/>
    <cellStyle name="40% - akcent 2 3 2 4 3" xfId="18366"/>
    <cellStyle name="40% - akcent 2 3 2 4 3 2" xfId="18367"/>
    <cellStyle name="40% - akcent 2 3 2 4 3 2 2" xfId="18368"/>
    <cellStyle name="40% - akcent 2 3 2 4 3 3" xfId="18369"/>
    <cellStyle name="40% - akcent 2 3 2 4 4" xfId="18370"/>
    <cellStyle name="40% - akcent 2 3 2 4 4 2" xfId="18371"/>
    <cellStyle name="40% - akcent 2 3 2 4 4 2 2" xfId="18372"/>
    <cellStyle name="40% - akcent 2 3 2 4 4 3" xfId="18373"/>
    <cellStyle name="40% - akcent 2 3 2 4 5" xfId="18374"/>
    <cellStyle name="40% - akcent 2 3 2 4 5 2" xfId="18375"/>
    <cellStyle name="40% - akcent 2 3 2 4 5 2 2" xfId="18376"/>
    <cellStyle name="40% - akcent 2 3 2 4 5 3" xfId="18377"/>
    <cellStyle name="40% - akcent 2 3 2 4 6" xfId="18378"/>
    <cellStyle name="40% - akcent 2 3 2 4 6 2" xfId="18379"/>
    <cellStyle name="40% - akcent 2 3 2 4 7" xfId="18380"/>
    <cellStyle name="40% - akcent 2 3 2 5" xfId="18381"/>
    <cellStyle name="40% - akcent 2 3 2 5 2" xfId="18382"/>
    <cellStyle name="40% - akcent 2 3 2 5 2 2" xfId="18383"/>
    <cellStyle name="40% - akcent 2 3 2 5 2 2 2" xfId="18384"/>
    <cellStyle name="40% - akcent 2 3 2 5 2 3" xfId="18385"/>
    <cellStyle name="40% - akcent 2 3 2 5 3" xfId="18386"/>
    <cellStyle name="40% - akcent 2 3 2 5 3 2" xfId="18387"/>
    <cellStyle name="40% - akcent 2 3 2 5 3 2 2" xfId="18388"/>
    <cellStyle name="40% - akcent 2 3 2 5 3 3" xfId="18389"/>
    <cellStyle name="40% - akcent 2 3 2 5 4" xfId="18390"/>
    <cellStyle name="40% - akcent 2 3 2 5 4 2" xfId="18391"/>
    <cellStyle name="40% - akcent 2 3 2 5 4 2 2" xfId="18392"/>
    <cellStyle name="40% - akcent 2 3 2 5 4 3" xfId="18393"/>
    <cellStyle name="40% - akcent 2 3 2 5 5" xfId="18394"/>
    <cellStyle name="40% - akcent 2 3 2 5 5 2" xfId="18395"/>
    <cellStyle name="40% - akcent 2 3 2 5 6" xfId="18396"/>
    <cellStyle name="40% - akcent 2 3 2 6" xfId="18397"/>
    <cellStyle name="40% - akcent 2 3 2 6 2" xfId="18398"/>
    <cellStyle name="40% - akcent 2 3 2 6 2 2" xfId="18399"/>
    <cellStyle name="40% - akcent 2 3 2 6 2 2 2" xfId="18400"/>
    <cellStyle name="40% - akcent 2 3 2 6 2 3" xfId="18401"/>
    <cellStyle name="40% - akcent 2 3 2 6 3" xfId="18402"/>
    <cellStyle name="40% - akcent 2 3 2 6 3 2" xfId="18403"/>
    <cellStyle name="40% - akcent 2 3 2 6 3 2 2" xfId="18404"/>
    <cellStyle name="40% - akcent 2 3 2 6 3 3" xfId="18405"/>
    <cellStyle name="40% - akcent 2 3 2 6 4" xfId="18406"/>
    <cellStyle name="40% - akcent 2 3 2 6 4 2" xfId="18407"/>
    <cellStyle name="40% - akcent 2 3 2 6 4 2 2" xfId="18408"/>
    <cellStyle name="40% - akcent 2 3 2 6 4 3" xfId="18409"/>
    <cellStyle name="40% - akcent 2 3 2 6 5" xfId="18410"/>
    <cellStyle name="40% - akcent 2 3 2 6 5 2" xfId="18411"/>
    <cellStyle name="40% - akcent 2 3 2 6 6" xfId="18412"/>
    <cellStyle name="40% - akcent 2 3 2 7" xfId="18413"/>
    <cellStyle name="40% - akcent 2 3 2 8" xfId="18414"/>
    <cellStyle name="40% - akcent 2 3 2 8 2" xfId="18415"/>
    <cellStyle name="40% - akcent 2 3 2 8 2 2" xfId="18416"/>
    <cellStyle name="40% - akcent 2 3 2 8 2 2 2" xfId="18417"/>
    <cellStyle name="40% - akcent 2 3 2 8 2 3" xfId="18418"/>
    <cellStyle name="40% - akcent 2 3 2 8 3" xfId="18419"/>
    <cellStyle name="40% - akcent 2 3 2 8 3 2" xfId="18420"/>
    <cellStyle name="40% - akcent 2 3 2 8 3 2 2" xfId="18421"/>
    <cellStyle name="40% - akcent 2 3 2 8 3 3" xfId="18422"/>
    <cellStyle name="40% - akcent 2 3 2 8 4" xfId="18423"/>
    <cellStyle name="40% - akcent 2 3 2 8 4 2" xfId="18424"/>
    <cellStyle name="40% - akcent 2 3 2 8 4 2 2" xfId="18425"/>
    <cellStyle name="40% - akcent 2 3 2 8 4 3" xfId="18426"/>
    <cellStyle name="40% - akcent 2 3 2 8 5" xfId="18427"/>
    <cellStyle name="40% - akcent 2 3 2 8 5 2" xfId="18428"/>
    <cellStyle name="40% - akcent 2 3 2 8 6" xfId="18429"/>
    <cellStyle name="40% - akcent 2 3 3" xfId="18430"/>
    <cellStyle name="40% - akcent 2 3 3 2" xfId="18431"/>
    <cellStyle name="40% - akcent 2 3 3 2 2" xfId="18432"/>
    <cellStyle name="40% - akcent 2 3 3 2 2 2" xfId="18433"/>
    <cellStyle name="40% - akcent 2 3 3 2 2 2 2" xfId="18434"/>
    <cellStyle name="40% - akcent 2 3 3 2 2 2 2 2" xfId="18435"/>
    <cellStyle name="40% - akcent 2 3 3 2 2 2 2 2 2" xfId="18436"/>
    <cellStyle name="40% - akcent 2 3 3 2 2 2 2 3" xfId="18437"/>
    <cellStyle name="40% - akcent 2 3 3 2 2 2 3" xfId="18438"/>
    <cellStyle name="40% - akcent 2 3 3 2 2 2 3 2" xfId="18439"/>
    <cellStyle name="40% - akcent 2 3 3 2 2 2 3 2 2" xfId="18440"/>
    <cellStyle name="40% - akcent 2 3 3 2 2 2 3 3" xfId="18441"/>
    <cellStyle name="40% - akcent 2 3 3 2 2 2 4" xfId="18442"/>
    <cellStyle name="40% - akcent 2 3 3 2 2 2 4 2" xfId="18443"/>
    <cellStyle name="40% - akcent 2 3 3 2 2 2 4 2 2" xfId="18444"/>
    <cellStyle name="40% - akcent 2 3 3 2 2 2 4 3" xfId="18445"/>
    <cellStyle name="40% - akcent 2 3 3 2 2 2 5" xfId="18446"/>
    <cellStyle name="40% - akcent 2 3 3 2 2 2 5 2" xfId="18447"/>
    <cellStyle name="40% - akcent 2 3 3 2 2 2 6" xfId="18448"/>
    <cellStyle name="40% - akcent 2 3 3 2 2 3" xfId="18449"/>
    <cellStyle name="40% - akcent 2 3 3 2 2 3 2" xfId="18450"/>
    <cellStyle name="40% - akcent 2 3 3 2 2 3 2 2" xfId="18451"/>
    <cellStyle name="40% - akcent 2 3 3 2 2 3 3" xfId="18452"/>
    <cellStyle name="40% - akcent 2 3 3 2 2 4" xfId="18453"/>
    <cellStyle name="40% - akcent 2 3 3 2 2 4 2" xfId="18454"/>
    <cellStyle name="40% - akcent 2 3 3 2 2 4 2 2" xfId="18455"/>
    <cellStyle name="40% - akcent 2 3 3 2 2 4 3" xfId="18456"/>
    <cellStyle name="40% - akcent 2 3 3 2 2 5" xfId="18457"/>
    <cellStyle name="40% - akcent 2 3 3 2 2 5 2" xfId="18458"/>
    <cellStyle name="40% - akcent 2 3 3 2 2 5 2 2" xfId="18459"/>
    <cellStyle name="40% - akcent 2 3 3 2 2 5 3" xfId="18460"/>
    <cellStyle name="40% - akcent 2 3 3 2 2 6" xfId="18461"/>
    <cellStyle name="40% - akcent 2 3 3 2 2 6 2" xfId="18462"/>
    <cellStyle name="40% - akcent 2 3 3 2 2 7" xfId="18463"/>
    <cellStyle name="40% - akcent 2 3 3 2 3" xfId="18464"/>
    <cellStyle name="40% - akcent 2 3 3 2 3 2" xfId="18465"/>
    <cellStyle name="40% - akcent 2 3 3 2 3 2 2" xfId="18466"/>
    <cellStyle name="40% - akcent 2 3 3 2 3 2 2 2" xfId="18467"/>
    <cellStyle name="40% - akcent 2 3 3 2 3 2 3" xfId="18468"/>
    <cellStyle name="40% - akcent 2 3 3 2 3 3" xfId="18469"/>
    <cellStyle name="40% - akcent 2 3 3 2 3 3 2" xfId="18470"/>
    <cellStyle name="40% - akcent 2 3 3 2 3 3 2 2" xfId="18471"/>
    <cellStyle name="40% - akcent 2 3 3 2 3 3 3" xfId="18472"/>
    <cellStyle name="40% - akcent 2 3 3 2 3 4" xfId="18473"/>
    <cellStyle name="40% - akcent 2 3 3 2 3 4 2" xfId="18474"/>
    <cellStyle name="40% - akcent 2 3 3 2 3 4 2 2" xfId="18475"/>
    <cellStyle name="40% - akcent 2 3 3 2 3 4 3" xfId="18476"/>
    <cellStyle name="40% - akcent 2 3 3 2 3 5" xfId="18477"/>
    <cellStyle name="40% - akcent 2 3 3 2 3 5 2" xfId="18478"/>
    <cellStyle name="40% - akcent 2 3 3 2 3 6" xfId="18479"/>
    <cellStyle name="40% - akcent 2 3 3 2 4" xfId="18480"/>
    <cellStyle name="40% - akcent 2 3 3 2 4 2" xfId="18481"/>
    <cellStyle name="40% - akcent 2 3 3 2 4 2 2" xfId="18482"/>
    <cellStyle name="40% - akcent 2 3 3 2 4 2 2 2" xfId="18483"/>
    <cellStyle name="40% - akcent 2 3 3 2 4 2 3" xfId="18484"/>
    <cellStyle name="40% - akcent 2 3 3 2 4 3" xfId="18485"/>
    <cellStyle name="40% - akcent 2 3 3 2 4 3 2" xfId="18486"/>
    <cellStyle name="40% - akcent 2 3 3 2 4 3 2 2" xfId="18487"/>
    <cellStyle name="40% - akcent 2 3 3 2 4 3 3" xfId="18488"/>
    <cellStyle name="40% - akcent 2 3 3 2 4 4" xfId="18489"/>
    <cellStyle name="40% - akcent 2 3 3 2 4 4 2" xfId="18490"/>
    <cellStyle name="40% - akcent 2 3 3 2 4 4 2 2" xfId="18491"/>
    <cellStyle name="40% - akcent 2 3 3 2 4 4 3" xfId="18492"/>
    <cellStyle name="40% - akcent 2 3 3 2 4 5" xfId="18493"/>
    <cellStyle name="40% - akcent 2 3 3 2 4 5 2" xfId="18494"/>
    <cellStyle name="40% - akcent 2 3 3 2 4 6" xfId="18495"/>
    <cellStyle name="40% - akcent 2 3 3 2 5" xfId="18496"/>
    <cellStyle name="40% - akcent 2 3 3 2 5 2" xfId="18497"/>
    <cellStyle name="40% - akcent 2 3 3 2 5 2 2" xfId="18498"/>
    <cellStyle name="40% - akcent 2 3 3 2 5 3" xfId="18499"/>
    <cellStyle name="40% - akcent 2 3 3 2 6" xfId="18500"/>
    <cellStyle name="40% - akcent 2 3 3 2 6 2" xfId="18501"/>
    <cellStyle name="40% - akcent 2 3 3 2 6 2 2" xfId="18502"/>
    <cellStyle name="40% - akcent 2 3 3 2 6 3" xfId="18503"/>
    <cellStyle name="40% - akcent 2 3 3 2 7" xfId="18504"/>
    <cellStyle name="40% - akcent 2 3 3 2 7 2" xfId="18505"/>
    <cellStyle name="40% - akcent 2 3 3 2 7 2 2" xfId="18506"/>
    <cellStyle name="40% - akcent 2 3 3 2 7 3" xfId="18507"/>
    <cellStyle name="40% - akcent 2 3 3 2 8" xfId="18508"/>
    <cellStyle name="40% - akcent 2 3 3 2 8 2" xfId="18509"/>
    <cellStyle name="40% - akcent 2 3 3 2 9" xfId="18510"/>
    <cellStyle name="40% - akcent 2 3 3 3" xfId="18511"/>
    <cellStyle name="40% - akcent 2 3 3 3 2" xfId="18512"/>
    <cellStyle name="40% - akcent 2 3 3 3 2 2" xfId="18513"/>
    <cellStyle name="40% - akcent 2 3 3 3 2 2 2" xfId="18514"/>
    <cellStyle name="40% - akcent 2 3 3 3 2 2 2 2" xfId="18515"/>
    <cellStyle name="40% - akcent 2 3 3 3 2 2 3" xfId="18516"/>
    <cellStyle name="40% - akcent 2 3 3 3 2 3" xfId="18517"/>
    <cellStyle name="40% - akcent 2 3 3 3 2 3 2" xfId="18518"/>
    <cellStyle name="40% - akcent 2 3 3 3 2 3 2 2" xfId="18519"/>
    <cellStyle name="40% - akcent 2 3 3 3 2 3 3" xfId="18520"/>
    <cellStyle name="40% - akcent 2 3 3 3 2 4" xfId="18521"/>
    <cellStyle name="40% - akcent 2 3 3 3 2 4 2" xfId="18522"/>
    <cellStyle name="40% - akcent 2 3 3 3 2 4 2 2" xfId="18523"/>
    <cellStyle name="40% - akcent 2 3 3 3 2 4 3" xfId="18524"/>
    <cellStyle name="40% - akcent 2 3 3 3 2 5" xfId="18525"/>
    <cellStyle name="40% - akcent 2 3 3 3 2 5 2" xfId="18526"/>
    <cellStyle name="40% - akcent 2 3 3 3 2 6" xfId="18527"/>
    <cellStyle name="40% - akcent 2 3 3 3 3" xfId="18528"/>
    <cellStyle name="40% - akcent 2 3 3 3 3 2" xfId="18529"/>
    <cellStyle name="40% - akcent 2 3 3 3 3 2 2" xfId="18530"/>
    <cellStyle name="40% - akcent 2 3 3 3 3 3" xfId="18531"/>
    <cellStyle name="40% - akcent 2 3 3 3 4" xfId="18532"/>
    <cellStyle name="40% - akcent 2 3 3 3 4 2" xfId="18533"/>
    <cellStyle name="40% - akcent 2 3 3 3 4 2 2" xfId="18534"/>
    <cellStyle name="40% - akcent 2 3 3 3 4 3" xfId="18535"/>
    <cellStyle name="40% - akcent 2 3 3 3 5" xfId="18536"/>
    <cellStyle name="40% - akcent 2 3 3 3 5 2" xfId="18537"/>
    <cellStyle name="40% - akcent 2 3 3 3 5 2 2" xfId="18538"/>
    <cellStyle name="40% - akcent 2 3 3 3 5 3" xfId="18539"/>
    <cellStyle name="40% - akcent 2 3 3 3 6" xfId="18540"/>
    <cellStyle name="40% - akcent 2 3 3 3 6 2" xfId="18541"/>
    <cellStyle name="40% - akcent 2 3 3 3 7" xfId="18542"/>
    <cellStyle name="40% - akcent 2 3 3 4" xfId="18543"/>
    <cellStyle name="40% - akcent 2 3 3 4 2" xfId="18544"/>
    <cellStyle name="40% - akcent 2 3 3 4 2 2" xfId="18545"/>
    <cellStyle name="40% - akcent 2 3 3 4 2 2 2" xfId="18546"/>
    <cellStyle name="40% - akcent 2 3 3 4 2 3" xfId="18547"/>
    <cellStyle name="40% - akcent 2 3 3 4 3" xfId="18548"/>
    <cellStyle name="40% - akcent 2 3 3 4 3 2" xfId="18549"/>
    <cellStyle name="40% - akcent 2 3 3 4 3 2 2" xfId="18550"/>
    <cellStyle name="40% - akcent 2 3 3 4 3 3" xfId="18551"/>
    <cellStyle name="40% - akcent 2 3 3 4 4" xfId="18552"/>
    <cellStyle name="40% - akcent 2 3 3 4 4 2" xfId="18553"/>
    <cellStyle name="40% - akcent 2 3 3 4 4 2 2" xfId="18554"/>
    <cellStyle name="40% - akcent 2 3 3 4 4 3" xfId="18555"/>
    <cellStyle name="40% - akcent 2 3 3 4 5" xfId="18556"/>
    <cellStyle name="40% - akcent 2 3 3 4 5 2" xfId="18557"/>
    <cellStyle name="40% - akcent 2 3 3 4 6" xfId="18558"/>
    <cellStyle name="40% - akcent 2 3 3 5" xfId="18559"/>
    <cellStyle name="40% - akcent 2 3 3 5 2" xfId="18560"/>
    <cellStyle name="40% - akcent 2 3 3 5 2 2" xfId="18561"/>
    <cellStyle name="40% - akcent 2 3 3 5 2 2 2" xfId="18562"/>
    <cellStyle name="40% - akcent 2 3 3 5 2 3" xfId="18563"/>
    <cellStyle name="40% - akcent 2 3 3 5 3" xfId="18564"/>
    <cellStyle name="40% - akcent 2 3 3 5 3 2" xfId="18565"/>
    <cellStyle name="40% - akcent 2 3 3 5 3 2 2" xfId="18566"/>
    <cellStyle name="40% - akcent 2 3 3 5 3 3" xfId="18567"/>
    <cellStyle name="40% - akcent 2 3 3 5 4" xfId="18568"/>
    <cellStyle name="40% - akcent 2 3 3 5 4 2" xfId="18569"/>
    <cellStyle name="40% - akcent 2 3 3 5 4 2 2" xfId="18570"/>
    <cellStyle name="40% - akcent 2 3 3 5 4 3" xfId="18571"/>
    <cellStyle name="40% - akcent 2 3 3 5 5" xfId="18572"/>
    <cellStyle name="40% - akcent 2 3 3 5 5 2" xfId="18573"/>
    <cellStyle name="40% - akcent 2 3 3 5 6" xfId="18574"/>
    <cellStyle name="40% - akcent 2 3 3 6" xfId="18575"/>
    <cellStyle name="40% - akcent 2 3 3 6 2" xfId="18576"/>
    <cellStyle name="40% - akcent 2 3 3 6 2 2" xfId="18577"/>
    <cellStyle name="40% - akcent 2 3 3 6 2 2 2" xfId="18578"/>
    <cellStyle name="40% - akcent 2 3 3 6 2 3" xfId="18579"/>
    <cellStyle name="40% - akcent 2 3 3 6 3" xfId="18580"/>
    <cellStyle name="40% - akcent 2 3 3 6 3 2" xfId="18581"/>
    <cellStyle name="40% - akcent 2 3 3 6 3 2 2" xfId="18582"/>
    <cellStyle name="40% - akcent 2 3 3 6 3 3" xfId="18583"/>
    <cellStyle name="40% - akcent 2 3 3 6 4" xfId="18584"/>
    <cellStyle name="40% - akcent 2 3 3 6 4 2" xfId="18585"/>
    <cellStyle name="40% - akcent 2 3 3 6 4 2 2" xfId="18586"/>
    <cellStyle name="40% - akcent 2 3 3 6 4 3" xfId="18587"/>
    <cellStyle name="40% - akcent 2 3 3 6 5" xfId="18588"/>
    <cellStyle name="40% - akcent 2 3 3 6 5 2" xfId="18589"/>
    <cellStyle name="40% - akcent 2 3 3 6 6" xfId="18590"/>
    <cellStyle name="40% - akcent 2 3 4" xfId="18591"/>
    <cellStyle name="40% - akcent 2 3 4 10" xfId="18592"/>
    <cellStyle name="40% - akcent 2 3 4 2" xfId="18593"/>
    <cellStyle name="40% - akcent 2 3 4 2 2" xfId="18594"/>
    <cellStyle name="40% - akcent 2 3 4 2 2 2" xfId="18595"/>
    <cellStyle name="40% - akcent 2 3 4 2 2 2 2" xfId="18596"/>
    <cellStyle name="40% - akcent 2 3 4 2 2 2 2 2" xfId="18597"/>
    <cellStyle name="40% - akcent 2 3 4 2 2 2 2 2 2" xfId="18598"/>
    <cellStyle name="40% - akcent 2 3 4 2 2 2 2 3" xfId="18599"/>
    <cellStyle name="40% - akcent 2 3 4 2 2 2 3" xfId="18600"/>
    <cellStyle name="40% - akcent 2 3 4 2 2 2 3 2" xfId="18601"/>
    <cellStyle name="40% - akcent 2 3 4 2 2 2 3 2 2" xfId="18602"/>
    <cellStyle name="40% - akcent 2 3 4 2 2 2 3 3" xfId="18603"/>
    <cellStyle name="40% - akcent 2 3 4 2 2 2 4" xfId="18604"/>
    <cellStyle name="40% - akcent 2 3 4 2 2 2 4 2" xfId="18605"/>
    <cellStyle name="40% - akcent 2 3 4 2 2 2 4 2 2" xfId="18606"/>
    <cellStyle name="40% - akcent 2 3 4 2 2 2 4 3" xfId="18607"/>
    <cellStyle name="40% - akcent 2 3 4 2 2 2 5" xfId="18608"/>
    <cellStyle name="40% - akcent 2 3 4 2 2 2 5 2" xfId="18609"/>
    <cellStyle name="40% - akcent 2 3 4 2 2 2 6" xfId="18610"/>
    <cellStyle name="40% - akcent 2 3 4 2 2 3" xfId="18611"/>
    <cellStyle name="40% - akcent 2 3 4 2 2 3 2" xfId="18612"/>
    <cellStyle name="40% - akcent 2 3 4 2 2 3 2 2" xfId="18613"/>
    <cellStyle name="40% - akcent 2 3 4 2 2 3 3" xfId="18614"/>
    <cellStyle name="40% - akcent 2 3 4 2 2 4" xfId="18615"/>
    <cellStyle name="40% - akcent 2 3 4 2 2 4 2" xfId="18616"/>
    <cellStyle name="40% - akcent 2 3 4 2 2 4 2 2" xfId="18617"/>
    <cellStyle name="40% - akcent 2 3 4 2 2 4 3" xfId="18618"/>
    <cellStyle name="40% - akcent 2 3 4 2 2 5" xfId="18619"/>
    <cellStyle name="40% - akcent 2 3 4 2 2 5 2" xfId="18620"/>
    <cellStyle name="40% - akcent 2 3 4 2 2 5 2 2" xfId="18621"/>
    <cellStyle name="40% - akcent 2 3 4 2 2 5 3" xfId="18622"/>
    <cellStyle name="40% - akcent 2 3 4 2 2 6" xfId="18623"/>
    <cellStyle name="40% - akcent 2 3 4 2 2 6 2" xfId="18624"/>
    <cellStyle name="40% - akcent 2 3 4 2 2 7" xfId="18625"/>
    <cellStyle name="40% - akcent 2 3 4 2 3" xfId="18626"/>
    <cellStyle name="40% - akcent 2 3 4 2 3 2" xfId="18627"/>
    <cellStyle name="40% - akcent 2 3 4 2 3 2 2" xfId="18628"/>
    <cellStyle name="40% - akcent 2 3 4 2 3 2 2 2" xfId="18629"/>
    <cellStyle name="40% - akcent 2 3 4 2 3 2 3" xfId="18630"/>
    <cellStyle name="40% - akcent 2 3 4 2 3 3" xfId="18631"/>
    <cellStyle name="40% - akcent 2 3 4 2 3 3 2" xfId="18632"/>
    <cellStyle name="40% - akcent 2 3 4 2 3 3 2 2" xfId="18633"/>
    <cellStyle name="40% - akcent 2 3 4 2 3 3 3" xfId="18634"/>
    <cellStyle name="40% - akcent 2 3 4 2 3 4" xfId="18635"/>
    <cellStyle name="40% - akcent 2 3 4 2 3 4 2" xfId="18636"/>
    <cellStyle name="40% - akcent 2 3 4 2 3 4 2 2" xfId="18637"/>
    <cellStyle name="40% - akcent 2 3 4 2 3 4 3" xfId="18638"/>
    <cellStyle name="40% - akcent 2 3 4 2 3 5" xfId="18639"/>
    <cellStyle name="40% - akcent 2 3 4 2 3 5 2" xfId="18640"/>
    <cellStyle name="40% - akcent 2 3 4 2 3 6" xfId="18641"/>
    <cellStyle name="40% - akcent 2 3 4 2 4" xfId="18642"/>
    <cellStyle name="40% - akcent 2 3 4 2 4 2" xfId="18643"/>
    <cellStyle name="40% - akcent 2 3 4 2 4 2 2" xfId="18644"/>
    <cellStyle name="40% - akcent 2 3 4 2 4 2 2 2" xfId="18645"/>
    <cellStyle name="40% - akcent 2 3 4 2 4 2 3" xfId="18646"/>
    <cellStyle name="40% - akcent 2 3 4 2 4 3" xfId="18647"/>
    <cellStyle name="40% - akcent 2 3 4 2 4 3 2" xfId="18648"/>
    <cellStyle name="40% - akcent 2 3 4 2 4 3 2 2" xfId="18649"/>
    <cellStyle name="40% - akcent 2 3 4 2 4 3 3" xfId="18650"/>
    <cellStyle name="40% - akcent 2 3 4 2 4 4" xfId="18651"/>
    <cellStyle name="40% - akcent 2 3 4 2 4 4 2" xfId="18652"/>
    <cellStyle name="40% - akcent 2 3 4 2 4 4 2 2" xfId="18653"/>
    <cellStyle name="40% - akcent 2 3 4 2 4 4 3" xfId="18654"/>
    <cellStyle name="40% - akcent 2 3 4 2 4 5" xfId="18655"/>
    <cellStyle name="40% - akcent 2 3 4 2 4 5 2" xfId="18656"/>
    <cellStyle name="40% - akcent 2 3 4 2 4 6" xfId="18657"/>
    <cellStyle name="40% - akcent 2 3 4 2 5" xfId="18658"/>
    <cellStyle name="40% - akcent 2 3 4 2 5 2" xfId="18659"/>
    <cellStyle name="40% - akcent 2 3 4 2 5 2 2" xfId="18660"/>
    <cellStyle name="40% - akcent 2 3 4 2 5 3" xfId="18661"/>
    <cellStyle name="40% - akcent 2 3 4 2 6" xfId="18662"/>
    <cellStyle name="40% - akcent 2 3 4 2 6 2" xfId="18663"/>
    <cellStyle name="40% - akcent 2 3 4 2 6 2 2" xfId="18664"/>
    <cellStyle name="40% - akcent 2 3 4 2 6 3" xfId="18665"/>
    <cellStyle name="40% - akcent 2 3 4 2 7" xfId="18666"/>
    <cellStyle name="40% - akcent 2 3 4 2 7 2" xfId="18667"/>
    <cellStyle name="40% - akcent 2 3 4 2 7 2 2" xfId="18668"/>
    <cellStyle name="40% - akcent 2 3 4 2 7 3" xfId="18669"/>
    <cellStyle name="40% - akcent 2 3 4 2 8" xfId="18670"/>
    <cellStyle name="40% - akcent 2 3 4 2 8 2" xfId="18671"/>
    <cellStyle name="40% - akcent 2 3 4 2 9" xfId="18672"/>
    <cellStyle name="40% - akcent 2 3 4 3" xfId="18673"/>
    <cellStyle name="40% - akcent 2 3 4 3 2" xfId="18674"/>
    <cellStyle name="40% - akcent 2 3 4 3 2 2" xfId="18675"/>
    <cellStyle name="40% - akcent 2 3 4 3 2 2 2" xfId="18676"/>
    <cellStyle name="40% - akcent 2 3 4 3 2 2 2 2" xfId="18677"/>
    <cellStyle name="40% - akcent 2 3 4 3 2 2 3" xfId="18678"/>
    <cellStyle name="40% - akcent 2 3 4 3 2 3" xfId="18679"/>
    <cellStyle name="40% - akcent 2 3 4 3 2 3 2" xfId="18680"/>
    <cellStyle name="40% - akcent 2 3 4 3 2 3 2 2" xfId="18681"/>
    <cellStyle name="40% - akcent 2 3 4 3 2 3 3" xfId="18682"/>
    <cellStyle name="40% - akcent 2 3 4 3 2 4" xfId="18683"/>
    <cellStyle name="40% - akcent 2 3 4 3 2 4 2" xfId="18684"/>
    <cellStyle name="40% - akcent 2 3 4 3 2 4 2 2" xfId="18685"/>
    <cellStyle name="40% - akcent 2 3 4 3 2 4 3" xfId="18686"/>
    <cellStyle name="40% - akcent 2 3 4 3 2 5" xfId="18687"/>
    <cellStyle name="40% - akcent 2 3 4 3 2 5 2" xfId="18688"/>
    <cellStyle name="40% - akcent 2 3 4 3 2 6" xfId="18689"/>
    <cellStyle name="40% - akcent 2 3 4 3 3" xfId="18690"/>
    <cellStyle name="40% - akcent 2 3 4 3 3 2" xfId="18691"/>
    <cellStyle name="40% - akcent 2 3 4 3 3 2 2" xfId="18692"/>
    <cellStyle name="40% - akcent 2 3 4 3 3 3" xfId="18693"/>
    <cellStyle name="40% - akcent 2 3 4 3 4" xfId="18694"/>
    <cellStyle name="40% - akcent 2 3 4 3 4 2" xfId="18695"/>
    <cellStyle name="40% - akcent 2 3 4 3 4 2 2" xfId="18696"/>
    <cellStyle name="40% - akcent 2 3 4 3 4 3" xfId="18697"/>
    <cellStyle name="40% - akcent 2 3 4 3 5" xfId="18698"/>
    <cellStyle name="40% - akcent 2 3 4 3 5 2" xfId="18699"/>
    <cellStyle name="40% - akcent 2 3 4 3 5 2 2" xfId="18700"/>
    <cellStyle name="40% - akcent 2 3 4 3 5 3" xfId="18701"/>
    <cellStyle name="40% - akcent 2 3 4 3 6" xfId="18702"/>
    <cellStyle name="40% - akcent 2 3 4 3 6 2" xfId="18703"/>
    <cellStyle name="40% - akcent 2 3 4 3 7" xfId="18704"/>
    <cellStyle name="40% - akcent 2 3 4 4" xfId="18705"/>
    <cellStyle name="40% - akcent 2 3 4 4 2" xfId="18706"/>
    <cellStyle name="40% - akcent 2 3 4 4 2 2" xfId="18707"/>
    <cellStyle name="40% - akcent 2 3 4 4 2 2 2" xfId="18708"/>
    <cellStyle name="40% - akcent 2 3 4 4 2 3" xfId="18709"/>
    <cellStyle name="40% - akcent 2 3 4 4 3" xfId="18710"/>
    <cellStyle name="40% - akcent 2 3 4 4 3 2" xfId="18711"/>
    <cellStyle name="40% - akcent 2 3 4 4 3 2 2" xfId="18712"/>
    <cellStyle name="40% - akcent 2 3 4 4 3 3" xfId="18713"/>
    <cellStyle name="40% - akcent 2 3 4 4 4" xfId="18714"/>
    <cellStyle name="40% - akcent 2 3 4 4 4 2" xfId="18715"/>
    <cellStyle name="40% - akcent 2 3 4 4 4 2 2" xfId="18716"/>
    <cellStyle name="40% - akcent 2 3 4 4 4 3" xfId="18717"/>
    <cellStyle name="40% - akcent 2 3 4 4 5" xfId="18718"/>
    <cellStyle name="40% - akcent 2 3 4 4 5 2" xfId="18719"/>
    <cellStyle name="40% - akcent 2 3 4 4 6" xfId="18720"/>
    <cellStyle name="40% - akcent 2 3 4 5" xfId="18721"/>
    <cellStyle name="40% - akcent 2 3 4 5 2" xfId="18722"/>
    <cellStyle name="40% - akcent 2 3 4 5 2 2" xfId="18723"/>
    <cellStyle name="40% - akcent 2 3 4 5 2 2 2" xfId="18724"/>
    <cellStyle name="40% - akcent 2 3 4 5 2 3" xfId="18725"/>
    <cellStyle name="40% - akcent 2 3 4 5 3" xfId="18726"/>
    <cellStyle name="40% - akcent 2 3 4 5 3 2" xfId="18727"/>
    <cellStyle name="40% - akcent 2 3 4 5 3 2 2" xfId="18728"/>
    <cellStyle name="40% - akcent 2 3 4 5 3 3" xfId="18729"/>
    <cellStyle name="40% - akcent 2 3 4 5 4" xfId="18730"/>
    <cellStyle name="40% - akcent 2 3 4 5 4 2" xfId="18731"/>
    <cellStyle name="40% - akcent 2 3 4 5 4 2 2" xfId="18732"/>
    <cellStyle name="40% - akcent 2 3 4 5 4 3" xfId="18733"/>
    <cellStyle name="40% - akcent 2 3 4 5 5" xfId="18734"/>
    <cellStyle name="40% - akcent 2 3 4 5 5 2" xfId="18735"/>
    <cellStyle name="40% - akcent 2 3 4 5 6" xfId="18736"/>
    <cellStyle name="40% - akcent 2 3 4 6" xfId="18737"/>
    <cellStyle name="40% - akcent 2 3 4 6 2" xfId="18738"/>
    <cellStyle name="40% - akcent 2 3 4 6 2 2" xfId="18739"/>
    <cellStyle name="40% - akcent 2 3 4 6 3" xfId="18740"/>
    <cellStyle name="40% - akcent 2 3 4 7" xfId="18741"/>
    <cellStyle name="40% - akcent 2 3 4 7 2" xfId="18742"/>
    <cellStyle name="40% - akcent 2 3 4 7 2 2" xfId="18743"/>
    <cellStyle name="40% - akcent 2 3 4 7 3" xfId="18744"/>
    <cellStyle name="40% - akcent 2 3 4 8" xfId="18745"/>
    <cellStyle name="40% - akcent 2 3 4 8 2" xfId="18746"/>
    <cellStyle name="40% - akcent 2 3 4 8 2 2" xfId="18747"/>
    <cellStyle name="40% - akcent 2 3 4 8 3" xfId="18748"/>
    <cellStyle name="40% - akcent 2 3 4 9" xfId="18749"/>
    <cellStyle name="40% - akcent 2 3 4 9 2" xfId="18750"/>
    <cellStyle name="40% - akcent 2 3 5" xfId="18751"/>
    <cellStyle name="40% - akcent 2 3 5 2" xfId="18752"/>
    <cellStyle name="40% - akcent 2 3 5 2 2" xfId="18753"/>
    <cellStyle name="40% - akcent 2 3 5 2 2 2" xfId="18754"/>
    <cellStyle name="40% - akcent 2 3 5 2 2 2 2" xfId="18755"/>
    <cellStyle name="40% - akcent 2 3 5 2 2 2 2 2" xfId="18756"/>
    <cellStyle name="40% - akcent 2 3 5 2 2 2 3" xfId="18757"/>
    <cellStyle name="40% - akcent 2 3 5 2 2 3" xfId="18758"/>
    <cellStyle name="40% - akcent 2 3 5 2 2 3 2" xfId="18759"/>
    <cellStyle name="40% - akcent 2 3 5 2 2 3 2 2" xfId="18760"/>
    <cellStyle name="40% - akcent 2 3 5 2 2 3 3" xfId="18761"/>
    <cellStyle name="40% - akcent 2 3 5 2 2 4" xfId="18762"/>
    <cellStyle name="40% - akcent 2 3 5 2 2 4 2" xfId="18763"/>
    <cellStyle name="40% - akcent 2 3 5 2 2 4 2 2" xfId="18764"/>
    <cellStyle name="40% - akcent 2 3 5 2 2 4 3" xfId="18765"/>
    <cellStyle name="40% - akcent 2 3 5 2 2 5" xfId="18766"/>
    <cellStyle name="40% - akcent 2 3 5 2 2 5 2" xfId="18767"/>
    <cellStyle name="40% - akcent 2 3 5 2 2 6" xfId="18768"/>
    <cellStyle name="40% - akcent 2 3 5 2 3" xfId="18769"/>
    <cellStyle name="40% - akcent 2 3 5 2 3 2" xfId="18770"/>
    <cellStyle name="40% - akcent 2 3 5 2 3 2 2" xfId="18771"/>
    <cellStyle name="40% - akcent 2 3 5 2 3 3" xfId="18772"/>
    <cellStyle name="40% - akcent 2 3 5 2 4" xfId="18773"/>
    <cellStyle name="40% - akcent 2 3 5 2 4 2" xfId="18774"/>
    <cellStyle name="40% - akcent 2 3 5 2 4 2 2" xfId="18775"/>
    <cellStyle name="40% - akcent 2 3 5 2 4 3" xfId="18776"/>
    <cellStyle name="40% - akcent 2 3 5 2 5" xfId="18777"/>
    <cellStyle name="40% - akcent 2 3 5 2 5 2" xfId="18778"/>
    <cellStyle name="40% - akcent 2 3 5 2 5 2 2" xfId="18779"/>
    <cellStyle name="40% - akcent 2 3 5 2 5 3" xfId="18780"/>
    <cellStyle name="40% - akcent 2 3 5 2 6" xfId="18781"/>
    <cellStyle name="40% - akcent 2 3 5 2 6 2" xfId="18782"/>
    <cellStyle name="40% - akcent 2 3 5 2 7" xfId="18783"/>
    <cellStyle name="40% - akcent 2 3 5 3" xfId="18784"/>
    <cellStyle name="40% - akcent 2 3 5 3 2" xfId="18785"/>
    <cellStyle name="40% - akcent 2 3 5 3 2 2" xfId="18786"/>
    <cellStyle name="40% - akcent 2 3 5 3 2 2 2" xfId="18787"/>
    <cellStyle name="40% - akcent 2 3 5 3 2 3" xfId="18788"/>
    <cellStyle name="40% - akcent 2 3 5 3 3" xfId="18789"/>
    <cellStyle name="40% - akcent 2 3 5 3 3 2" xfId="18790"/>
    <cellStyle name="40% - akcent 2 3 5 3 3 2 2" xfId="18791"/>
    <cellStyle name="40% - akcent 2 3 5 3 3 3" xfId="18792"/>
    <cellStyle name="40% - akcent 2 3 5 3 4" xfId="18793"/>
    <cellStyle name="40% - akcent 2 3 5 3 4 2" xfId="18794"/>
    <cellStyle name="40% - akcent 2 3 5 3 4 2 2" xfId="18795"/>
    <cellStyle name="40% - akcent 2 3 5 3 4 3" xfId="18796"/>
    <cellStyle name="40% - akcent 2 3 5 3 5" xfId="18797"/>
    <cellStyle name="40% - akcent 2 3 5 3 5 2" xfId="18798"/>
    <cellStyle name="40% - akcent 2 3 5 3 6" xfId="18799"/>
    <cellStyle name="40% - akcent 2 3 5 4" xfId="18800"/>
    <cellStyle name="40% - akcent 2 3 5 4 2" xfId="18801"/>
    <cellStyle name="40% - akcent 2 3 5 4 2 2" xfId="18802"/>
    <cellStyle name="40% - akcent 2 3 5 4 2 2 2" xfId="18803"/>
    <cellStyle name="40% - akcent 2 3 5 4 2 3" xfId="18804"/>
    <cellStyle name="40% - akcent 2 3 5 4 3" xfId="18805"/>
    <cellStyle name="40% - akcent 2 3 5 4 3 2" xfId="18806"/>
    <cellStyle name="40% - akcent 2 3 5 4 3 2 2" xfId="18807"/>
    <cellStyle name="40% - akcent 2 3 5 4 3 3" xfId="18808"/>
    <cellStyle name="40% - akcent 2 3 5 4 4" xfId="18809"/>
    <cellStyle name="40% - akcent 2 3 5 4 4 2" xfId="18810"/>
    <cellStyle name="40% - akcent 2 3 5 4 4 2 2" xfId="18811"/>
    <cellStyle name="40% - akcent 2 3 5 4 4 3" xfId="18812"/>
    <cellStyle name="40% - akcent 2 3 5 4 5" xfId="18813"/>
    <cellStyle name="40% - akcent 2 3 5 4 5 2" xfId="18814"/>
    <cellStyle name="40% - akcent 2 3 5 4 6" xfId="18815"/>
    <cellStyle name="40% - akcent 2 3 5 5" xfId="18816"/>
    <cellStyle name="40% - akcent 2 3 5 5 2" xfId="18817"/>
    <cellStyle name="40% - akcent 2 3 5 5 2 2" xfId="18818"/>
    <cellStyle name="40% - akcent 2 3 5 5 3" xfId="18819"/>
    <cellStyle name="40% - akcent 2 3 5 6" xfId="18820"/>
    <cellStyle name="40% - akcent 2 3 5 6 2" xfId="18821"/>
    <cellStyle name="40% - akcent 2 3 5 6 2 2" xfId="18822"/>
    <cellStyle name="40% - akcent 2 3 5 6 3" xfId="18823"/>
    <cellStyle name="40% - akcent 2 3 5 7" xfId="18824"/>
    <cellStyle name="40% - akcent 2 3 5 7 2" xfId="18825"/>
    <cellStyle name="40% - akcent 2 3 5 7 2 2" xfId="18826"/>
    <cellStyle name="40% - akcent 2 3 5 7 3" xfId="18827"/>
    <cellStyle name="40% - akcent 2 3 5 8" xfId="18828"/>
    <cellStyle name="40% - akcent 2 3 5 8 2" xfId="18829"/>
    <cellStyle name="40% - akcent 2 3 5 9" xfId="18830"/>
    <cellStyle name="40% - akcent 2 3 6" xfId="18831"/>
    <cellStyle name="40% - akcent 2 3 6 2" xfId="18832"/>
    <cellStyle name="40% - akcent 2 3 6 2 2" xfId="18833"/>
    <cellStyle name="40% - akcent 2 3 6 2 2 2" xfId="18834"/>
    <cellStyle name="40% - akcent 2 3 6 2 2 2 2" xfId="18835"/>
    <cellStyle name="40% - akcent 2 3 6 2 2 2 2 2" xfId="18836"/>
    <cellStyle name="40% - akcent 2 3 6 2 2 2 3" xfId="18837"/>
    <cellStyle name="40% - akcent 2 3 6 2 2 3" xfId="18838"/>
    <cellStyle name="40% - akcent 2 3 6 2 2 3 2" xfId="18839"/>
    <cellStyle name="40% - akcent 2 3 6 2 2 3 2 2" xfId="18840"/>
    <cellStyle name="40% - akcent 2 3 6 2 2 3 3" xfId="18841"/>
    <cellStyle name="40% - akcent 2 3 6 2 2 4" xfId="18842"/>
    <cellStyle name="40% - akcent 2 3 6 2 2 4 2" xfId="18843"/>
    <cellStyle name="40% - akcent 2 3 6 2 2 4 2 2" xfId="18844"/>
    <cellStyle name="40% - akcent 2 3 6 2 2 4 3" xfId="18845"/>
    <cellStyle name="40% - akcent 2 3 6 2 2 5" xfId="18846"/>
    <cellStyle name="40% - akcent 2 3 6 2 2 5 2" xfId="18847"/>
    <cellStyle name="40% - akcent 2 3 6 2 2 6" xfId="18848"/>
    <cellStyle name="40% - akcent 2 3 6 2 3" xfId="18849"/>
    <cellStyle name="40% - akcent 2 3 6 2 3 2" xfId="18850"/>
    <cellStyle name="40% - akcent 2 3 6 2 3 2 2" xfId="18851"/>
    <cellStyle name="40% - akcent 2 3 6 2 3 3" xfId="18852"/>
    <cellStyle name="40% - akcent 2 3 6 2 4" xfId="18853"/>
    <cellStyle name="40% - akcent 2 3 6 2 4 2" xfId="18854"/>
    <cellStyle name="40% - akcent 2 3 6 2 4 2 2" xfId="18855"/>
    <cellStyle name="40% - akcent 2 3 6 2 4 3" xfId="18856"/>
    <cellStyle name="40% - akcent 2 3 6 2 5" xfId="18857"/>
    <cellStyle name="40% - akcent 2 3 6 2 5 2" xfId="18858"/>
    <cellStyle name="40% - akcent 2 3 6 2 5 2 2" xfId="18859"/>
    <cellStyle name="40% - akcent 2 3 6 2 5 3" xfId="18860"/>
    <cellStyle name="40% - akcent 2 3 6 2 6" xfId="18861"/>
    <cellStyle name="40% - akcent 2 3 6 2 6 2" xfId="18862"/>
    <cellStyle name="40% - akcent 2 3 6 2 7" xfId="18863"/>
    <cellStyle name="40% - akcent 2 3 6 3" xfId="18864"/>
    <cellStyle name="40% - akcent 2 3 6 3 2" xfId="18865"/>
    <cellStyle name="40% - akcent 2 3 6 3 2 2" xfId="18866"/>
    <cellStyle name="40% - akcent 2 3 6 3 2 2 2" xfId="18867"/>
    <cellStyle name="40% - akcent 2 3 6 3 2 3" xfId="18868"/>
    <cellStyle name="40% - akcent 2 3 6 3 3" xfId="18869"/>
    <cellStyle name="40% - akcent 2 3 6 3 3 2" xfId="18870"/>
    <cellStyle name="40% - akcent 2 3 6 3 3 2 2" xfId="18871"/>
    <cellStyle name="40% - akcent 2 3 6 3 3 3" xfId="18872"/>
    <cellStyle name="40% - akcent 2 3 6 3 4" xfId="18873"/>
    <cellStyle name="40% - akcent 2 3 6 3 4 2" xfId="18874"/>
    <cellStyle name="40% - akcent 2 3 6 3 4 2 2" xfId="18875"/>
    <cellStyle name="40% - akcent 2 3 6 3 4 3" xfId="18876"/>
    <cellStyle name="40% - akcent 2 3 6 3 5" xfId="18877"/>
    <cellStyle name="40% - akcent 2 3 6 3 5 2" xfId="18878"/>
    <cellStyle name="40% - akcent 2 3 6 3 6" xfId="18879"/>
    <cellStyle name="40% - akcent 2 3 6 4" xfId="18880"/>
    <cellStyle name="40% - akcent 2 3 6 4 2" xfId="18881"/>
    <cellStyle name="40% - akcent 2 3 6 4 2 2" xfId="18882"/>
    <cellStyle name="40% - akcent 2 3 6 4 2 2 2" xfId="18883"/>
    <cellStyle name="40% - akcent 2 3 6 4 2 3" xfId="18884"/>
    <cellStyle name="40% - akcent 2 3 6 4 3" xfId="18885"/>
    <cellStyle name="40% - akcent 2 3 6 4 3 2" xfId="18886"/>
    <cellStyle name="40% - akcent 2 3 6 4 3 2 2" xfId="18887"/>
    <cellStyle name="40% - akcent 2 3 6 4 3 3" xfId="18888"/>
    <cellStyle name="40% - akcent 2 3 6 4 4" xfId="18889"/>
    <cellStyle name="40% - akcent 2 3 6 4 4 2" xfId="18890"/>
    <cellStyle name="40% - akcent 2 3 6 4 4 2 2" xfId="18891"/>
    <cellStyle name="40% - akcent 2 3 6 4 4 3" xfId="18892"/>
    <cellStyle name="40% - akcent 2 3 6 4 5" xfId="18893"/>
    <cellStyle name="40% - akcent 2 3 6 4 5 2" xfId="18894"/>
    <cellStyle name="40% - akcent 2 3 6 4 6" xfId="18895"/>
    <cellStyle name="40% - akcent 2 3 6 5" xfId="18896"/>
    <cellStyle name="40% - akcent 2 3 6 5 2" xfId="18897"/>
    <cellStyle name="40% - akcent 2 3 6 5 2 2" xfId="18898"/>
    <cellStyle name="40% - akcent 2 3 6 5 3" xfId="18899"/>
    <cellStyle name="40% - akcent 2 3 6 6" xfId="18900"/>
    <cellStyle name="40% - akcent 2 3 6 6 2" xfId="18901"/>
    <cellStyle name="40% - akcent 2 3 6 6 2 2" xfId="18902"/>
    <cellStyle name="40% - akcent 2 3 6 6 3" xfId="18903"/>
    <cellStyle name="40% - akcent 2 3 6 7" xfId="18904"/>
    <cellStyle name="40% - akcent 2 3 6 7 2" xfId="18905"/>
    <cellStyle name="40% - akcent 2 3 6 7 2 2" xfId="18906"/>
    <cellStyle name="40% - akcent 2 3 6 7 3" xfId="18907"/>
    <cellStyle name="40% - akcent 2 3 6 8" xfId="18908"/>
    <cellStyle name="40% - akcent 2 3 6 8 2" xfId="18909"/>
    <cellStyle name="40% - akcent 2 3 6 9" xfId="18910"/>
    <cellStyle name="40% - akcent 2 3 7" xfId="18911"/>
    <cellStyle name="40% - akcent 2 3 7 2" xfId="18912"/>
    <cellStyle name="40% - akcent 2 3 7 2 2" xfId="18913"/>
    <cellStyle name="40% - akcent 2 3 7 2 2 2" xfId="18914"/>
    <cellStyle name="40% - akcent 2 3 7 2 2 2 2" xfId="18915"/>
    <cellStyle name="40% - akcent 2 3 7 2 2 3" xfId="18916"/>
    <cellStyle name="40% - akcent 2 3 7 2 3" xfId="18917"/>
    <cellStyle name="40% - akcent 2 3 7 2 3 2" xfId="18918"/>
    <cellStyle name="40% - akcent 2 3 7 2 3 2 2" xfId="18919"/>
    <cellStyle name="40% - akcent 2 3 7 2 3 3" xfId="18920"/>
    <cellStyle name="40% - akcent 2 3 7 2 4" xfId="18921"/>
    <cellStyle name="40% - akcent 2 3 7 2 4 2" xfId="18922"/>
    <cellStyle name="40% - akcent 2 3 7 2 4 2 2" xfId="18923"/>
    <cellStyle name="40% - akcent 2 3 7 2 4 3" xfId="18924"/>
    <cellStyle name="40% - akcent 2 3 7 2 5" xfId="18925"/>
    <cellStyle name="40% - akcent 2 3 7 2 5 2" xfId="18926"/>
    <cellStyle name="40% - akcent 2 3 7 2 6" xfId="18927"/>
    <cellStyle name="40% - akcent 2 3 7 3" xfId="18928"/>
    <cellStyle name="40% - akcent 2 3 7 3 2" xfId="18929"/>
    <cellStyle name="40% - akcent 2 3 7 3 2 2" xfId="18930"/>
    <cellStyle name="40% - akcent 2 3 7 3 3" xfId="18931"/>
    <cellStyle name="40% - akcent 2 3 7 4" xfId="18932"/>
    <cellStyle name="40% - akcent 2 3 7 4 2" xfId="18933"/>
    <cellStyle name="40% - akcent 2 3 7 4 2 2" xfId="18934"/>
    <cellStyle name="40% - akcent 2 3 7 4 3" xfId="18935"/>
    <cellStyle name="40% - akcent 2 3 7 5" xfId="18936"/>
    <cellStyle name="40% - akcent 2 3 7 5 2" xfId="18937"/>
    <cellStyle name="40% - akcent 2 3 7 5 2 2" xfId="18938"/>
    <cellStyle name="40% - akcent 2 3 7 5 3" xfId="18939"/>
    <cellStyle name="40% - akcent 2 3 7 6" xfId="18940"/>
    <cellStyle name="40% - akcent 2 3 7 6 2" xfId="18941"/>
    <cellStyle name="40% - akcent 2 3 7 7" xfId="18942"/>
    <cellStyle name="40% - akcent 2 3 8" xfId="18943"/>
    <cellStyle name="40% - akcent 2 3 8 2" xfId="18944"/>
    <cellStyle name="40% - akcent 2 3 8 2 2" xfId="18945"/>
    <cellStyle name="40% - akcent 2 3 8 2 2 2" xfId="18946"/>
    <cellStyle name="40% - akcent 2 3 8 2 3" xfId="18947"/>
    <cellStyle name="40% - akcent 2 3 8 3" xfId="18948"/>
    <cellStyle name="40% - akcent 2 3 8 3 2" xfId="18949"/>
    <cellStyle name="40% - akcent 2 3 8 3 2 2" xfId="18950"/>
    <cellStyle name="40% - akcent 2 3 8 3 3" xfId="18951"/>
    <cellStyle name="40% - akcent 2 3 8 4" xfId="18952"/>
    <cellStyle name="40% - akcent 2 3 8 4 2" xfId="18953"/>
    <cellStyle name="40% - akcent 2 3 8 4 2 2" xfId="18954"/>
    <cellStyle name="40% - akcent 2 3 8 4 3" xfId="18955"/>
    <cellStyle name="40% - akcent 2 3 8 5" xfId="18956"/>
    <cellStyle name="40% - akcent 2 3 8 5 2" xfId="18957"/>
    <cellStyle name="40% - akcent 2 3 8 6" xfId="18958"/>
    <cellStyle name="40% - akcent 2 3 9" xfId="18959"/>
    <cellStyle name="40% - akcent 2 3 9 2" xfId="18960"/>
    <cellStyle name="40% - akcent 2 3 9 2 2" xfId="18961"/>
    <cellStyle name="40% - akcent 2 3 9 2 2 2" xfId="18962"/>
    <cellStyle name="40% - akcent 2 3 9 2 3" xfId="18963"/>
    <cellStyle name="40% - akcent 2 3 9 3" xfId="18964"/>
    <cellStyle name="40% - akcent 2 3 9 3 2" xfId="18965"/>
    <cellStyle name="40% - akcent 2 3 9 3 2 2" xfId="18966"/>
    <cellStyle name="40% - akcent 2 3 9 3 3" xfId="18967"/>
    <cellStyle name="40% - akcent 2 3 9 4" xfId="18968"/>
    <cellStyle name="40% - akcent 2 3 9 4 2" xfId="18969"/>
    <cellStyle name="40% - akcent 2 3 9 4 2 2" xfId="18970"/>
    <cellStyle name="40% - akcent 2 3 9 4 3" xfId="18971"/>
    <cellStyle name="40% - akcent 2 3 9 5" xfId="18972"/>
    <cellStyle name="40% - akcent 2 3 9 5 2" xfId="18973"/>
    <cellStyle name="40% - akcent 2 3 9 6" xfId="18974"/>
    <cellStyle name="40% - akcent 2 3_2011'05 Raport PGE_DO-CO2" xfId="18975"/>
    <cellStyle name="40% - akcent 2 4" xfId="18976"/>
    <cellStyle name="40% - akcent 2 4 2" xfId="18977"/>
    <cellStyle name="40% - akcent 2 4 2 2" xfId="18978"/>
    <cellStyle name="40% - akcent 2 4 2 2 2" xfId="18979"/>
    <cellStyle name="40% - akcent 2 4 2 2 2 2" xfId="18980"/>
    <cellStyle name="40% - akcent 2 4 2 2 2 2 2" xfId="18981"/>
    <cellStyle name="40% - akcent 2 4 2 2 2 2 2 2" xfId="18982"/>
    <cellStyle name="40% - akcent 2 4 2 2 2 2 2 2 2" xfId="18983"/>
    <cellStyle name="40% - akcent 2 4 2 2 2 2 2 3" xfId="18984"/>
    <cellStyle name="40% - akcent 2 4 2 2 2 2 3" xfId="18985"/>
    <cellStyle name="40% - akcent 2 4 2 2 2 2 3 2" xfId="18986"/>
    <cellStyle name="40% - akcent 2 4 2 2 2 2 3 2 2" xfId="18987"/>
    <cellStyle name="40% - akcent 2 4 2 2 2 2 3 3" xfId="18988"/>
    <cellStyle name="40% - akcent 2 4 2 2 2 2 4" xfId="18989"/>
    <cellStyle name="40% - akcent 2 4 2 2 2 2 4 2" xfId="18990"/>
    <cellStyle name="40% - akcent 2 4 2 2 2 2 4 2 2" xfId="18991"/>
    <cellStyle name="40% - akcent 2 4 2 2 2 2 4 3" xfId="18992"/>
    <cellStyle name="40% - akcent 2 4 2 2 2 2 5" xfId="18993"/>
    <cellStyle name="40% - akcent 2 4 2 2 2 2 5 2" xfId="18994"/>
    <cellStyle name="40% - akcent 2 4 2 2 2 2 6" xfId="18995"/>
    <cellStyle name="40% - akcent 2 4 2 2 2 3" xfId="18996"/>
    <cellStyle name="40% - akcent 2 4 2 2 2 3 2" xfId="18997"/>
    <cellStyle name="40% - akcent 2 4 2 2 2 3 2 2" xfId="18998"/>
    <cellStyle name="40% - akcent 2 4 2 2 2 3 3" xfId="18999"/>
    <cellStyle name="40% - akcent 2 4 2 2 2 4" xfId="19000"/>
    <cellStyle name="40% - akcent 2 4 2 2 2 4 2" xfId="19001"/>
    <cellStyle name="40% - akcent 2 4 2 2 2 4 2 2" xfId="19002"/>
    <cellStyle name="40% - akcent 2 4 2 2 2 4 3" xfId="19003"/>
    <cellStyle name="40% - akcent 2 4 2 2 2 5" xfId="19004"/>
    <cellStyle name="40% - akcent 2 4 2 2 2 5 2" xfId="19005"/>
    <cellStyle name="40% - akcent 2 4 2 2 2 5 2 2" xfId="19006"/>
    <cellStyle name="40% - akcent 2 4 2 2 2 5 3" xfId="19007"/>
    <cellStyle name="40% - akcent 2 4 2 2 2 6" xfId="19008"/>
    <cellStyle name="40% - akcent 2 4 2 2 2 6 2" xfId="19009"/>
    <cellStyle name="40% - akcent 2 4 2 2 2 7" xfId="19010"/>
    <cellStyle name="40% - akcent 2 4 2 2 3" xfId="19011"/>
    <cellStyle name="40% - akcent 2 4 2 2 3 2" xfId="19012"/>
    <cellStyle name="40% - akcent 2 4 2 2 3 2 2" xfId="19013"/>
    <cellStyle name="40% - akcent 2 4 2 2 3 2 2 2" xfId="19014"/>
    <cellStyle name="40% - akcent 2 4 2 2 3 2 3" xfId="19015"/>
    <cellStyle name="40% - akcent 2 4 2 2 3 3" xfId="19016"/>
    <cellStyle name="40% - akcent 2 4 2 2 3 3 2" xfId="19017"/>
    <cellStyle name="40% - akcent 2 4 2 2 3 3 2 2" xfId="19018"/>
    <cellStyle name="40% - akcent 2 4 2 2 3 3 3" xfId="19019"/>
    <cellStyle name="40% - akcent 2 4 2 2 3 4" xfId="19020"/>
    <cellStyle name="40% - akcent 2 4 2 2 3 4 2" xfId="19021"/>
    <cellStyle name="40% - akcent 2 4 2 2 3 4 2 2" xfId="19022"/>
    <cellStyle name="40% - akcent 2 4 2 2 3 4 3" xfId="19023"/>
    <cellStyle name="40% - akcent 2 4 2 2 3 5" xfId="19024"/>
    <cellStyle name="40% - akcent 2 4 2 2 3 5 2" xfId="19025"/>
    <cellStyle name="40% - akcent 2 4 2 2 3 6" xfId="19026"/>
    <cellStyle name="40% - akcent 2 4 2 2 4" xfId="19027"/>
    <cellStyle name="40% - akcent 2 4 2 2 4 2" xfId="19028"/>
    <cellStyle name="40% - akcent 2 4 2 2 4 2 2" xfId="19029"/>
    <cellStyle name="40% - akcent 2 4 2 2 4 2 2 2" xfId="19030"/>
    <cellStyle name="40% - akcent 2 4 2 2 4 2 3" xfId="19031"/>
    <cellStyle name="40% - akcent 2 4 2 2 4 3" xfId="19032"/>
    <cellStyle name="40% - akcent 2 4 2 2 4 3 2" xfId="19033"/>
    <cellStyle name="40% - akcent 2 4 2 2 4 3 2 2" xfId="19034"/>
    <cellStyle name="40% - akcent 2 4 2 2 4 3 3" xfId="19035"/>
    <cellStyle name="40% - akcent 2 4 2 2 4 4" xfId="19036"/>
    <cellStyle name="40% - akcent 2 4 2 2 4 4 2" xfId="19037"/>
    <cellStyle name="40% - akcent 2 4 2 2 4 4 2 2" xfId="19038"/>
    <cellStyle name="40% - akcent 2 4 2 2 4 4 3" xfId="19039"/>
    <cellStyle name="40% - akcent 2 4 2 2 4 5" xfId="19040"/>
    <cellStyle name="40% - akcent 2 4 2 2 4 5 2" xfId="19041"/>
    <cellStyle name="40% - akcent 2 4 2 2 4 6" xfId="19042"/>
    <cellStyle name="40% - akcent 2 4 2 2 5" xfId="19043"/>
    <cellStyle name="40% - akcent 2 4 2 2 5 2" xfId="19044"/>
    <cellStyle name="40% - akcent 2 4 2 2 5 2 2" xfId="19045"/>
    <cellStyle name="40% - akcent 2 4 2 2 5 3" xfId="19046"/>
    <cellStyle name="40% - akcent 2 4 2 2 6" xfId="19047"/>
    <cellStyle name="40% - akcent 2 4 2 2 6 2" xfId="19048"/>
    <cellStyle name="40% - akcent 2 4 2 2 6 2 2" xfId="19049"/>
    <cellStyle name="40% - akcent 2 4 2 2 6 3" xfId="19050"/>
    <cellStyle name="40% - akcent 2 4 2 2 7" xfId="19051"/>
    <cellStyle name="40% - akcent 2 4 2 2 7 2" xfId="19052"/>
    <cellStyle name="40% - akcent 2 4 2 2 7 2 2" xfId="19053"/>
    <cellStyle name="40% - akcent 2 4 2 2 7 3" xfId="19054"/>
    <cellStyle name="40% - akcent 2 4 2 2 8" xfId="19055"/>
    <cellStyle name="40% - akcent 2 4 2 2 8 2" xfId="19056"/>
    <cellStyle name="40% - akcent 2 4 2 2 9" xfId="19057"/>
    <cellStyle name="40% - akcent 2 4 2 3" xfId="19058"/>
    <cellStyle name="40% - akcent 2 4 2 3 2" xfId="19059"/>
    <cellStyle name="40% - akcent 2 4 2 3 2 2" xfId="19060"/>
    <cellStyle name="40% - akcent 2 4 2 3 2 2 2" xfId="19061"/>
    <cellStyle name="40% - akcent 2 4 2 3 2 2 2 2" xfId="19062"/>
    <cellStyle name="40% - akcent 2 4 2 3 2 2 3" xfId="19063"/>
    <cellStyle name="40% - akcent 2 4 2 3 2 3" xfId="19064"/>
    <cellStyle name="40% - akcent 2 4 2 3 2 3 2" xfId="19065"/>
    <cellStyle name="40% - akcent 2 4 2 3 2 3 2 2" xfId="19066"/>
    <cellStyle name="40% - akcent 2 4 2 3 2 3 3" xfId="19067"/>
    <cellStyle name="40% - akcent 2 4 2 3 2 4" xfId="19068"/>
    <cellStyle name="40% - akcent 2 4 2 3 2 4 2" xfId="19069"/>
    <cellStyle name="40% - akcent 2 4 2 3 2 4 2 2" xfId="19070"/>
    <cellStyle name="40% - akcent 2 4 2 3 2 4 3" xfId="19071"/>
    <cellStyle name="40% - akcent 2 4 2 3 2 5" xfId="19072"/>
    <cellStyle name="40% - akcent 2 4 2 3 2 5 2" xfId="19073"/>
    <cellStyle name="40% - akcent 2 4 2 3 2 6" xfId="19074"/>
    <cellStyle name="40% - akcent 2 4 2 3 3" xfId="19075"/>
    <cellStyle name="40% - akcent 2 4 2 3 3 2" xfId="19076"/>
    <cellStyle name="40% - akcent 2 4 2 3 3 2 2" xfId="19077"/>
    <cellStyle name="40% - akcent 2 4 2 3 3 3" xfId="19078"/>
    <cellStyle name="40% - akcent 2 4 2 3 4" xfId="19079"/>
    <cellStyle name="40% - akcent 2 4 2 3 4 2" xfId="19080"/>
    <cellStyle name="40% - akcent 2 4 2 3 4 2 2" xfId="19081"/>
    <cellStyle name="40% - akcent 2 4 2 3 4 3" xfId="19082"/>
    <cellStyle name="40% - akcent 2 4 2 3 5" xfId="19083"/>
    <cellStyle name="40% - akcent 2 4 2 3 5 2" xfId="19084"/>
    <cellStyle name="40% - akcent 2 4 2 3 5 2 2" xfId="19085"/>
    <cellStyle name="40% - akcent 2 4 2 3 5 3" xfId="19086"/>
    <cellStyle name="40% - akcent 2 4 2 3 6" xfId="19087"/>
    <cellStyle name="40% - akcent 2 4 2 3 6 2" xfId="19088"/>
    <cellStyle name="40% - akcent 2 4 2 3 7" xfId="19089"/>
    <cellStyle name="40% - akcent 2 4 2 4" xfId="19090"/>
    <cellStyle name="40% - akcent 2 4 2 4 2" xfId="19091"/>
    <cellStyle name="40% - akcent 2 4 2 4 2 2" xfId="19092"/>
    <cellStyle name="40% - akcent 2 4 2 4 2 2 2" xfId="19093"/>
    <cellStyle name="40% - akcent 2 4 2 4 2 3" xfId="19094"/>
    <cellStyle name="40% - akcent 2 4 2 4 3" xfId="19095"/>
    <cellStyle name="40% - akcent 2 4 2 4 3 2" xfId="19096"/>
    <cellStyle name="40% - akcent 2 4 2 4 3 2 2" xfId="19097"/>
    <cellStyle name="40% - akcent 2 4 2 4 3 3" xfId="19098"/>
    <cellStyle name="40% - akcent 2 4 2 4 4" xfId="19099"/>
    <cellStyle name="40% - akcent 2 4 2 4 4 2" xfId="19100"/>
    <cellStyle name="40% - akcent 2 4 2 4 4 2 2" xfId="19101"/>
    <cellStyle name="40% - akcent 2 4 2 4 4 3" xfId="19102"/>
    <cellStyle name="40% - akcent 2 4 2 4 5" xfId="19103"/>
    <cellStyle name="40% - akcent 2 4 2 4 5 2" xfId="19104"/>
    <cellStyle name="40% - akcent 2 4 2 4 6" xfId="19105"/>
    <cellStyle name="40% - akcent 2 4 2 5" xfId="19106"/>
    <cellStyle name="40% - akcent 2 4 2 5 2" xfId="19107"/>
    <cellStyle name="40% - akcent 2 4 2 5 2 2" xfId="19108"/>
    <cellStyle name="40% - akcent 2 4 2 5 2 2 2" xfId="19109"/>
    <cellStyle name="40% - akcent 2 4 2 5 2 3" xfId="19110"/>
    <cellStyle name="40% - akcent 2 4 2 5 3" xfId="19111"/>
    <cellStyle name="40% - akcent 2 4 2 5 3 2" xfId="19112"/>
    <cellStyle name="40% - akcent 2 4 2 5 3 2 2" xfId="19113"/>
    <cellStyle name="40% - akcent 2 4 2 5 3 3" xfId="19114"/>
    <cellStyle name="40% - akcent 2 4 2 5 4" xfId="19115"/>
    <cellStyle name="40% - akcent 2 4 2 5 4 2" xfId="19116"/>
    <cellStyle name="40% - akcent 2 4 2 5 4 2 2" xfId="19117"/>
    <cellStyle name="40% - akcent 2 4 2 5 4 3" xfId="19118"/>
    <cellStyle name="40% - akcent 2 4 2 5 5" xfId="19119"/>
    <cellStyle name="40% - akcent 2 4 2 5 5 2" xfId="19120"/>
    <cellStyle name="40% - akcent 2 4 2 5 6" xfId="19121"/>
    <cellStyle name="40% - akcent 2 4 2 6" xfId="19122"/>
    <cellStyle name="40% - akcent 2 4 2 7" xfId="19123"/>
    <cellStyle name="40% - akcent 2 4 2 7 2" xfId="19124"/>
    <cellStyle name="40% - akcent 2 4 2 7 2 2" xfId="19125"/>
    <cellStyle name="40% - akcent 2 4 2 7 2 2 2" xfId="19126"/>
    <cellStyle name="40% - akcent 2 4 2 7 2 3" xfId="19127"/>
    <cellStyle name="40% - akcent 2 4 2 7 3" xfId="19128"/>
    <cellStyle name="40% - akcent 2 4 2 7 3 2" xfId="19129"/>
    <cellStyle name="40% - akcent 2 4 2 7 3 2 2" xfId="19130"/>
    <cellStyle name="40% - akcent 2 4 2 7 3 3" xfId="19131"/>
    <cellStyle name="40% - akcent 2 4 2 7 4" xfId="19132"/>
    <cellStyle name="40% - akcent 2 4 2 7 4 2" xfId="19133"/>
    <cellStyle name="40% - akcent 2 4 2 7 4 2 2" xfId="19134"/>
    <cellStyle name="40% - akcent 2 4 2 7 4 3" xfId="19135"/>
    <cellStyle name="40% - akcent 2 4 2 7 5" xfId="19136"/>
    <cellStyle name="40% - akcent 2 4 2 7 5 2" xfId="19137"/>
    <cellStyle name="40% - akcent 2 4 2 7 6" xfId="19138"/>
    <cellStyle name="40% - akcent 2 4 3" xfId="19139"/>
    <cellStyle name="40% - akcent 2 4 3 2" xfId="19140"/>
    <cellStyle name="40% - akcent 2 4 3 2 2" xfId="19141"/>
    <cellStyle name="40% - akcent 2 4 3 2 2 2" xfId="19142"/>
    <cellStyle name="40% - akcent 2 4 3 2 2 2 2" xfId="19143"/>
    <cellStyle name="40% - akcent 2 4 3 2 2 2 2 2" xfId="19144"/>
    <cellStyle name="40% - akcent 2 4 3 2 2 2 3" xfId="19145"/>
    <cellStyle name="40% - akcent 2 4 3 2 2 3" xfId="19146"/>
    <cellStyle name="40% - akcent 2 4 3 2 2 3 2" xfId="19147"/>
    <cellStyle name="40% - akcent 2 4 3 2 2 3 2 2" xfId="19148"/>
    <cellStyle name="40% - akcent 2 4 3 2 2 3 3" xfId="19149"/>
    <cellStyle name="40% - akcent 2 4 3 2 2 4" xfId="19150"/>
    <cellStyle name="40% - akcent 2 4 3 2 2 4 2" xfId="19151"/>
    <cellStyle name="40% - akcent 2 4 3 2 2 4 2 2" xfId="19152"/>
    <cellStyle name="40% - akcent 2 4 3 2 2 4 3" xfId="19153"/>
    <cellStyle name="40% - akcent 2 4 3 2 2 5" xfId="19154"/>
    <cellStyle name="40% - akcent 2 4 3 2 2 5 2" xfId="19155"/>
    <cellStyle name="40% - akcent 2 4 3 2 2 6" xfId="19156"/>
    <cellStyle name="40% - akcent 2 4 3 2 3" xfId="19157"/>
    <cellStyle name="40% - akcent 2 4 3 2 3 2" xfId="19158"/>
    <cellStyle name="40% - akcent 2 4 3 2 3 2 2" xfId="19159"/>
    <cellStyle name="40% - akcent 2 4 3 2 3 3" xfId="19160"/>
    <cellStyle name="40% - akcent 2 4 3 2 4" xfId="19161"/>
    <cellStyle name="40% - akcent 2 4 3 2 4 2" xfId="19162"/>
    <cellStyle name="40% - akcent 2 4 3 2 4 2 2" xfId="19163"/>
    <cellStyle name="40% - akcent 2 4 3 2 4 3" xfId="19164"/>
    <cellStyle name="40% - akcent 2 4 3 2 5" xfId="19165"/>
    <cellStyle name="40% - akcent 2 4 3 2 5 2" xfId="19166"/>
    <cellStyle name="40% - akcent 2 4 3 2 5 2 2" xfId="19167"/>
    <cellStyle name="40% - akcent 2 4 3 2 5 3" xfId="19168"/>
    <cellStyle name="40% - akcent 2 4 3 2 6" xfId="19169"/>
    <cellStyle name="40% - akcent 2 4 3 2 6 2" xfId="19170"/>
    <cellStyle name="40% - akcent 2 4 3 2 7" xfId="19171"/>
    <cellStyle name="40% - akcent 2 4 3 3" xfId="19172"/>
    <cellStyle name="40% - akcent 2 4 3 3 2" xfId="19173"/>
    <cellStyle name="40% - akcent 2 4 3 3 2 2" xfId="19174"/>
    <cellStyle name="40% - akcent 2 4 3 3 2 2 2" xfId="19175"/>
    <cellStyle name="40% - akcent 2 4 3 3 2 3" xfId="19176"/>
    <cellStyle name="40% - akcent 2 4 3 3 3" xfId="19177"/>
    <cellStyle name="40% - akcent 2 4 3 3 3 2" xfId="19178"/>
    <cellStyle name="40% - akcent 2 4 3 3 3 2 2" xfId="19179"/>
    <cellStyle name="40% - akcent 2 4 3 3 3 3" xfId="19180"/>
    <cellStyle name="40% - akcent 2 4 3 3 4" xfId="19181"/>
    <cellStyle name="40% - akcent 2 4 3 3 4 2" xfId="19182"/>
    <cellStyle name="40% - akcent 2 4 3 3 4 2 2" xfId="19183"/>
    <cellStyle name="40% - akcent 2 4 3 3 4 3" xfId="19184"/>
    <cellStyle name="40% - akcent 2 4 3 3 5" xfId="19185"/>
    <cellStyle name="40% - akcent 2 4 3 3 5 2" xfId="19186"/>
    <cellStyle name="40% - akcent 2 4 3 3 6" xfId="19187"/>
    <cellStyle name="40% - akcent 2 4 3 4" xfId="19188"/>
    <cellStyle name="40% - akcent 2 4 3 4 2" xfId="19189"/>
    <cellStyle name="40% - akcent 2 4 3 4 2 2" xfId="19190"/>
    <cellStyle name="40% - akcent 2 4 3 4 2 2 2" xfId="19191"/>
    <cellStyle name="40% - akcent 2 4 3 4 2 3" xfId="19192"/>
    <cellStyle name="40% - akcent 2 4 3 4 3" xfId="19193"/>
    <cellStyle name="40% - akcent 2 4 3 4 3 2" xfId="19194"/>
    <cellStyle name="40% - akcent 2 4 3 4 3 2 2" xfId="19195"/>
    <cellStyle name="40% - akcent 2 4 3 4 3 3" xfId="19196"/>
    <cellStyle name="40% - akcent 2 4 3 4 4" xfId="19197"/>
    <cellStyle name="40% - akcent 2 4 3 4 4 2" xfId="19198"/>
    <cellStyle name="40% - akcent 2 4 3 4 4 2 2" xfId="19199"/>
    <cellStyle name="40% - akcent 2 4 3 4 4 3" xfId="19200"/>
    <cellStyle name="40% - akcent 2 4 3 4 5" xfId="19201"/>
    <cellStyle name="40% - akcent 2 4 3 4 5 2" xfId="19202"/>
    <cellStyle name="40% - akcent 2 4 3 4 6" xfId="19203"/>
    <cellStyle name="40% - akcent 2 4 3 5" xfId="19204"/>
    <cellStyle name="40% - akcent 2 4 3 5 2" xfId="19205"/>
    <cellStyle name="40% - akcent 2 4 3 5 2 2" xfId="19206"/>
    <cellStyle name="40% - akcent 2 4 3 5 2 2 2" xfId="19207"/>
    <cellStyle name="40% - akcent 2 4 3 5 2 3" xfId="19208"/>
    <cellStyle name="40% - akcent 2 4 3 5 3" xfId="19209"/>
    <cellStyle name="40% - akcent 2 4 3 5 3 2" xfId="19210"/>
    <cellStyle name="40% - akcent 2 4 3 5 3 2 2" xfId="19211"/>
    <cellStyle name="40% - akcent 2 4 3 5 3 3" xfId="19212"/>
    <cellStyle name="40% - akcent 2 4 3 5 4" xfId="19213"/>
    <cellStyle name="40% - akcent 2 4 3 5 4 2" xfId="19214"/>
    <cellStyle name="40% - akcent 2 4 3 5 4 2 2" xfId="19215"/>
    <cellStyle name="40% - akcent 2 4 3 5 4 3" xfId="19216"/>
    <cellStyle name="40% - akcent 2 4 3 5 5" xfId="19217"/>
    <cellStyle name="40% - akcent 2 4 3 5 5 2" xfId="19218"/>
    <cellStyle name="40% - akcent 2 4 3 5 6" xfId="19219"/>
    <cellStyle name="40% - akcent 2 4 4" xfId="19220"/>
    <cellStyle name="40% - akcent 2 4 4 2" xfId="19221"/>
    <cellStyle name="40% - akcent 2 4 4 2 2" xfId="19222"/>
    <cellStyle name="40% - akcent 2 4 4 2 2 2" xfId="19223"/>
    <cellStyle name="40% - akcent 2 4 4 2 2 2 2" xfId="19224"/>
    <cellStyle name="40% - akcent 2 4 4 2 2 3" xfId="19225"/>
    <cellStyle name="40% - akcent 2 4 4 2 3" xfId="19226"/>
    <cellStyle name="40% - akcent 2 4 4 2 3 2" xfId="19227"/>
    <cellStyle name="40% - akcent 2 4 4 2 3 2 2" xfId="19228"/>
    <cellStyle name="40% - akcent 2 4 4 2 3 3" xfId="19229"/>
    <cellStyle name="40% - akcent 2 4 4 2 4" xfId="19230"/>
    <cellStyle name="40% - akcent 2 4 4 2 4 2" xfId="19231"/>
    <cellStyle name="40% - akcent 2 4 4 2 4 2 2" xfId="19232"/>
    <cellStyle name="40% - akcent 2 4 4 2 4 3" xfId="19233"/>
    <cellStyle name="40% - akcent 2 4 4 2 5" xfId="19234"/>
    <cellStyle name="40% - akcent 2 4 4 2 5 2" xfId="19235"/>
    <cellStyle name="40% - akcent 2 4 4 2 6" xfId="19236"/>
    <cellStyle name="40% - akcent 2 4 4 3" xfId="19237"/>
    <cellStyle name="40% - akcent 2 4 4 3 2" xfId="19238"/>
    <cellStyle name="40% - akcent 2 4 4 3 2 2" xfId="19239"/>
    <cellStyle name="40% - akcent 2 4 4 3 2 2 2" xfId="19240"/>
    <cellStyle name="40% - akcent 2 4 4 3 2 3" xfId="19241"/>
    <cellStyle name="40% - akcent 2 4 4 3 3" xfId="19242"/>
    <cellStyle name="40% - akcent 2 4 4 3 3 2" xfId="19243"/>
    <cellStyle name="40% - akcent 2 4 4 3 3 2 2" xfId="19244"/>
    <cellStyle name="40% - akcent 2 4 4 3 3 3" xfId="19245"/>
    <cellStyle name="40% - akcent 2 4 4 3 4" xfId="19246"/>
    <cellStyle name="40% - akcent 2 4 4 3 4 2" xfId="19247"/>
    <cellStyle name="40% - akcent 2 4 4 3 4 2 2" xfId="19248"/>
    <cellStyle name="40% - akcent 2 4 4 3 4 3" xfId="19249"/>
    <cellStyle name="40% - akcent 2 4 4 3 5" xfId="19250"/>
    <cellStyle name="40% - akcent 2 4 4 3 5 2" xfId="19251"/>
    <cellStyle name="40% - akcent 2 4 4 3 6" xfId="19252"/>
    <cellStyle name="40% - akcent 2 4 5" xfId="19253"/>
    <cellStyle name="40% - akcent 2 4 5 2" xfId="19254"/>
    <cellStyle name="40% - akcent 2 4 5 2 2" xfId="19255"/>
    <cellStyle name="40% - akcent 2 4 5 2 2 2" xfId="19256"/>
    <cellStyle name="40% - akcent 2 4 5 2 3" xfId="19257"/>
    <cellStyle name="40% - akcent 2 4 5 3" xfId="19258"/>
    <cellStyle name="40% - akcent 2 4 5 3 2" xfId="19259"/>
    <cellStyle name="40% - akcent 2 4 5 3 2 2" xfId="19260"/>
    <cellStyle name="40% - akcent 2 4 5 3 3" xfId="19261"/>
    <cellStyle name="40% - akcent 2 4 5 4" xfId="19262"/>
    <cellStyle name="40% - akcent 2 4 5 4 2" xfId="19263"/>
    <cellStyle name="40% - akcent 2 4 5 4 2 2" xfId="19264"/>
    <cellStyle name="40% - akcent 2 4 5 4 3" xfId="19265"/>
    <cellStyle name="40% - akcent 2 4 5 5" xfId="19266"/>
    <cellStyle name="40% - akcent 2 4 5 5 2" xfId="19267"/>
    <cellStyle name="40% - akcent 2 4 5 6" xfId="19268"/>
    <cellStyle name="40% - akcent 2 4 6" xfId="19269"/>
    <cellStyle name="40% - akcent 2 4 6 2" xfId="19270"/>
    <cellStyle name="40% - akcent 2 4 6 2 2" xfId="19271"/>
    <cellStyle name="40% - akcent 2 4 6 2 2 2" xfId="19272"/>
    <cellStyle name="40% - akcent 2 4 6 2 3" xfId="19273"/>
    <cellStyle name="40% - akcent 2 4 6 3" xfId="19274"/>
    <cellStyle name="40% - akcent 2 4 6 3 2" xfId="19275"/>
    <cellStyle name="40% - akcent 2 4 6 3 2 2" xfId="19276"/>
    <cellStyle name="40% - akcent 2 4 6 3 3" xfId="19277"/>
    <cellStyle name="40% - akcent 2 4 6 4" xfId="19278"/>
    <cellStyle name="40% - akcent 2 4 6 4 2" xfId="19279"/>
    <cellStyle name="40% - akcent 2 4 6 4 2 2" xfId="19280"/>
    <cellStyle name="40% - akcent 2 4 6 4 3" xfId="19281"/>
    <cellStyle name="40% - akcent 2 4 6 5" xfId="19282"/>
    <cellStyle name="40% - akcent 2 4 6 5 2" xfId="19283"/>
    <cellStyle name="40% - akcent 2 4 6 6" xfId="19284"/>
    <cellStyle name="40% - akcent 2 4 7" xfId="19285"/>
    <cellStyle name="40% - akcent 2 4 7 2" xfId="19286"/>
    <cellStyle name="40% - akcent 2 4 7 2 2" xfId="19287"/>
    <cellStyle name="40% - akcent 2 4 7 2 2 2" xfId="19288"/>
    <cellStyle name="40% - akcent 2 4 7 2 3" xfId="19289"/>
    <cellStyle name="40% - akcent 2 4 7 3" xfId="19290"/>
    <cellStyle name="40% - akcent 2 4 7 3 2" xfId="19291"/>
    <cellStyle name="40% - akcent 2 4 7 3 2 2" xfId="19292"/>
    <cellStyle name="40% - akcent 2 4 7 3 3" xfId="19293"/>
    <cellStyle name="40% - akcent 2 4 7 4" xfId="19294"/>
    <cellStyle name="40% - akcent 2 4 7 4 2" xfId="19295"/>
    <cellStyle name="40% - akcent 2 4 7 4 2 2" xfId="19296"/>
    <cellStyle name="40% - akcent 2 4 7 4 3" xfId="19297"/>
    <cellStyle name="40% - akcent 2 4 7 5" xfId="19298"/>
    <cellStyle name="40% - akcent 2 4 7 5 2" xfId="19299"/>
    <cellStyle name="40% - akcent 2 4 7 6" xfId="19300"/>
    <cellStyle name="40% - akcent 2 4_2011'05 Raport PGE_DO-CO2" xfId="19301"/>
    <cellStyle name="40% - akcent 2 5" xfId="19302"/>
    <cellStyle name="40% - akcent 2 5 2" xfId="19303"/>
    <cellStyle name="40% - akcent 2 5 2 2" xfId="19304"/>
    <cellStyle name="40% - akcent 2 5 2 2 2" xfId="19305"/>
    <cellStyle name="40% - akcent 2 5 2 2 2 2" xfId="19306"/>
    <cellStyle name="40% - akcent 2 5 2 2 2 2 2" xfId="19307"/>
    <cellStyle name="40% - akcent 2 5 2 2 2 2 2 2" xfId="19308"/>
    <cellStyle name="40% - akcent 2 5 2 2 2 2 3" xfId="19309"/>
    <cellStyle name="40% - akcent 2 5 2 2 2 3" xfId="19310"/>
    <cellStyle name="40% - akcent 2 5 2 2 2 3 2" xfId="19311"/>
    <cellStyle name="40% - akcent 2 5 2 2 2 3 2 2" xfId="19312"/>
    <cellStyle name="40% - akcent 2 5 2 2 2 3 3" xfId="19313"/>
    <cellStyle name="40% - akcent 2 5 2 2 2 4" xfId="19314"/>
    <cellStyle name="40% - akcent 2 5 2 2 2 4 2" xfId="19315"/>
    <cellStyle name="40% - akcent 2 5 2 2 2 4 2 2" xfId="19316"/>
    <cellStyle name="40% - akcent 2 5 2 2 2 4 3" xfId="19317"/>
    <cellStyle name="40% - akcent 2 5 2 2 2 5" xfId="19318"/>
    <cellStyle name="40% - akcent 2 5 2 2 2 5 2" xfId="19319"/>
    <cellStyle name="40% - akcent 2 5 2 2 2 6" xfId="19320"/>
    <cellStyle name="40% - akcent 2 5 2 2 3" xfId="19321"/>
    <cellStyle name="40% - akcent 2 5 2 2 3 2" xfId="19322"/>
    <cellStyle name="40% - akcent 2 5 2 2 3 2 2" xfId="19323"/>
    <cellStyle name="40% - akcent 2 5 2 2 3 3" xfId="19324"/>
    <cellStyle name="40% - akcent 2 5 2 2 4" xfId="19325"/>
    <cellStyle name="40% - akcent 2 5 2 2 4 2" xfId="19326"/>
    <cellStyle name="40% - akcent 2 5 2 2 4 2 2" xfId="19327"/>
    <cellStyle name="40% - akcent 2 5 2 2 4 3" xfId="19328"/>
    <cellStyle name="40% - akcent 2 5 2 2 5" xfId="19329"/>
    <cellStyle name="40% - akcent 2 5 2 2 5 2" xfId="19330"/>
    <cellStyle name="40% - akcent 2 5 2 2 5 2 2" xfId="19331"/>
    <cellStyle name="40% - akcent 2 5 2 2 5 3" xfId="19332"/>
    <cellStyle name="40% - akcent 2 5 2 2 6" xfId="19333"/>
    <cellStyle name="40% - akcent 2 5 2 2 6 2" xfId="19334"/>
    <cellStyle name="40% - akcent 2 5 2 2 7" xfId="19335"/>
    <cellStyle name="40% - akcent 2 5 2 3" xfId="19336"/>
    <cellStyle name="40% - akcent 2 5 2 3 2" xfId="19337"/>
    <cellStyle name="40% - akcent 2 5 2 3 2 2" xfId="19338"/>
    <cellStyle name="40% - akcent 2 5 2 3 2 2 2" xfId="19339"/>
    <cellStyle name="40% - akcent 2 5 2 3 2 3" xfId="19340"/>
    <cellStyle name="40% - akcent 2 5 2 3 3" xfId="19341"/>
    <cellStyle name="40% - akcent 2 5 2 3 3 2" xfId="19342"/>
    <cellStyle name="40% - akcent 2 5 2 3 3 2 2" xfId="19343"/>
    <cellStyle name="40% - akcent 2 5 2 3 3 3" xfId="19344"/>
    <cellStyle name="40% - akcent 2 5 2 3 4" xfId="19345"/>
    <cellStyle name="40% - akcent 2 5 2 3 4 2" xfId="19346"/>
    <cellStyle name="40% - akcent 2 5 2 3 4 2 2" xfId="19347"/>
    <cellStyle name="40% - akcent 2 5 2 3 4 3" xfId="19348"/>
    <cellStyle name="40% - akcent 2 5 2 3 5" xfId="19349"/>
    <cellStyle name="40% - akcent 2 5 2 3 5 2" xfId="19350"/>
    <cellStyle name="40% - akcent 2 5 2 3 6" xfId="19351"/>
    <cellStyle name="40% - akcent 2 5 2 4" xfId="19352"/>
    <cellStyle name="40% - akcent 2 5 2 4 2" xfId="19353"/>
    <cellStyle name="40% - akcent 2 5 2 4 2 2" xfId="19354"/>
    <cellStyle name="40% - akcent 2 5 2 4 2 2 2" xfId="19355"/>
    <cellStyle name="40% - akcent 2 5 2 4 2 3" xfId="19356"/>
    <cellStyle name="40% - akcent 2 5 2 4 3" xfId="19357"/>
    <cellStyle name="40% - akcent 2 5 2 4 3 2" xfId="19358"/>
    <cellStyle name="40% - akcent 2 5 2 4 3 2 2" xfId="19359"/>
    <cellStyle name="40% - akcent 2 5 2 4 3 3" xfId="19360"/>
    <cellStyle name="40% - akcent 2 5 2 4 4" xfId="19361"/>
    <cellStyle name="40% - akcent 2 5 2 4 4 2" xfId="19362"/>
    <cellStyle name="40% - akcent 2 5 2 4 4 2 2" xfId="19363"/>
    <cellStyle name="40% - akcent 2 5 2 4 4 3" xfId="19364"/>
    <cellStyle name="40% - akcent 2 5 2 4 5" xfId="19365"/>
    <cellStyle name="40% - akcent 2 5 2 4 5 2" xfId="19366"/>
    <cellStyle name="40% - akcent 2 5 2 4 6" xfId="19367"/>
    <cellStyle name="40% - akcent 2 5 2 5" xfId="19368"/>
    <cellStyle name="40% - akcent 2 5 2 6" xfId="19369"/>
    <cellStyle name="40% - akcent 2 5 2 6 2" xfId="19370"/>
    <cellStyle name="40% - akcent 2 5 2 6 2 2" xfId="19371"/>
    <cellStyle name="40% - akcent 2 5 2 6 2 2 2" xfId="19372"/>
    <cellStyle name="40% - akcent 2 5 2 6 2 3" xfId="19373"/>
    <cellStyle name="40% - akcent 2 5 2 6 3" xfId="19374"/>
    <cellStyle name="40% - akcent 2 5 2 6 3 2" xfId="19375"/>
    <cellStyle name="40% - akcent 2 5 2 6 3 2 2" xfId="19376"/>
    <cellStyle name="40% - akcent 2 5 2 6 3 3" xfId="19377"/>
    <cellStyle name="40% - akcent 2 5 2 6 4" xfId="19378"/>
    <cellStyle name="40% - akcent 2 5 2 6 4 2" xfId="19379"/>
    <cellStyle name="40% - akcent 2 5 2 6 4 2 2" xfId="19380"/>
    <cellStyle name="40% - akcent 2 5 2 6 4 3" xfId="19381"/>
    <cellStyle name="40% - akcent 2 5 2 6 5" xfId="19382"/>
    <cellStyle name="40% - akcent 2 5 2 6 5 2" xfId="19383"/>
    <cellStyle name="40% - akcent 2 5 2 6 6" xfId="19384"/>
    <cellStyle name="40% - akcent 2 5 3" xfId="19385"/>
    <cellStyle name="40% - akcent 2 5 3 2" xfId="19386"/>
    <cellStyle name="40% - akcent 2 5 3 2 2" xfId="19387"/>
    <cellStyle name="40% - akcent 2 5 3 2 2 2" xfId="19388"/>
    <cellStyle name="40% - akcent 2 5 3 2 2 2 2" xfId="19389"/>
    <cellStyle name="40% - akcent 2 5 3 2 2 3" xfId="19390"/>
    <cellStyle name="40% - akcent 2 5 3 2 3" xfId="19391"/>
    <cellStyle name="40% - akcent 2 5 3 2 3 2" xfId="19392"/>
    <cellStyle name="40% - akcent 2 5 3 2 3 2 2" xfId="19393"/>
    <cellStyle name="40% - akcent 2 5 3 2 3 3" xfId="19394"/>
    <cellStyle name="40% - akcent 2 5 3 2 4" xfId="19395"/>
    <cellStyle name="40% - akcent 2 5 3 2 4 2" xfId="19396"/>
    <cellStyle name="40% - akcent 2 5 3 2 4 2 2" xfId="19397"/>
    <cellStyle name="40% - akcent 2 5 3 2 4 3" xfId="19398"/>
    <cellStyle name="40% - akcent 2 5 3 2 5" xfId="19399"/>
    <cellStyle name="40% - akcent 2 5 3 2 5 2" xfId="19400"/>
    <cellStyle name="40% - akcent 2 5 3 2 6" xfId="19401"/>
    <cellStyle name="40% - akcent 2 5 3 3" xfId="19402"/>
    <cellStyle name="40% - akcent 2 5 3 3 2" xfId="19403"/>
    <cellStyle name="40% - akcent 2 5 3 3 2 2" xfId="19404"/>
    <cellStyle name="40% - akcent 2 5 3 3 3" xfId="19405"/>
    <cellStyle name="40% - akcent 2 5 3 4" xfId="19406"/>
    <cellStyle name="40% - akcent 2 5 3 4 2" xfId="19407"/>
    <cellStyle name="40% - akcent 2 5 3 4 2 2" xfId="19408"/>
    <cellStyle name="40% - akcent 2 5 3 4 3" xfId="19409"/>
    <cellStyle name="40% - akcent 2 5 3 5" xfId="19410"/>
    <cellStyle name="40% - akcent 2 5 3 5 2" xfId="19411"/>
    <cellStyle name="40% - akcent 2 5 3 5 2 2" xfId="19412"/>
    <cellStyle name="40% - akcent 2 5 3 5 3" xfId="19413"/>
    <cellStyle name="40% - akcent 2 5 3 6" xfId="19414"/>
    <cellStyle name="40% - akcent 2 5 3 6 2" xfId="19415"/>
    <cellStyle name="40% - akcent 2 5 3 7" xfId="19416"/>
    <cellStyle name="40% - akcent 2 5 4" xfId="19417"/>
    <cellStyle name="40% - akcent 2 5 4 2" xfId="19418"/>
    <cellStyle name="40% - akcent 2 5 4 2 2" xfId="19419"/>
    <cellStyle name="40% - akcent 2 5 4 2 2 2" xfId="19420"/>
    <cellStyle name="40% - akcent 2 5 4 2 3" xfId="19421"/>
    <cellStyle name="40% - akcent 2 5 4 3" xfId="19422"/>
    <cellStyle name="40% - akcent 2 5 4 3 2" xfId="19423"/>
    <cellStyle name="40% - akcent 2 5 4 3 2 2" xfId="19424"/>
    <cellStyle name="40% - akcent 2 5 4 3 3" xfId="19425"/>
    <cellStyle name="40% - akcent 2 5 4 4" xfId="19426"/>
    <cellStyle name="40% - akcent 2 5 4 4 2" xfId="19427"/>
    <cellStyle name="40% - akcent 2 5 4 4 2 2" xfId="19428"/>
    <cellStyle name="40% - akcent 2 5 4 4 3" xfId="19429"/>
    <cellStyle name="40% - akcent 2 5 4 5" xfId="19430"/>
    <cellStyle name="40% - akcent 2 5 4 5 2" xfId="19431"/>
    <cellStyle name="40% - akcent 2 5 4 6" xfId="19432"/>
    <cellStyle name="40% - akcent 2 5 5" xfId="19433"/>
    <cellStyle name="40% - akcent 2 5 5 2" xfId="19434"/>
    <cellStyle name="40% - akcent 2 5 5 2 2" xfId="19435"/>
    <cellStyle name="40% - akcent 2 5 5 2 2 2" xfId="19436"/>
    <cellStyle name="40% - akcent 2 5 5 2 3" xfId="19437"/>
    <cellStyle name="40% - akcent 2 5 5 3" xfId="19438"/>
    <cellStyle name="40% - akcent 2 5 5 3 2" xfId="19439"/>
    <cellStyle name="40% - akcent 2 5 5 3 2 2" xfId="19440"/>
    <cellStyle name="40% - akcent 2 5 5 3 3" xfId="19441"/>
    <cellStyle name="40% - akcent 2 5 5 4" xfId="19442"/>
    <cellStyle name="40% - akcent 2 5 5 4 2" xfId="19443"/>
    <cellStyle name="40% - akcent 2 5 5 4 2 2" xfId="19444"/>
    <cellStyle name="40% - akcent 2 5 5 4 3" xfId="19445"/>
    <cellStyle name="40% - akcent 2 5 5 5" xfId="19446"/>
    <cellStyle name="40% - akcent 2 5 5 5 2" xfId="19447"/>
    <cellStyle name="40% - akcent 2 5 5 6" xfId="19448"/>
    <cellStyle name="40% - akcent 2 5 6" xfId="19449"/>
    <cellStyle name="40% - akcent 2 5 7" xfId="19450"/>
    <cellStyle name="40% - akcent 2 5 7 2" xfId="19451"/>
    <cellStyle name="40% - akcent 2 5 7 2 2" xfId="19452"/>
    <cellStyle name="40% - akcent 2 5 7 2 2 2" xfId="19453"/>
    <cellStyle name="40% - akcent 2 5 7 2 3" xfId="19454"/>
    <cellStyle name="40% - akcent 2 5 7 3" xfId="19455"/>
    <cellStyle name="40% - akcent 2 5 7 3 2" xfId="19456"/>
    <cellStyle name="40% - akcent 2 5 7 3 2 2" xfId="19457"/>
    <cellStyle name="40% - akcent 2 5 7 3 3" xfId="19458"/>
    <cellStyle name="40% - akcent 2 5 7 4" xfId="19459"/>
    <cellStyle name="40% - akcent 2 5 7 4 2" xfId="19460"/>
    <cellStyle name="40% - akcent 2 5 7 4 2 2" xfId="19461"/>
    <cellStyle name="40% - akcent 2 5 7 4 3" xfId="19462"/>
    <cellStyle name="40% - akcent 2 5 7 5" xfId="19463"/>
    <cellStyle name="40% - akcent 2 5 7 5 2" xfId="19464"/>
    <cellStyle name="40% - akcent 2 5 7 6" xfId="19465"/>
    <cellStyle name="40% - akcent 2 5_2011'05 Raport PGE_DO-CO2" xfId="19466"/>
    <cellStyle name="40% - akcent 2 6" xfId="19467"/>
    <cellStyle name="40% - akcent 2 6 2" xfId="19468"/>
    <cellStyle name="40% - akcent 2 6 2 10" xfId="19469"/>
    <cellStyle name="40% - akcent 2 6 2 2" xfId="19470"/>
    <cellStyle name="40% - akcent 2 6 2 2 2" xfId="19471"/>
    <cellStyle name="40% - akcent 2 6 2 2 2 2" xfId="19472"/>
    <cellStyle name="40% - akcent 2 6 2 2 2 2 2" xfId="19473"/>
    <cellStyle name="40% - akcent 2 6 2 2 2 2 2 2" xfId="19474"/>
    <cellStyle name="40% - akcent 2 6 2 2 2 2 3" xfId="19475"/>
    <cellStyle name="40% - akcent 2 6 2 2 2 3" xfId="19476"/>
    <cellStyle name="40% - akcent 2 6 2 2 2 3 2" xfId="19477"/>
    <cellStyle name="40% - akcent 2 6 2 2 2 3 2 2" xfId="19478"/>
    <cellStyle name="40% - akcent 2 6 2 2 2 3 3" xfId="19479"/>
    <cellStyle name="40% - akcent 2 6 2 2 2 4" xfId="19480"/>
    <cellStyle name="40% - akcent 2 6 2 2 2 4 2" xfId="19481"/>
    <cellStyle name="40% - akcent 2 6 2 2 2 4 2 2" xfId="19482"/>
    <cellStyle name="40% - akcent 2 6 2 2 2 4 3" xfId="19483"/>
    <cellStyle name="40% - akcent 2 6 2 2 2 5" xfId="19484"/>
    <cellStyle name="40% - akcent 2 6 2 2 2 5 2" xfId="19485"/>
    <cellStyle name="40% - akcent 2 6 2 2 2 6" xfId="19486"/>
    <cellStyle name="40% - akcent 2 6 2 2 3" xfId="19487"/>
    <cellStyle name="40% - akcent 2 6 2 2 3 2" xfId="19488"/>
    <cellStyle name="40% - akcent 2 6 2 2 3 2 2" xfId="19489"/>
    <cellStyle name="40% - akcent 2 6 2 2 3 3" xfId="19490"/>
    <cellStyle name="40% - akcent 2 6 2 2 4" xfId="19491"/>
    <cellStyle name="40% - akcent 2 6 2 2 4 2" xfId="19492"/>
    <cellStyle name="40% - akcent 2 6 2 2 4 2 2" xfId="19493"/>
    <cellStyle name="40% - akcent 2 6 2 2 4 3" xfId="19494"/>
    <cellStyle name="40% - akcent 2 6 2 2 5" xfId="19495"/>
    <cellStyle name="40% - akcent 2 6 2 2 5 2" xfId="19496"/>
    <cellStyle name="40% - akcent 2 6 2 2 5 2 2" xfId="19497"/>
    <cellStyle name="40% - akcent 2 6 2 2 5 3" xfId="19498"/>
    <cellStyle name="40% - akcent 2 6 2 2 6" xfId="19499"/>
    <cellStyle name="40% - akcent 2 6 2 2 6 2" xfId="19500"/>
    <cellStyle name="40% - akcent 2 6 2 2 7" xfId="19501"/>
    <cellStyle name="40% - akcent 2 6 2 3" xfId="19502"/>
    <cellStyle name="40% - akcent 2 6 2 3 2" xfId="19503"/>
    <cellStyle name="40% - akcent 2 6 2 3 2 2" xfId="19504"/>
    <cellStyle name="40% - akcent 2 6 2 3 2 2 2" xfId="19505"/>
    <cellStyle name="40% - akcent 2 6 2 3 2 3" xfId="19506"/>
    <cellStyle name="40% - akcent 2 6 2 3 3" xfId="19507"/>
    <cellStyle name="40% - akcent 2 6 2 3 3 2" xfId="19508"/>
    <cellStyle name="40% - akcent 2 6 2 3 3 2 2" xfId="19509"/>
    <cellStyle name="40% - akcent 2 6 2 3 3 3" xfId="19510"/>
    <cellStyle name="40% - akcent 2 6 2 3 4" xfId="19511"/>
    <cellStyle name="40% - akcent 2 6 2 3 4 2" xfId="19512"/>
    <cellStyle name="40% - akcent 2 6 2 3 4 2 2" xfId="19513"/>
    <cellStyle name="40% - akcent 2 6 2 3 4 3" xfId="19514"/>
    <cellStyle name="40% - akcent 2 6 2 3 5" xfId="19515"/>
    <cellStyle name="40% - akcent 2 6 2 3 5 2" xfId="19516"/>
    <cellStyle name="40% - akcent 2 6 2 3 6" xfId="19517"/>
    <cellStyle name="40% - akcent 2 6 2 4" xfId="19518"/>
    <cellStyle name="40% - akcent 2 6 2 4 2" xfId="19519"/>
    <cellStyle name="40% - akcent 2 6 2 4 2 2" xfId="19520"/>
    <cellStyle name="40% - akcent 2 6 2 4 2 2 2" xfId="19521"/>
    <cellStyle name="40% - akcent 2 6 2 4 2 3" xfId="19522"/>
    <cellStyle name="40% - akcent 2 6 2 4 3" xfId="19523"/>
    <cellStyle name="40% - akcent 2 6 2 4 3 2" xfId="19524"/>
    <cellStyle name="40% - akcent 2 6 2 4 3 2 2" xfId="19525"/>
    <cellStyle name="40% - akcent 2 6 2 4 3 3" xfId="19526"/>
    <cellStyle name="40% - akcent 2 6 2 4 4" xfId="19527"/>
    <cellStyle name="40% - akcent 2 6 2 4 4 2" xfId="19528"/>
    <cellStyle name="40% - akcent 2 6 2 4 4 2 2" xfId="19529"/>
    <cellStyle name="40% - akcent 2 6 2 4 4 3" xfId="19530"/>
    <cellStyle name="40% - akcent 2 6 2 4 5" xfId="19531"/>
    <cellStyle name="40% - akcent 2 6 2 4 5 2" xfId="19532"/>
    <cellStyle name="40% - akcent 2 6 2 4 6" xfId="19533"/>
    <cellStyle name="40% - akcent 2 6 2 5" xfId="19534"/>
    <cellStyle name="40% - akcent 2 6 2 6" xfId="19535"/>
    <cellStyle name="40% - akcent 2 6 2 6 2" xfId="19536"/>
    <cellStyle name="40% - akcent 2 6 2 6 2 2" xfId="19537"/>
    <cellStyle name="40% - akcent 2 6 2 6 3" xfId="19538"/>
    <cellStyle name="40% - akcent 2 6 2 7" xfId="19539"/>
    <cellStyle name="40% - akcent 2 6 2 7 2" xfId="19540"/>
    <cellStyle name="40% - akcent 2 6 2 7 2 2" xfId="19541"/>
    <cellStyle name="40% - akcent 2 6 2 7 3" xfId="19542"/>
    <cellStyle name="40% - akcent 2 6 2 8" xfId="19543"/>
    <cellStyle name="40% - akcent 2 6 2 8 2" xfId="19544"/>
    <cellStyle name="40% - akcent 2 6 2 8 2 2" xfId="19545"/>
    <cellStyle name="40% - akcent 2 6 2 8 3" xfId="19546"/>
    <cellStyle name="40% - akcent 2 6 2 9" xfId="19547"/>
    <cellStyle name="40% - akcent 2 6 2 9 2" xfId="19548"/>
    <cellStyle name="40% - akcent 2 6 3" xfId="19549"/>
    <cellStyle name="40% - akcent 2 6 3 2" xfId="19550"/>
    <cellStyle name="40% - akcent 2 6 3 2 2" xfId="19551"/>
    <cellStyle name="40% - akcent 2 6 3 2 2 2" xfId="19552"/>
    <cellStyle name="40% - akcent 2 6 3 2 2 2 2" xfId="19553"/>
    <cellStyle name="40% - akcent 2 6 3 2 2 3" xfId="19554"/>
    <cellStyle name="40% - akcent 2 6 3 2 3" xfId="19555"/>
    <cellStyle name="40% - akcent 2 6 3 2 3 2" xfId="19556"/>
    <cellStyle name="40% - akcent 2 6 3 2 3 2 2" xfId="19557"/>
    <cellStyle name="40% - akcent 2 6 3 2 3 3" xfId="19558"/>
    <cellStyle name="40% - akcent 2 6 3 2 4" xfId="19559"/>
    <cellStyle name="40% - akcent 2 6 3 2 4 2" xfId="19560"/>
    <cellStyle name="40% - akcent 2 6 3 2 4 2 2" xfId="19561"/>
    <cellStyle name="40% - akcent 2 6 3 2 4 3" xfId="19562"/>
    <cellStyle name="40% - akcent 2 6 3 2 5" xfId="19563"/>
    <cellStyle name="40% - akcent 2 6 3 2 5 2" xfId="19564"/>
    <cellStyle name="40% - akcent 2 6 3 2 6" xfId="19565"/>
    <cellStyle name="40% - akcent 2 6 3 3" xfId="19566"/>
    <cellStyle name="40% - akcent 2 6 3 3 2" xfId="19567"/>
    <cellStyle name="40% - akcent 2 6 3 3 2 2" xfId="19568"/>
    <cellStyle name="40% - akcent 2 6 3 3 3" xfId="19569"/>
    <cellStyle name="40% - akcent 2 6 3 4" xfId="19570"/>
    <cellStyle name="40% - akcent 2 6 3 4 2" xfId="19571"/>
    <cellStyle name="40% - akcent 2 6 3 4 2 2" xfId="19572"/>
    <cellStyle name="40% - akcent 2 6 3 4 3" xfId="19573"/>
    <cellStyle name="40% - akcent 2 6 3 5" xfId="19574"/>
    <cellStyle name="40% - akcent 2 6 3 5 2" xfId="19575"/>
    <cellStyle name="40% - akcent 2 6 3 5 2 2" xfId="19576"/>
    <cellStyle name="40% - akcent 2 6 3 5 3" xfId="19577"/>
    <cellStyle name="40% - akcent 2 6 3 6" xfId="19578"/>
    <cellStyle name="40% - akcent 2 6 3 6 2" xfId="19579"/>
    <cellStyle name="40% - akcent 2 6 3 7" xfId="19580"/>
    <cellStyle name="40% - akcent 2 6 4" xfId="19581"/>
    <cellStyle name="40% - akcent 2 6 4 2" xfId="19582"/>
    <cellStyle name="40% - akcent 2 6 4 2 2" xfId="19583"/>
    <cellStyle name="40% - akcent 2 6 4 2 2 2" xfId="19584"/>
    <cellStyle name="40% - akcent 2 6 4 2 3" xfId="19585"/>
    <cellStyle name="40% - akcent 2 6 4 3" xfId="19586"/>
    <cellStyle name="40% - akcent 2 6 4 3 2" xfId="19587"/>
    <cellStyle name="40% - akcent 2 6 4 3 2 2" xfId="19588"/>
    <cellStyle name="40% - akcent 2 6 4 3 3" xfId="19589"/>
    <cellStyle name="40% - akcent 2 6 4 4" xfId="19590"/>
    <cellStyle name="40% - akcent 2 6 4 4 2" xfId="19591"/>
    <cellStyle name="40% - akcent 2 6 4 4 2 2" xfId="19592"/>
    <cellStyle name="40% - akcent 2 6 4 4 3" xfId="19593"/>
    <cellStyle name="40% - akcent 2 6 4 5" xfId="19594"/>
    <cellStyle name="40% - akcent 2 6 4 5 2" xfId="19595"/>
    <cellStyle name="40% - akcent 2 6 4 6" xfId="19596"/>
    <cellStyle name="40% - akcent 2 6 5" xfId="19597"/>
    <cellStyle name="40% - akcent 2 6 5 2" xfId="19598"/>
    <cellStyle name="40% - akcent 2 6 5 2 2" xfId="19599"/>
    <cellStyle name="40% - akcent 2 6 5 2 2 2" xfId="19600"/>
    <cellStyle name="40% - akcent 2 6 5 2 3" xfId="19601"/>
    <cellStyle name="40% - akcent 2 6 5 3" xfId="19602"/>
    <cellStyle name="40% - akcent 2 6 5 3 2" xfId="19603"/>
    <cellStyle name="40% - akcent 2 6 5 3 2 2" xfId="19604"/>
    <cellStyle name="40% - akcent 2 6 5 3 3" xfId="19605"/>
    <cellStyle name="40% - akcent 2 6 5 4" xfId="19606"/>
    <cellStyle name="40% - akcent 2 6 5 4 2" xfId="19607"/>
    <cellStyle name="40% - akcent 2 6 5 4 2 2" xfId="19608"/>
    <cellStyle name="40% - akcent 2 6 5 4 3" xfId="19609"/>
    <cellStyle name="40% - akcent 2 6 5 5" xfId="19610"/>
    <cellStyle name="40% - akcent 2 6 5 5 2" xfId="19611"/>
    <cellStyle name="40% - akcent 2 6 5 6" xfId="19612"/>
    <cellStyle name="40% - akcent 2 6 6" xfId="19613"/>
    <cellStyle name="40% - akcent 2 6 7" xfId="19614"/>
    <cellStyle name="40% - akcent 2 6 7 2" xfId="19615"/>
    <cellStyle name="40% - akcent 2 6 7 2 2" xfId="19616"/>
    <cellStyle name="40% - akcent 2 6 7 2 2 2" xfId="19617"/>
    <cellStyle name="40% - akcent 2 6 7 2 3" xfId="19618"/>
    <cellStyle name="40% - akcent 2 6 7 3" xfId="19619"/>
    <cellStyle name="40% - akcent 2 6 7 3 2" xfId="19620"/>
    <cellStyle name="40% - akcent 2 6 7 3 2 2" xfId="19621"/>
    <cellStyle name="40% - akcent 2 6 7 3 3" xfId="19622"/>
    <cellStyle name="40% - akcent 2 6 7 4" xfId="19623"/>
    <cellStyle name="40% - akcent 2 6 7 4 2" xfId="19624"/>
    <cellStyle name="40% - akcent 2 6 7 4 2 2" xfId="19625"/>
    <cellStyle name="40% - akcent 2 6 7 4 3" xfId="19626"/>
    <cellStyle name="40% - akcent 2 6 7 5" xfId="19627"/>
    <cellStyle name="40% - akcent 2 6 7 5 2" xfId="19628"/>
    <cellStyle name="40% - akcent 2 6 7 6" xfId="19629"/>
    <cellStyle name="40% - akcent 2 6_Arkusz1" xfId="19630"/>
    <cellStyle name="40% - akcent 2 7" xfId="19631"/>
    <cellStyle name="40% - akcent 2 7 2" xfId="19632"/>
    <cellStyle name="40% - akcent 2 7 2 10" xfId="19633"/>
    <cellStyle name="40% - akcent 2 7 2 2" xfId="19634"/>
    <cellStyle name="40% - akcent 2 7 2 2 2" xfId="19635"/>
    <cellStyle name="40% - akcent 2 7 2 2 2 2" xfId="19636"/>
    <cellStyle name="40% - akcent 2 7 2 2 2 2 2" xfId="19637"/>
    <cellStyle name="40% - akcent 2 7 2 2 2 2 2 2" xfId="19638"/>
    <cellStyle name="40% - akcent 2 7 2 2 2 2 3" xfId="19639"/>
    <cellStyle name="40% - akcent 2 7 2 2 2 3" xfId="19640"/>
    <cellStyle name="40% - akcent 2 7 2 2 2 3 2" xfId="19641"/>
    <cellStyle name="40% - akcent 2 7 2 2 2 3 2 2" xfId="19642"/>
    <cellStyle name="40% - akcent 2 7 2 2 2 3 3" xfId="19643"/>
    <cellStyle name="40% - akcent 2 7 2 2 2 4" xfId="19644"/>
    <cellStyle name="40% - akcent 2 7 2 2 2 4 2" xfId="19645"/>
    <cellStyle name="40% - akcent 2 7 2 2 2 4 2 2" xfId="19646"/>
    <cellStyle name="40% - akcent 2 7 2 2 2 4 3" xfId="19647"/>
    <cellStyle name="40% - akcent 2 7 2 2 2 5" xfId="19648"/>
    <cellStyle name="40% - akcent 2 7 2 2 2 5 2" xfId="19649"/>
    <cellStyle name="40% - akcent 2 7 2 2 2 6" xfId="19650"/>
    <cellStyle name="40% - akcent 2 7 2 2 3" xfId="19651"/>
    <cellStyle name="40% - akcent 2 7 2 2 3 2" xfId="19652"/>
    <cellStyle name="40% - akcent 2 7 2 2 3 2 2" xfId="19653"/>
    <cellStyle name="40% - akcent 2 7 2 2 3 3" xfId="19654"/>
    <cellStyle name="40% - akcent 2 7 2 2 4" xfId="19655"/>
    <cellStyle name="40% - akcent 2 7 2 2 4 2" xfId="19656"/>
    <cellStyle name="40% - akcent 2 7 2 2 4 2 2" xfId="19657"/>
    <cellStyle name="40% - akcent 2 7 2 2 4 3" xfId="19658"/>
    <cellStyle name="40% - akcent 2 7 2 2 5" xfId="19659"/>
    <cellStyle name="40% - akcent 2 7 2 2 5 2" xfId="19660"/>
    <cellStyle name="40% - akcent 2 7 2 2 5 2 2" xfId="19661"/>
    <cellStyle name="40% - akcent 2 7 2 2 5 3" xfId="19662"/>
    <cellStyle name="40% - akcent 2 7 2 2 6" xfId="19663"/>
    <cellStyle name="40% - akcent 2 7 2 2 6 2" xfId="19664"/>
    <cellStyle name="40% - akcent 2 7 2 2 7" xfId="19665"/>
    <cellStyle name="40% - akcent 2 7 2 3" xfId="19666"/>
    <cellStyle name="40% - akcent 2 7 2 3 2" xfId="19667"/>
    <cellStyle name="40% - akcent 2 7 2 3 2 2" xfId="19668"/>
    <cellStyle name="40% - akcent 2 7 2 3 2 2 2" xfId="19669"/>
    <cellStyle name="40% - akcent 2 7 2 3 2 3" xfId="19670"/>
    <cellStyle name="40% - akcent 2 7 2 3 3" xfId="19671"/>
    <cellStyle name="40% - akcent 2 7 2 3 3 2" xfId="19672"/>
    <cellStyle name="40% - akcent 2 7 2 3 3 2 2" xfId="19673"/>
    <cellStyle name="40% - akcent 2 7 2 3 3 3" xfId="19674"/>
    <cellStyle name="40% - akcent 2 7 2 3 4" xfId="19675"/>
    <cellStyle name="40% - akcent 2 7 2 3 4 2" xfId="19676"/>
    <cellStyle name="40% - akcent 2 7 2 3 4 2 2" xfId="19677"/>
    <cellStyle name="40% - akcent 2 7 2 3 4 3" xfId="19678"/>
    <cellStyle name="40% - akcent 2 7 2 3 5" xfId="19679"/>
    <cellStyle name="40% - akcent 2 7 2 3 5 2" xfId="19680"/>
    <cellStyle name="40% - akcent 2 7 2 3 6" xfId="19681"/>
    <cellStyle name="40% - akcent 2 7 2 4" xfId="19682"/>
    <cellStyle name="40% - akcent 2 7 2 4 2" xfId="19683"/>
    <cellStyle name="40% - akcent 2 7 2 4 2 2" xfId="19684"/>
    <cellStyle name="40% - akcent 2 7 2 4 2 2 2" xfId="19685"/>
    <cellStyle name="40% - akcent 2 7 2 4 2 3" xfId="19686"/>
    <cellStyle name="40% - akcent 2 7 2 4 3" xfId="19687"/>
    <cellStyle name="40% - akcent 2 7 2 4 3 2" xfId="19688"/>
    <cellStyle name="40% - akcent 2 7 2 4 3 2 2" xfId="19689"/>
    <cellStyle name="40% - akcent 2 7 2 4 3 3" xfId="19690"/>
    <cellStyle name="40% - akcent 2 7 2 4 4" xfId="19691"/>
    <cellStyle name="40% - akcent 2 7 2 4 4 2" xfId="19692"/>
    <cellStyle name="40% - akcent 2 7 2 4 4 2 2" xfId="19693"/>
    <cellStyle name="40% - akcent 2 7 2 4 4 3" xfId="19694"/>
    <cellStyle name="40% - akcent 2 7 2 4 5" xfId="19695"/>
    <cellStyle name="40% - akcent 2 7 2 4 5 2" xfId="19696"/>
    <cellStyle name="40% - akcent 2 7 2 4 6" xfId="19697"/>
    <cellStyle name="40% - akcent 2 7 2 5" xfId="19698"/>
    <cellStyle name="40% - akcent 2 7 2 6" xfId="19699"/>
    <cellStyle name="40% - akcent 2 7 2 6 2" xfId="19700"/>
    <cellStyle name="40% - akcent 2 7 2 6 2 2" xfId="19701"/>
    <cellStyle name="40% - akcent 2 7 2 6 3" xfId="19702"/>
    <cellStyle name="40% - akcent 2 7 2 7" xfId="19703"/>
    <cellStyle name="40% - akcent 2 7 2 7 2" xfId="19704"/>
    <cellStyle name="40% - akcent 2 7 2 7 2 2" xfId="19705"/>
    <cellStyle name="40% - akcent 2 7 2 7 3" xfId="19706"/>
    <cellStyle name="40% - akcent 2 7 2 8" xfId="19707"/>
    <cellStyle name="40% - akcent 2 7 2 8 2" xfId="19708"/>
    <cellStyle name="40% - akcent 2 7 2 8 2 2" xfId="19709"/>
    <cellStyle name="40% - akcent 2 7 2 8 3" xfId="19710"/>
    <cellStyle name="40% - akcent 2 7 2 9" xfId="19711"/>
    <cellStyle name="40% - akcent 2 7 2 9 2" xfId="19712"/>
    <cellStyle name="40% - akcent 2 7 3" xfId="19713"/>
    <cellStyle name="40% - akcent 2 7 3 2" xfId="19714"/>
    <cellStyle name="40% - akcent 2 7 3 2 2" xfId="19715"/>
    <cellStyle name="40% - akcent 2 7 3 2 2 2" xfId="19716"/>
    <cellStyle name="40% - akcent 2 7 3 2 2 2 2" xfId="19717"/>
    <cellStyle name="40% - akcent 2 7 3 2 2 3" xfId="19718"/>
    <cellStyle name="40% - akcent 2 7 3 2 3" xfId="19719"/>
    <cellStyle name="40% - akcent 2 7 3 2 3 2" xfId="19720"/>
    <cellStyle name="40% - akcent 2 7 3 2 3 2 2" xfId="19721"/>
    <cellStyle name="40% - akcent 2 7 3 2 3 3" xfId="19722"/>
    <cellStyle name="40% - akcent 2 7 3 2 4" xfId="19723"/>
    <cellStyle name="40% - akcent 2 7 3 2 4 2" xfId="19724"/>
    <cellStyle name="40% - akcent 2 7 3 2 4 2 2" xfId="19725"/>
    <cellStyle name="40% - akcent 2 7 3 2 4 3" xfId="19726"/>
    <cellStyle name="40% - akcent 2 7 3 2 5" xfId="19727"/>
    <cellStyle name="40% - akcent 2 7 3 2 5 2" xfId="19728"/>
    <cellStyle name="40% - akcent 2 7 3 2 6" xfId="19729"/>
    <cellStyle name="40% - akcent 2 7 3 3" xfId="19730"/>
    <cellStyle name="40% - akcent 2 7 3 3 2" xfId="19731"/>
    <cellStyle name="40% - akcent 2 7 3 3 2 2" xfId="19732"/>
    <cellStyle name="40% - akcent 2 7 3 3 3" xfId="19733"/>
    <cellStyle name="40% - akcent 2 7 3 4" xfId="19734"/>
    <cellStyle name="40% - akcent 2 7 3 4 2" xfId="19735"/>
    <cellStyle name="40% - akcent 2 7 3 4 2 2" xfId="19736"/>
    <cellStyle name="40% - akcent 2 7 3 4 3" xfId="19737"/>
    <cellStyle name="40% - akcent 2 7 3 5" xfId="19738"/>
    <cellStyle name="40% - akcent 2 7 3 5 2" xfId="19739"/>
    <cellStyle name="40% - akcent 2 7 3 5 2 2" xfId="19740"/>
    <cellStyle name="40% - akcent 2 7 3 5 3" xfId="19741"/>
    <cellStyle name="40% - akcent 2 7 3 6" xfId="19742"/>
    <cellStyle name="40% - akcent 2 7 3 6 2" xfId="19743"/>
    <cellStyle name="40% - akcent 2 7 3 7" xfId="19744"/>
    <cellStyle name="40% - akcent 2 7 4" xfId="19745"/>
    <cellStyle name="40% - akcent 2 7 4 2" xfId="19746"/>
    <cellStyle name="40% - akcent 2 7 4 2 2" xfId="19747"/>
    <cellStyle name="40% - akcent 2 7 4 2 2 2" xfId="19748"/>
    <cellStyle name="40% - akcent 2 7 4 2 3" xfId="19749"/>
    <cellStyle name="40% - akcent 2 7 4 3" xfId="19750"/>
    <cellStyle name="40% - akcent 2 7 4 3 2" xfId="19751"/>
    <cellStyle name="40% - akcent 2 7 4 3 2 2" xfId="19752"/>
    <cellStyle name="40% - akcent 2 7 4 3 3" xfId="19753"/>
    <cellStyle name="40% - akcent 2 7 4 4" xfId="19754"/>
    <cellStyle name="40% - akcent 2 7 4 4 2" xfId="19755"/>
    <cellStyle name="40% - akcent 2 7 4 4 2 2" xfId="19756"/>
    <cellStyle name="40% - akcent 2 7 4 4 3" xfId="19757"/>
    <cellStyle name="40% - akcent 2 7 4 5" xfId="19758"/>
    <cellStyle name="40% - akcent 2 7 4 5 2" xfId="19759"/>
    <cellStyle name="40% - akcent 2 7 4 6" xfId="19760"/>
    <cellStyle name="40% - akcent 2 7 5" xfId="19761"/>
    <cellStyle name="40% - akcent 2 7 5 2" xfId="19762"/>
    <cellStyle name="40% - akcent 2 7 5 2 2" xfId="19763"/>
    <cellStyle name="40% - akcent 2 7 5 2 2 2" xfId="19764"/>
    <cellStyle name="40% - akcent 2 7 5 2 3" xfId="19765"/>
    <cellStyle name="40% - akcent 2 7 5 3" xfId="19766"/>
    <cellStyle name="40% - akcent 2 7 5 3 2" xfId="19767"/>
    <cellStyle name="40% - akcent 2 7 5 3 2 2" xfId="19768"/>
    <cellStyle name="40% - akcent 2 7 5 3 3" xfId="19769"/>
    <cellStyle name="40% - akcent 2 7 5 4" xfId="19770"/>
    <cellStyle name="40% - akcent 2 7 5 4 2" xfId="19771"/>
    <cellStyle name="40% - akcent 2 7 5 4 2 2" xfId="19772"/>
    <cellStyle name="40% - akcent 2 7 5 4 3" xfId="19773"/>
    <cellStyle name="40% - akcent 2 7 5 5" xfId="19774"/>
    <cellStyle name="40% - akcent 2 7 5 5 2" xfId="19775"/>
    <cellStyle name="40% - akcent 2 7 5 6" xfId="19776"/>
    <cellStyle name="40% - akcent 2 7 6" xfId="19777"/>
    <cellStyle name="40% - akcent 2 7 7" xfId="19778"/>
    <cellStyle name="40% - akcent 2 7 7 2" xfId="19779"/>
    <cellStyle name="40% - akcent 2 7 7 2 2" xfId="19780"/>
    <cellStyle name="40% - akcent 2 7 7 2 2 2" xfId="19781"/>
    <cellStyle name="40% - akcent 2 7 7 2 3" xfId="19782"/>
    <cellStyle name="40% - akcent 2 7 7 3" xfId="19783"/>
    <cellStyle name="40% - akcent 2 7 7 3 2" xfId="19784"/>
    <cellStyle name="40% - akcent 2 7 7 3 2 2" xfId="19785"/>
    <cellStyle name="40% - akcent 2 7 7 3 3" xfId="19786"/>
    <cellStyle name="40% - akcent 2 7 7 4" xfId="19787"/>
    <cellStyle name="40% - akcent 2 7 7 4 2" xfId="19788"/>
    <cellStyle name="40% - akcent 2 7 7 4 2 2" xfId="19789"/>
    <cellStyle name="40% - akcent 2 7 7 4 3" xfId="19790"/>
    <cellStyle name="40% - akcent 2 7 7 5" xfId="19791"/>
    <cellStyle name="40% - akcent 2 7 7 5 2" xfId="19792"/>
    <cellStyle name="40% - akcent 2 7 7 6" xfId="19793"/>
    <cellStyle name="40% - akcent 2 7_Arkusz1" xfId="19794"/>
    <cellStyle name="40% - akcent 2 8" xfId="19795"/>
    <cellStyle name="40% - akcent 2 8 2" xfId="19796"/>
    <cellStyle name="40% - akcent 2 8 3" xfId="19797"/>
    <cellStyle name="40% - akcent 2 8_Arkusz1" xfId="19798"/>
    <cellStyle name="40% - akcent 2 9" xfId="19799"/>
    <cellStyle name="40% - akcent 2 9 2" xfId="19800"/>
    <cellStyle name="40% - akcent 2 9_Arkusz1" xfId="19801"/>
    <cellStyle name="40% - akcent 3 10" xfId="19802"/>
    <cellStyle name="40% - akcent 3 10 2" xfId="19803"/>
    <cellStyle name="40% - akcent 3 10_Arkusz1" xfId="19804"/>
    <cellStyle name="40% - akcent 3 11" xfId="19805"/>
    <cellStyle name="40% - akcent 3 12" xfId="19806"/>
    <cellStyle name="40% - akcent 3 13" xfId="19807"/>
    <cellStyle name="40% - akcent 3 2" xfId="19808"/>
    <cellStyle name="40% - akcent 3 2 10" xfId="19809"/>
    <cellStyle name="40% - akcent 3 2 11" xfId="19810"/>
    <cellStyle name="40% - akcent 3 2 11 2" xfId="19811"/>
    <cellStyle name="40% - akcent 3 2 2" xfId="19812"/>
    <cellStyle name="40% - akcent 3 2 2 2" xfId="19813"/>
    <cellStyle name="40% - akcent 3 2 2 2 2" xfId="19814"/>
    <cellStyle name="40% - akcent 3 2 2 2 2 2" xfId="19815"/>
    <cellStyle name="40% - akcent 3 2 2 2 2 2 2" xfId="19816"/>
    <cellStyle name="40% - akcent 3 2 2 2 2 2 2 2" xfId="19817"/>
    <cellStyle name="40% - akcent 3 2 2 2 2 2 2 2 2" xfId="19818"/>
    <cellStyle name="40% - akcent 3 2 2 2 2 2 2 2 2 2" xfId="19819"/>
    <cellStyle name="40% - akcent 3 2 2 2 2 2 2 2 3" xfId="19820"/>
    <cellStyle name="40% - akcent 3 2 2 2 2 2 2 3" xfId="19821"/>
    <cellStyle name="40% - akcent 3 2 2 2 2 2 2 3 2" xfId="19822"/>
    <cellStyle name="40% - akcent 3 2 2 2 2 2 2 3 2 2" xfId="19823"/>
    <cellStyle name="40% - akcent 3 2 2 2 2 2 2 3 3" xfId="19824"/>
    <cellStyle name="40% - akcent 3 2 2 2 2 2 2 4" xfId="19825"/>
    <cellStyle name="40% - akcent 3 2 2 2 2 2 2 4 2" xfId="19826"/>
    <cellStyle name="40% - akcent 3 2 2 2 2 2 2 4 2 2" xfId="19827"/>
    <cellStyle name="40% - akcent 3 2 2 2 2 2 2 4 3" xfId="19828"/>
    <cellStyle name="40% - akcent 3 2 2 2 2 2 2 5" xfId="19829"/>
    <cellStyle name="40% - akcent 3 2 2 2 2 2 2 5 2" xfId="19830"/>
    <cellStyle name="40% - akcent 3 2 2 2 2 2 2 6" xfId="19831"/>
    <cellStyle name="40% - akcent 3 2 2 2 2 2 3" xfId="19832"/>
    <cellStyle name="40% - akcent 3 2 2 2 2 2 3 2" xfId="19833"/>
    <cellStyle name="40% - akcent 3 2 2 2 2 2 3 2 2" xfId="19834"/>
    <cellStyle name="40% - akcent 3 2 2 2 2 2 3 3" xfId="19835"/>
    <cellStyle name="40% - akcent 3 2 2 2 2 2 4" xfId="19836"/>
    <cellStyle name="40% - akcent 3 2 2 2 2 2 4 2" xfId="19837"/>
    <cellStyle name="40% - akcent 3 2 2 2 2 2 4 2 2" xfId="19838"/>
    <cellStyle name="40% - akcent 3 2 2 2 2 2 4 3" xfId="19839"/>
    <cellStyle name="40% - akcent 3 2 2 2 2 2 5" xfId="19840"/>
    <cellStyle name="40% - akcent 3 2 2 2 2 2 5 2" xfId="19841"/>
    <cellStyle name="40% - akcent 3 2 2 2 2 2 5 2 2" xfId="19842"/>
    <cellStyle name="40% - akcent 3 2 2 2 2 2 5 3" xfId="19843"/>
    <cellStyle name="40% - akcent 3 2 2 2 2 2 6" xfId="19844"/>
    <cellStyle name="40% - akcent 3 2 2 2 2 2 6 2" xfId="19845"/>
    <cellStyle name="40% - akcent 3 2 2 2 2 2 7" xfId="19846"/>
    <cellStyle name="40% - akcent 3 2 2 2 2 3" xfId="19847"/>
    <cellStyle name="40% - akcent 3 2 2 2 2 3 2" xfId="19848"/>
    <cellStyle name="40% - akcent 3 2 2 2 2 3 2 2" xfId="19849"/>
    <cellStyle name="40% - akcent 3 2 2 2 2 3 2 2 2" xfId="19850"/>
    <cellStyle name="40% - akcent 3 2 2 2 2 3 2 3" xfId="19851"/>
    <cellStyle name="40% - akcent 3 2 2 2 2 3 3" xfId="19852"/>
    <cellStyle name="40% - akcent 3 2 2 2 2 3 3 2" xfId="19853"/>
    <cellStyle name="40% - akcent 3 2 2 2 2 3 3 2 2" xfId="19854"/>
    <cellStyle name="40% - akcent 3 2 2 2 2 3 3 3" xfId="19855"/>
    <cellStyle name="40% - akcent 3 2 2 2 2 3 4" xfId="19856"/>
    <cellStyle name="40% - akcent 3 2 2 2 2 3 4 2" xfId="19857"/>
    <cellStyle name="40% - akcent 3 2 2 2 2 3 4 2 2" xfId="19858"/>
    <cellStyle name="40% - akcent 3 2 2 2 2 3 4 3" xfId="19859"/>
    <cellStyle name="40% - akcent 3 2 2 2 2 3 5" xfId="19860"/>
    <cellStyle name="40% - akcent 3 2 2 2 2 3 5 2" xfId="19861"/>
    <cellStyle name="40% - akcent 3 2 2 2 2 3 6" xfId="19862"/>
    <cellStyle name="40% - akcent 3 2 2 2 2 4" xfId="19863"/>
    <cellStyle name="40% - akcent 3 2 2 2 2 4 2" xfId="19864"/>
    <cellStyle name="40% - akcent 3 2 2 2 2 4 2 2" xfId="19865"/>
    <cellStyle name="40% - akcent 3 2 2 2 2 4 2 2 2" xfId="19866"/>
    <cellStyle name="40% - akcent 3 2 2 2 2 4 2 3" xfId="19867"/>
    <cellStyle name="40% - akcent 3 2 2 2 2 4 3" xfId="19868"/>
    <cellStyle name="40% - akcent 3 2 2 2 2 4 3 2" xfId="19869"/>
    <cellStyle name="40% - akcent 3 2 2 2 2 4 3 2 2" xfId="19870"/>
    <cellStyle name="40% - akcent 3 2 2 2 2 4 3 3" xfId="19871"/>
    <cellStyle name="40% - akcent 3 2 2 2 2 4 4" xfId="19872"/>
    <cellStyle name="40% - akcent 3 2 2 2 2 4 4 2" xfId="19873"/>
    <cellStyle name="40% - akcent 3 2 2 2 2 4 4 2 2" xfId="19874"/>
    <cellStyle name="40% - akcent 3 2 2 2 2 4 4 3" xfId="19875"/>
    <cellStyle name="40% - akcent 3 2 2 2 2 4 5" xfId="19876"/>
    <cellStyle name="40% - akcent 3 2 2 2 2 4 5 2" xfId="19877"/>
    <cellStyle name="40% - akcent 3 2 2 2 2 4 6" xfId="19878"/>
    <cellStyle name="40% - akcent 3 2 2 2 2 5" xfId="19879"/>
    <cellStyle name="40% - akcent 3 2 2 2 2 5 2" xfId="19880"/>
    <cellStyle name="40% - akcent 3 2 2 2 2 5 2 2" xfId="19881"/>
    <cellStyle name="40% - akcent 3 2 2 2 2 5 3" xfId="19882"/>
    <cellStyle name="40% - akcent 3 2 2 2 2 6" xfId="19883"/>
    <cellStyle name="40% - akcent 3 2 2 2 2 6 2" xfId="19884"/>
    <cellStyle name="40% - akcent 3 2 2 2 2 6 2 2" xfId="19885"/>
    <cellStyle name="40% - akcent 3 2 2 2 2 6 3" xfId="19886"/>
    <cellStyle name="40% - akcent 3 2 2 2 2 7" xfId="19887"/>
    <cellStyle name="40% - akcent 3 2 2 2 2 7 2" xfId="19888"/>
    <cellStyle name="40% - akcent 3 2 2 2 2 7 2 2" xfId="19889"/>
    <cellStyle name="40% - akcent 3 2 2 2 2 7 3" xfId="19890"/>
    <cellStyle name="40% - akcent 3 2 2 2 2 8" xfId="19891"/>
    <cellStyle name="40% - akcent 3 2 2 2 2 8 2" xfId="19892"/>
    <cellStyle name="40% - akcent 3 2 2 2 2 9" xfId="19893"/>
    <cellStyle name="40% - akcent 3 2 2 2 3" xfId="19894"/>
    <cellStyle name="40% - akcent 3 2 2 2 3 2" xfId="19895"/>
    <cellStyle name="40% - akcent 3 2 2 2 3 2 2" xfId="19896"/>
    <cellStyle name="40% - akcent 3 2 2 2 3 2 2 2" xfId="19897"/>
    <cellStyle name="40% - akcent 3 2 2 2 3 2 2 2 2" xfId="19898"/>
    <cellStyle name="40% - akcent 3 2 2 2 3 2 2 3" xfId="19899"/>
    <cellStyle name="40% - akcent 3 2 2 2 3 2 3" xfId="19900"/>
    <cellStyle name="40% - akcent 3 2 2 2 3 2 3 2" xfId="19901"/>
    <cellStyle name="40% - akcent 3 2 2 2 3 2 3 2 2" xfId="19902"/>
    <cellStyle name="40% - akcent 3 2 2 2 3 2 3 3" xfId="19903"/>
    <cellStyle name="40% - akcent 3 2 2 2 3 2 4" xfId="19904"/>
    <cellStyle name="40% - akcent 3 2 2 2 3 2 4 2" xfId="19905"/>
    <cellStyle name="40% - akcent 3 2 2 2 3 2 4 2 2" xfId="19906"/>
    <cellStyle name="40% - akcent 3 2 2 2 3 2 4 3" xfId="19907"/>
    <cellStyle name="40% - akcent 3 2 2 2 3 2 5" xfId="19908"/>
    <cellStyle name="40% - akcent 3 2 2 2 3 2 5 2" xfId="19909"/>
    <cellStyle name="40% - akcent 3 2 2 2 3 2 6" xfId="19910"/>
    <cellStyle name="40% - akcent 3 2 2 2 3 3" xfId="19911"/>
    <cellStyle name="40% - akcent 3 2 2 2 3 3 2" xfId="19912"/>
    <cellStyle name="40% - akcent 3 2 2 2 3 3 2 2" xfId="19913"/>
    <cellStyle name="40% - akcent 3 2 2 2 3 3 3" xfId="19914"/>
    <cellStyle name="40% - akcent 3 2 2 2 3 4" xfId="19915"/>
    <cellStyle name="40% - akcent 3 2 2 2 3 4 2" xfId="19916"/>
    <cellStyle name="40% - akcent 3 2 2 2 3 4 2 2" xfId="19917"/>
    <cellStyle name="40% - akcent 3 2 2 2 3 4 3" xfId="19918"/>
    <cellStyle name="40% - akcent 3 2 2 2 3 5" xfId="19919"/>
    <cellStyle name="40% - akcent 3 2 2 2 3 5 2" xfId="19920"/>
    <cellStyle name="40% - akcent 3 2 2 2 3 5 2 2" xfId="19921"/>
    <cellStyle name="40% - akcent 3 2 2 2 3 5 3" xfId="19922"/>
    <cellStyle name="40% - akcent 3 2 2 2 3 6" xfId="19923"/>
    <cellStyle name="40% - akcent 3 2 2 2 3 6 2" xfId="19924"/>
    <cellStyle name="40% - akcent 3 2 2 2 3 7" xfId="19925"/>
    <cellStyle name="40% - akcent 3 2 2 2 4" xfId="19926"/>
    <cellStyle name="40% - akcent 3 2 2 2 4 2" xfId="19927"/>
    <cellStyle name="40% - akcent 3 2 2 2 4 2 2" xfId="19928"/>
    <cellStyle name="40% - akcent 3 2 2 2 4 2 2 2" xfId="19929"/>
    <cellStyle name="40% - akcent 3 2 2 2 4 2 3" xfId="19930"/>
    <cellStyle name="40% - akcent 3 2 2 2 4 3" xfId="19931"/>
    <cellStyle name="40% - akcent 3 2 2 2 4 3 2" xfId="19932"/>
    <cellStyle name="40% - akcent 3 2 2 2 4 3 2 2" xfId="19933"/>
    <cellStyle name="40% - akcent 3 2 2 2 4 3 3" xfId="19934"/>
    <cellStyle name="40% - akcent 3 2 2 2 4 4" xfId="19935"/>
    <cellStyle name="40% - akcent 3 2 2 2 4 4 2" xfId="19936"/>
    <cellStyle name="40% - akcent 3 2 2 2 4 4 2 2" xfId="19937"/>
    <cellStyle name="40% - akcent 3 2 2 2 4 4 3" xfId="19938"/>
    <cellStyle name="40% - akcent 3 2 2 2 4 5" xfId="19939"/>
    <cellStyle name="40% - akcent 3 2 2 2 4 5 2" xfId="19940"/>
    <cellStyle name="40% - akcent 3 2 2 2 4 6" xfId="19941"/>
    <cellStyle name="40% - akcent 3 2 2 2 5" xfId="19942"/>
    <cellStyle name="40% - akcent 3 2 2 2 5 2" xfId="19943"/>
    <cellStyle name="40% - akcent 3 2 2 2 5 2 2" xfId="19944"/>
    <cellStyle name="40% - akcent 3 2 2 2 5 2 2 2" xfId="19945"/>
    <cellStyle name="40% - akcent 3 2 2 2 5 2 3" xfId="19946"/>
    <cellStyle name="40% - akcent 3 2 2 2 5 3" xfId="19947"/>
    <cellStyle name="40% - akcent 3 2 2 2 5 3 2" xfId="19948"/>
    <cellStyle name="40% - akcent 3 2 2 2 5 3 2 2" xfId="19949"/>
    <cellStyle name="40% - akcent 3 2 2 2 5 3 3" xfId="19950"/>
    <cellStyle name="40% - akcent 3 2 2 2 5 4" xfId="19951"/>
    <cellStyle name="40% - akcent 3 2 2 2 5 4 2" xfId="19952"/>
    <cellStyle name="40% - akcent 3 2 2 2 5 4 2 2" xfId="19953"/>
    <cellStyle name="40% - akcent 3 2 2 2 5 4 3" xfId="19954"/>
    <cellStyle name="40% - akcent 3 2 2 2 5 5" xfId="19955"/>
    <cellStyle name="40% - akcent 3 2 2 2 5 5 2" xfId="19956"/>
    <cellStyle name="40% - akcent 3 2 2 2 5 6" xfId="19957"/>
    <cellStyle name="40% - akcent 3 2 2 2 6" xfId="19958"/>
    <cellStyle name="40% - akcent 3 2 2 2 6 2" xfId="19959"/>
    <cellStyle name="40% - akcent 3 2 2 2 6 2 2" xfId="19960"/>
    <cellStyle name="40% - akcent 3 2 2 2 6 2 2 2" xfId="19961"/>
    <cellStyle name="40% - akcent 3 2 2 2 6 2 3" xfId="19962"/>
    <cellStyle name="40% - akcent 3 2 2 2 6 3" xfId="19963"/>
    <cellStyle name="40% - akcent 3 2 2 2 6 3 2" xfId="19964"/>
    <cellStyle name="40% - akcent 3 2 2 2 6 3 2 2" xfId="19965"/>
    <cellStyle name="40% - akcent 3 2 2 2 6 3 3" xfId="19966"/>
    <cellStyle name="40% - akcent 3 2 2 2 6 4" xfId="19967"/>
    <cellStyle name="40% - akcent 3 2 2 2 6 4 2" xfId="19968"/>
    <cellStyle name="40% - akcent 3 2 2 2 6 4 2 2" xfId="19969"/>
    <cellStyle name="40% - akcent 3 2 2 2 6 4 3" xfId="19970"/>
    <cellStyle name="40% - akcent 3 2 2 2 6 5" xfId="19971"/>
    <cellStyle name="40% - akcent 3 2 2 2 6 5 2" xfId="19972"/>
    <cellStyle name="40% - akcent 3 2 2 2 6 6" xfId="19973"/>
    <cellStyle name="40% - akcent 3 2 2 3" xfId="19974"/>
    <cellStyle name="40% - akcent 3 2 2 3 2" xfId="19975"/>
    <cellStyle name="40% - akcent 3 2 2 3 2 2" xfId="19976"/>
    <cellStyle name="40% - akcent 3 2 2 3 2 2 2" xfId="19977"/>
    <cellStyle name="40% - akcent 3 2 2 3 2 2 2 2" xfId="19978"/>
    <cellStyle name="40% - akcent 3 2 2 3 2 2 2 2 2" xfId="19979"/>
    <cellStyle name="40% - akcent 3 2 2 3 2 2 2 3" xfId="19980"/>
    <cellStyle name="40% - akcent 3 2 2 3 2 2 3" xfId="19981"/>
    <cellStyle name="40% - akcent 3 2 2 3 2 2 3 2" xfId="19982"/>
    <cellStyle name="40% - akcent 3 2 2 3 2 2 3 2 2" xfId="19983"/>
    <cellStyle name="40% - akcent 3 2 2 3 2 2 3 3" xfId="19984"/>
    <cellStyle name="40% - akcent 3 2 2 3 2 2 4" xfId="19985"/>
    <cellStyle name="40% - akcent 3 2 2 3 2 2 4 2" xfId="19986"/>
    <cellStyle name="40% - akcent 3 2 2 3 2 2 4 2 2" xfId="19987"/>
    <cellStyle name="40% - akcent 3 2 2 3 2 2 4 3" xfId="19988"/>
    <cellStyle name="40% - akcent 3 2 2 3 2 2 5" xfId="19989"/>
    <cellStyle name="40% - akcent 3 2 2 3 2 2 5 2" xfId="19990"/>
    <cellStyle name="40% - akcent 3 2 2 3 2 2 6" xfId="19991"/>
    <cellStyle name="40% - akcent 3 2 2 3 2 3" xfId="19992"/>
    <cellStyle name="40% - akcent 3 2 2 3 2 3 2" xfId="19993"/>
    <cellStyle name="40% - akcent 3 2 2 3 2 3 2 2" xfId="19994"/>
    <cellStyle name="40% - akcent 3 2 2 3 2 3 3" xfId="19995"/>
    <cellStyle name="40% - akcent 3 2 2 3 2 4" xfId="19996"/>
    <cellStyle name="40% - akcent 3 2 2 3 2 4 2" xfId="19997"/>
    <cellStyle name="40% - akcent 3 2 2 3 2 4 2 2" xfId="19998"/>
    <cellStyle name="40% - akcent 3 2 2 3 2 4 3" xfId="19999"/>
    <cellStyle name="40% - akcent 3 2 2 3 2 5" xfId="20000"/>
    <cellStyle name="40% - akcent 3 2 2 3 2 5 2" xfId="20001"/>
    <cellStyle name="40% - akcent 3 2 2 3 2 5 2 2" xfId="20002"/>
    <cellStyle name="40% - akcent 3 2 2 3 2 5 3" xfId="20003"/>
    <cellStyle name="40% - akcent 3 2 2 3 2 6" xfId="20004"/>
    <cellStyle name="40% - akcent 3 2 2 3 2 6 2" xfId="20005"/>
    <cellStyle name="40% - akcent 3 2 2 3 2 7" xfId="20006"/>
    <cellStyle name="40% - akcent 3 2 2 3 3" xfId="20007"/>
    <cellStyle name="40% - akcent 3 2 2 3 3 2" xfId="20008"/>
    <cellStyle name="40% - akcent 3 2 2 3 3 2 2" xfId="20009"/>
    <cellStyle name="40% - akcent 3 2 2 3 3 2 2 2" xfId="20010"/>
    <cellStyle name="40% - akcent 3 2 2 3 3 2 3" xfId="20011"/>
    <cellStyle name="40% - akcent 3 2 2 3 3 3" xfId="20012"/>
    <cellStyle name="40% - akcent 3 2 2 3 3 3 2" xfId="20013"/>
    <cellStyle name="40% - akcent 3 2 2 3 3 3 2 2" xfId="20014"/>
    <cellStyle name="40% - akcent 3 2 2 3 3 3 3" xfId="20015"/>
    <cellStyle name="40% - akcent 3 2 2 3 3 4" xfId="20016"/>
    <cellStyle name="40% - akcent 3 2 2 3 3 4 2" xfId="20017"/>
    <cellStyle name="40% - akcent 3 2 2 3 3 4 2 2" xfId="20018"/>
    <cellStyle name="40% - akcent 3 2 2 3 3 4 3" xfId="20019"/>
    <cellStyle name="40% - akcent 3 2 2 3 3 5" xfId="20020"/>
    <cellStyle name="40% - akcent 3 2 2 3 3 5 2" xfId="20021"/>
    <cellStyle name="40% - akcent 3 2 2 3 3 6" xfId="20022"/>
    <cellStyle name="40% - akcent 3 2 2 3 4" xfId="20023"/>
    <cellStyle name="40% - akcent 3 2 2 3 4 2" xfId="20024"/>
    <cellStyle name="40% - akcent 3 2 2 3 4 2 2" xfId="20025"/>
    <cellStyle name="40% - akcent 3 2 2 3 4 2 2 2" xfId="20026"/>
    <cellStyle name="40% - akcent 3 2 2 3 4 2 3" xfId="20027"/>
    <cellStyle name="40% - akcent 3 2 2 3 4 3" xfId="20028"/>
    <cellStyle name="40% - akcent 3 2 2 3 4 3 2" xfId="20029"/>
    <cellStyle name="40% - akcent 3 2 2 3 4 3 2 2" xfId="20030"/>
    <cellStyle name="40% - akcent 3 2 2 3 4 3 3" xfId="20031"/>
    <cellStyle name="40% - akcent 3 2 2 3 4 4" xfId="20032"/>
    <cellStyle name="40% - akcent 3 2 2 3 4 4 2" xfId="20033"/>
    <cellStyle name="40% - akcent 3 2 2 3 4 4 2 2" xfId="20034"/>
    <cellStyle name="40% - akcent 3 2 2 3 4 4 3" xfId="20035"/>
    <cellStyle name="40% - akcent 3 2 2 3 4 5" xfId="20036"/>
    <cellStyle name="40% - akcent 3 2 2 3 4 5 2" xfId="20037"/>
    <cellStyle name="40% - akcent 3 2 2 3 4 6" xfId="20038"/>
    <cellStyle name="40% - akcent 3 2 2 3 5" xfId="20039"/>
    <cellStyle name="40% - akcent 3 2 2 3 5 2" xfId="20040"/>
    <cellStyle name="40% - akcent 3 2 2 3 5 2 2" xfId="20041"/>
    <cellStyle name="40% - akcent 3 2 2 3 5 2 2 2" xfId="20042"/>
    <cellStyle name="40% - akcent 3 2 2 3 5 2 3" xfId="20043"/>
    <cellStyle name="40% - akcent 3 2 2 3 5 3" xfId="20044"/>
    <cellStyle name="40% - akcent 3 2 2 3 5 3 2" xfId="20045"/>
    <cellStyle name="40% - akcent 3 2 2 3 5 3 2 2" xfId="20046"/>
    <cellStyle name="40% - akcent 3 2 2 3 5 3 3" xfId="20047"/>
    <cellStyle name="40% - akcent 3 2 2 3 5 4" xfId="20048"/>
    <cellStyle name="40% - akcent 3 2 2 3 5 4 2" xfId="20049"/>
    <cellStyle name="40% - akcent 3 2 2 3 5 4 2 2" xfId="20050"/>
    <cellStyle name="40% - akcent 3 2 2 3 5 4 3" xfId="20051"/>
    <cellStyle name="40% - akcent 3 2 2 3 5 5" xfId="20052"/>
    <cellStyle name="40% - akcent 3 2 2 3 5 5 2" xfId="20053"/>
    <cellStyle name="40% - akcent 3 2 2 3 5 6" xfId="20054"/>
    <cellStyle name="40% - akcent 3 2 2 4" xfId="20055"/>
    <cellStyle name="40% - akcent 3 2 2 4 2" xfId="20056"/>
    <cellStyle name="40% - akcent 3 2 2 4 2 2" xfId="20057"/>
    <cellStyle name="40% - akcent 3 2 2 4 2 2 2" xfId="20058"/>
    <cellStyle name="40% - akcent 3 2 2 4 2 2 2 2" xfId="20059"/>
    <cellStyle name="40% - akcent 3 2 2 4 2 2 3" xfId="20060"/>
    <cellStyle name="40% - akcent 3 2 2 4 2 3" xfId="20061"/>
    <cellStyle name="40% - akcent 3 2 2 4 2 3 2" xfId="20062"/>
    <cellStyle name="40% - akcent 3 2 2 4 2 3 2 2" xfId="20063"/>
    <cellStyle name="40% - akcent 3 2 2 4 2 3 3" xfId="20064"/>
    <cellStyle name="40% - akcent 3 2 2 4 2 4" xfId="20065"/>
    <cellStyle name="40% - akcent 3 2 2 4 2 4 2" xfId="20066"/>
    <cellStyle name="40% - akcent 3 2 2 4 2 4 2 2" xfId="20067"/>
    <cellStyle name="40% - akcent 3 2 2 4 2 4 3" xfId="20068"/>
    <cellStyle name="40% - akcent 3 2 2 4 2 5" xfId="20069"/>
    <cellStyle name="40% - akcent 3 2 2 4 2 5 2" xfId="20070"/>
    <cellStyle name="40% - akcent 3 2 2 4 2 6" xfId="20071"/>
    <cellStyle name="40% - akcent 3 2 2 4 3" xfId="20072"/>
    <cellStyle name="40% - akcent 3 2 2 4 3 2" xfId="20073"/>
    <cellStyle name="40% - akcent 3 2 2 4 3 2 2" xfId="20074"/>
    <cellStyle name="40% - akcent 3 2 2 4 3 3" xfId="20075"/>
    <cellStyle name="40% - akcent 3 2 2 4 4" xfId="20076"/>
    <cellStyle name="40% - akcent 3 2 2 4 4 2" xfId="20077"/>
    <cellStyle name="40% - akcent 3 2 2 4 4 2 2" xfId="20078"/>
    <cellStyle name="40% - akcent 3 2 2 4 4 3" xfId="20079"/>
    <cellStyle name="40% - akcent 3 2 2 4 5" xfId="20080"/>
    <cellStyle name="40% - akcent 3 2 2 4 5 2" xfId="20081"/>
    <cellStyle name="40% - akcent 3 2 2 4 5 2 2" xfId="20082"/>
    <cellStyle name="40% - akcent 3 2 2 4 5 3" xfId="20083"/>
    <cellStyle name="40% - akcent 3 2 2 4 6" xfId="20084"/>
    <cellStyle name="40% - akcent 3 2 2 4 6 2" xfId="20085"/>
    <cellStyle name="40% - akcent 3 2 2 4 7" xfId="20086"/>
    <cellStyle name="40% - akcent 3 2 2 5" xfId="20087"/>
    <cellStyle name="40% - akcent 3 2 2 5 2" xfId="20088"/>
    <cellStyle name="40% - akcent 3 2 2 5 2 2" xfId="20089"/>
    <cellStyle name="40% - akcent 3 2 2 5 2 2 2" xfId="20090"/>
    <cellStyle name="40% - akcent 3 2 2 5 2 3" xfId="20091"/>
    <cellStyle name="40% - akcent 3 2 2 5 3" xfId="20092"/>
    <cellStyle name="40% - akcent 3 2 2 5 3 2" xfId="20093"/>
    <cellStyle name="40% - akcent 3 2 2 5 3 2 2" xfId="20094"/>
    <cellStyle name="40% - akcent 3 2 2 5 3 3" xfId="20095"/>
    <cellStyle name="40% - akcent 3 2 2 5 4" xfId="20096"/>
    <cellStyle name="40% - akcent 3 2 2 5 4 2" xfId="20097"/>
    <cellStyle name="40% - akcent 3 2 2 5 4 2 2" xfId="20098"/>
    <cellStyle name="40% - akcent 3 2 2 5 4 3" xfId="20099"/>
    <cellStyle name="40% - akcent 3 2 2 5 5" xfId="20100"/>
    <cellStyle name="40% - akcent 3 2 2 5 5 2" xfId="20101"/>
    <cellStyle name="40% - akcent 3 2 2 5 6" xfId="20102"/>
    <cellStyle name="40% - akcent 3 2 2 6" xfId="20103"/>
    <cellStyle name="40% - akcent 3 2 2 6 2" xfId="20104"/>
    <cellStyle name="40% - akcent 3 2 2 6 2 2" xfId="20105"/>
    <cellStyle name="40% - akcent 3 2 2 6 2 2 2" xfId="20106"/>
    <cellStyle name="40% - akcent 3 2 2 6 2 3" xfId="20107"/>
    <cellStyle name="40% - akcent 3 2 2 6 3" xfId="20108"/>
    <cellStyle name="40% - akcent 3 2 2 6 3 2" xfId="20109"/>
    <cellStyle name="40% - akcent 3 2 2 6 3 2 2" xfId="20110"/>
    <cellStyle name="40% - akcent 3 2 2 6 3 3" xfId="20111"/>
    <cellStyle name="40% - akcent 3 2 2 6 4" xfId="20112"/>
    <cellStyle name="40% - akcent 3 2 2 6 4 2" xfId="20113"/>
    <cellStyle name="40% - akcent 3 2 2 6 4 2 2" xfId="20114"/>
    <cellStyle name="40% - akcent 3 2 2 6 4 3" xfId="20115"/>
    <cellStyle name="40% - akcent 3 2 2 6 5" xfId="20116"/>
    <cellStyle name="40% - akcent 3 2 2 6 5 2" xfId="20117"/>
    <cellStyle name="40% - akcent 3 2 2 6 6" xfId="20118"/>
    <cellStyle name="40% - akcent 3 2 2 7" xfId="20119"/>
    <cellStyle name="40% - akcent 3 2 2 8" xfId="20120"/>
    <cellStyle name="40% - akcent 3 2 2 8 2" xfId="20121"/>
    <cellStyle name="40% - akcent 3 2 2 8 2 2" xfId="20122"/>
    <cellStyle name="40% - akcent 3 2 2 8 2 2 2" xfId="20123"/>
    <cellStyle name="40% - akcent 3 2 2 8 2 3" xfId="20124"/>
    <cellStyle name="40% - akcent 3 2 2 8 3" xfId="20125"/>
    <cellStyle name="40% - akcent 3 2 2 8 3 2" xfId="20126"/>
    <cellStyle name="40% - akcent 3 2 2 8 3 2 2" xfId="20127"/>
    <cellStyle name="40% - akcent 3 2 2 8 3 3" xfId="20128"/>
    <cellStyle name="40% - akcent 3 2 2 8 4" xfId="20129"/>
    <cellStyle name="40% - akcent 3 2 2 8 4 2" xfId="20130"/>
    <cellStyle name="40% - akcent 3 2 2 8 4 2 2" xfId="20131"/>
    <cellStyle name="40% - akcent 3 2 2 8 4 3" xfId="20132"/>
    <cellStyle name="40% - akcent 3 2 2 8 5" xfId="20133"/>
    <cellStyle name="40% - akcent 3 2 2 8 5 2" xfId="20134"/>
    <cellStyle name="40% - akcent 3 2 2 8 6" xfId="20135"/>
    <cellStyle name="40% - akcent 3 2 2_2011'05 Raport PGE_DO-CO2" xfId="20136"/>
    <cellStyle name="40% - akcent 3 2 3" xfId="20137"/>
    <cellStyle name="40% - akcent 3 2 3 2" xfId="20138"/>
    <cellStyle name="40% - akcent 3 2 3 2 2" xfId="20139"/>
    <cellStyle name="40% - akcent 3 2 3 2 2 2" xfId="20140"/>
    <cellStyle name="40% - akcent 3 2 3 2 2 2 2" xfId="20141"/>
    <cellStyle name="40% - akcent 3 2 3 2 2 2 2 2" xfId="20142"/>
    <cellStyle name="40% - akcent 3 2 3 2 2 2 2 2 2" xfId="20143"/>
    <cellStyle name="40% - akcent 3 2 3 2 2 2 2 3" xfId="20144"/>
    <cellStyle name="40% - akcent 3 2 3 2 2 2 3" xfId="20145"/>
    <cellStyle name="40% - akcent 3 2 3 2 2 2 3 2" xfId="20146"/>
    <cellStyle name="40% - akcent 3 2 3 2 2 2 3 2 2" xfId="20147"/>
    <cellStyle name="40% - akcent 3 2 3 2 2 2 3 3" xfId="20148"/>
    <cellStyle name="40% - akcent 3 2 3 2 2 2 4" xfId="20149"/>
    <cellStyle name="40% - akcent 3 2 3 2 2 2 4 2" xfId="20150"/>
    <cellStyle name="40% - akcent 3 2 3 2 2 2 4 2 2" xfId="20151"/>
    <cellStyle name="40% - akcent 3 2 3 2 2 2 4 3" xfId="20152"/>
    <cellStyle name="40% - akcent 3 2 3 2 2 2 5" xfId="20153"/>
    <cellStyle name="40% - akcent 3 2 3 2 2 2 5 2" xfId="20154"/>
    <cellStyle name="40% - akcent 3 2 3 2 2 2 6" xfId="20155"/>
    <cellStyle name="40% - akcent 3 2 3 2 2 3" xfId="20156"/>
    <cellStyle name="40% - akcent 3 2 3 2 2 3 2" xfId="20157"/>
    <cellStyle name="40% - akcent 3 2 3 2 2 3 2 2" xfId="20158"/>
    <cellStyle name="40% - akcent 3 2 3 2 2 3 3" xfId="20159"/>
    <cellStyle name="40% - akcent 3 2 3 2 2 4" xfId="20160"/>
    <cellStyle name="40% - akcent 3 2 3 2 2 4 2" xfId="20161"/>
    <cellStyle name="40% - akcent 3 2 3 2 2 4 2 2" xfId="20162"/>
    <cellStyle name="40% - akcent 3 2 3 2 2 4 3" xfId="20163"/>
    <cellStyle name="40% - akcent 3 2 3 2 2 5" xfId="20164"/>
    <cellStyle name="40% - akcent 3 2 3 2 2 5 2" xfId="20165"/>
    <cellStyle name="40% - akcent 3 2 3 2 2 5 2 2" xfId="20166"/>
    <cellStyle name="40% - akcent 3 2 3 2 2 5 3" xfId="20167"/>
    <cellStyle name="40% - akcent 3 2 3 2 2 6" xfId="20168"/>
    <cellStyle name="40% - akcent 3 2 3 2 2 6 2" xfId="20169"/>
    <cellStyle name="40% - akcent 3 2 3 2 2 7" xfId="20170"/>
    <cellStyle name="40% - akcent 3 2 3 2 3" xfId="20171"/>
    <cellStyle name="40% - akcent 3 2 3 2 3 2" xfId="20172"/>
    <cellStyle name="40% - akcent 3 2 3 2 3 2 2" xfId="20173"/>
    <cellStyle name="40% - akcent 3 2 3 2 3 2 2 2" xfId="20174"/>
    <cellStyle name="40% - akcent 3 2 3 2 3 2 3" xfId="20175"/>
    <cellStyle name="40% - akcent 3 2 3 2 3 3" xfId="20176"/>
    <cellStyle name="40% - akcent 3 2 3 2 3 3 2" xfId="20177"/>
    <cellStyle name="40% - akcent 3 2 3 2 3 3 2 2" xfId="20178"/>
    <cellStyle name="40% - akcent 3 2 3 2 3 3 3" xfId="20179"/>
    <cellStyle name="40% - akcent 3 2 3 2 3 4" xfId="20180"/>
    <cellStyle name="40% - akcent 3 2 3 2 3 4 2" xfId="20181"/>
    <cellStyle name="40% - akcent 3 2 3 2 3 4 2 2" xfId="20182"/>
    <cellStyle name="40% - akcent 3 2 3 2 3 4 3" xfId="20183"/>
    <cellStyle name="40% - akcent 3 2 3 2 3 5" xfId="20184"/>
    <cellStyle name="40% - akcent 3 2 3 2 3 5 2" xfId="20185"/>
    <cellStyle name="40% - akcent 3 2 3 2 3 6" xfId="20186"/>
    <cellStyle name="40% - akcent 3 2 3 2 4" xfId="20187"/>
    <cellStyle name="40% - akcent 3 2 3 2 4 2" xfId="20188"/>
    <cellStyle name="40% - akcent 3 2 3 2 4 2 2" xfId="20189"/>
    <cellStyle name="40% - akcent 3 2 3 2 4 2 2 2" xfId="20190"/>
    <cellStyle name="40% - akcent 3 2 3 2 4 2 3" xfId="20191"/>
    <cellStyle name="40% - akcent 3 2 3 2 4 3" xfId="20192"/>
    <cellStyle name="40% - akcent 3 2 3 2 4 3 2" xfId="20193"/>
    <cellStyle name="40% - akcent 3 2 3 2 4 3 2 2" xfId="20194"/>
    <cellStyle name="40% - akcent 3 2 3 2 4 3 3" xfId="20195"/>
    <cellStyle name="40% - akcent 3 2 3 2 4 4" xfId="20196"/>
    <cellStyle name="40% - akcent 3 2 3 2 4 4 2" xfId="20197"/>
    <cellStyle name="40% - akcent 3 2 3 2 4 4 2 2" xfId="20198"/>
    <cellStyle name="40% - akcent 3 2 3 2 4 4 3" xfId="20199"/>
    <cellStyle name="40% - akcent 3 2 3 2 4 5" xfId="20200"/>
    <cellStyle name="40% - akcent 3 2 3 2 4 5 2" xfId="20201"/>
    <cellStyle name="40% - akcent 3 2 3 2 4 6" xfId="20202"/>
    <cellStyle name="40% - akcent 3 2 3 2 5" xfId="20203"/>
    <cellStyle name="40% - akcent 3 2 3 2 5 2" xfId="20204"/>
    <cellStyle name="40% - akcent 3 2 3 2 5 2 2" xfId="20205"/>
    <cellStyle name="40% - akcent 3 2 3 2 5 2 2 2" xfId="20206"/>
    <cellStyle name="40% - akcent 3 2 3 2 5 2 3" xfId="20207"/>
    <cellStyle name="40% - akcent 3 2 3 2 5 3" xfId="20208"/>
    <cellStyle name="40% - akcent 3 2 3 2 5 3 2" xfId="20209"/>
    <cellStyle name="40% - akcent 3 2 3 2 5 3 2 2" xfId="20210"/>
    <cellStyle name="40% - akcent 3 2 3 2 5 3 3" xfId="20211"/>
    <cellStyle name="40% - akcent 3 2 3 2 5 4" xfId="20212"/>
    <cellStyle name="40% - akcent 3 2 3 2 5 4 2" xfId="20213"/>
    <cellStyle name="40% - akcent 3 2 3 2 5 4 2 2" xfId="20214"/>
    <cellStyle name="40% - akcent 3 2 3 2 5 4 3" xfId="20215"/>
    <cellStyle name="40% - akcent 3 2 3 2 5 5" xfId="20216"/>
    <cellStyle name="40% - akcent 3 2 3 2 5 5 2" xfId="20217"/>
    <cellStyle name="40% - akcent 3 2 3 2 5 6" xfId="20218"/>
    <cellStyle name="40% - akcent 3 2 3 3" xfId="20219"/>
    <cellStyle name="40% - akcent 3 2 3 3 2" xfId="20220"/>
    <cellStyle name="40% - akcent 3 2 3 3 2 2" xfId="20221"/>
    <cellStyle name="40% - akcent 3 2 3 3 2 2 2" xfId="20222"/>
    <cellStyle name="40% - akcent 3 2 3 3 2 2 2 2" xfId="20223"/>
    <cellStyle name="40% - akcent 3 2 3 3 2 2 3" xfId="20224"/>
    <cellStyle name="40% - akcent 3 2 3 3 2 3" xfId="20225"/>
    <cellStyle name="40% - akcent 3 2 3 3 2 3 2" xfId="20226"/>
    <cellStyle name="40% - akcent 3 2 3 3 2 3 2 2" xfId="20227"/>
    <cellStyle name="40% - akcent 3 2 3 3 2 3 3" xfId="20228"/>
    <cellStyle name="40% - akcent 3 2 3 3 2 4" xfId="20229"/>
    <cellStyle name="40% - akcent 3 2 3 3 2 4 2" xfId="20230"/>
    <cellStyle name="40% - akcent 3 2 3 3 2 4 2 2" xfId="20231"/>
    <cellStyle name="40% - akcent 3 2 3 3 2 4 3" xfId="20232"/>
    <cellStyle name="40% - akcent 3 2 3 3 2 5" xfId="20233"/>
    <cellStyle name="40% - akcent 3 2 3 3 2 5 2" xfId="20234"/>
    <cellStyle name="40% - akcent 3 2 3 3 2 6" xfId="20235"/>
    <cellStyle name="40% - akcent 3 2 3 3 3" xfId="20236"/>
    <cellStyle name="40% - akcent 3 2 3 3 3 2" xfId="20237"/>
    <cellStyle name="40% - akcent 3 2 3 3 3 2 2" xfId="20238"/>
    <cellStyle name="40% - akcent 3 2 3 3 3 3" xfId="20239"/>
    <cellStyle name="40% - akcent 3 2 3 3 4" xfId="20240"/>
    <cellStyle name="40% - akcent 3 2 3 3 4 2" xfId="20241"/>
    <cellStyle name="40% - akcent 3 2 3 3 4 2 2" xfId="20242"/>
    <cellStyle name="40% - akcent 3 2 3 3 4 3" xfId="20243"/>
    <cellStyle name="40% - akcent 3 2 3 3 5" xfId="20244"/>
    <cellStyle name="40% - akcent 3 2 3 3 5 2" xfId="20245"/>
    <cellStyle name="40% - akcent 3 2 3 3 5 2 2" xfId="20246"/>
    <cellStyle name="40% - akcent 3 2 3 3 5 3" xfId="20247"/>
    <cellStyle name="40% - akcent 3 2 3 3 6" xfId="20248"/>
    <cellStyle name="40% - akcent 3 2 3 3 6 2" xfId="20249"/>
    <cellStyle name="40% - akcent 3 2 3 3 7" xfId="20250"/>
    <cellStyle name="40% - akcent 3 2 3 4" xfId="20251"/>
    <cellStyle name="40% - akcent 3 2 3 4 2" xfId="20252"/>
    <cellStyle name="40% - akcent 3 2 3 4 2 2" xfId="20253"/>
    <cellStyle name="40% - akcent 3 2 3 4 2 2 2" xfId="20254"/>
    <cellStyle name="40% - akcent 3 2 3 4 2 3" xfId="20255"/>
    <cellStyle name="40% - akcent 3 2 3 4 3" xfId="20256"/>
    <cellStyle name="40% - akcent 3 2 3 4 3 2" xfId="20257"/>
    <cellStyle name="40% - akcent 3 2 3 4 3 2 2" xfId="20258"/>
    <cellStyle name="40% - akcent 3 2 3 4 3 3" xfId="20259"/>
    <cellStyle name="40% - akcent 3 2 3 4 4" xfId="20260"/>
    <cellStyle name="40% - akcent 3 2 3 4 4 2" xfId="20261"/>
    <cellStyle name="40% - akcent 3 2 3 4 4 2 2" xfId="20262"/>
    <cellStyle name="40% - akcent 3 2 3 4 4 3" xfId="20263"/>
    <cellStyle name="40% - akcent 3 2 3 4 5" xfId="20264"/>
    <cellStyle name="40% - akcent 3 2 3 4 5 2" xfId="20265"/>
    <cellStyle name="40% - akcent 3 2 3 4 6" xfId="20266"/>
    <cellStyle name="40% - akcent 3 2 3 5" xfId="20267"/>
    <cellStyle name="40% - akcent 3 2 3 5 2" xfId="20268"/>
    <cellStyle name="40% - akcent 3 2 3 5 2 2" xfId="20269"/>
    <cellStyle name="40% - akcent 3 2 3 5 2 2 2" xfId="20270"/>
    <cellStyle name="40% - akcent 3 2 3 5 2 3" xfId="20271"/>
    <cellStyle name="40% - akcent 3 2 3 5 3" xfId="20272"/>
    <cellStyle name="40% - akcent 3 2 3 5 3 2" xfId="20273"/>
    <cellStyle name="40% - akcent 3 2 3 5 3 2 2" xfId="20274"/>
    <cellStyle name="40% - akcent 3 2 3 5 3 3" xfId="20275"/>
    <cellStyle name="40% - akcent 3 2 3 5 4" xfId="20276"/>
    <cellStyle name="40% - akcent 3 2 3 5 4 2" xfId="20277"/>
    <cellStyle name="40% - akcent 3 2 3 5 4 2 2" xfId="20278"/>
    <cellStyle name="40% - akcent 3 2 3 5 4 3" xfId="20279"/>
    <cellStyle name="40% - akcent 3 2 3 5 5" xfId="20280"/>
    <cellStyle name="40% - akcent 3 2 3 5 5 2" xfId="20281"/>
    <cellStyle name="40% - akcent 3 2 3 5 6" xfId="20282"/>
    <cellStyle name="40% - akcent 3 2 3 6" xfId="20283"/>
    <cellStyle name="40% - akcent 3 2 3 6 2" xfId="20284"/>
    <cellStyle name="40% - akcent 3 2 3 6 2 2" xfId="20285"/>
    <cellStyle name="40% - akcent 3 2 3 6 2 2 2" xfId="20286"/>
    <cellStyle name="40% - akcent 3 2 3 6 2 3" xfId="20287"/>
    <cellStyle name="40% - akcent 3 2 3 6 3" xfId="20288"/>
    <cellStyle name="40% - akcent 3 2 3 6 3 2" xfId="20289"/>
    <cellStyle name="40% - akcent 3 2 3 6 3 2 2" xfId="20290"/>
    <cellStyle name="40% - akcent 3 2 3 6 3 3" xfId="20291"/>
    <cellStyle name="40% - akcent 3 2 3 6 4" xfId="20292"/>
    <cellStyle name="40% - akcent 3 2 3 6 4 2" xfId="20293"/>
    <cellStyle name="40% - akcent 3 2 3 6 4 2 2" xfId="20294"/>
    <cellStyle name="40% - akcent 3 2 3 6 4 3" xfId="20295"/>
    <cellStyle name="40% - akcent 3 2 3 6 5" xfId="20296"/>
    <cellStyle name="40% - akcent 3 2 3 6 5 2" xfId="20297"/>
    <cellStyle name="40% - akcent 3 2 3 6 6" xfId="20298"/>
    <cellStyle name="40% - akcent 3 2 3_2011'05 Raport PGE_DO-CO2" xfId="20299"/>
    <cellStyle name="40% - akcent 3 2 4" xfId="20300"/>
    <cellStyle name="40% - akcent 3 2 4 2" xfId="20301"/>
    <cellStyle name="40% - akcent 3 2 4 2 2" xfId="20302"/>
    <cellStyle name="40% - akcent 3 2 4 2 2 2" xfId="20303"/>
    <cellStyle name="40% - akcent 3 2 4 2 2 2 2" xfId="20304"/>
    <cellStyle name="40% - akcent 3 2 4 2 2 2 2 2" xfId="20305"/>
    <cellStyle name="40% - akcent 3 2 4 2 2 2 2 2 2" xfId="20306"/>
    <cellStyle name="40% - akcent 3 2 4 2 2 2 2 3" xfId="20307"/>
    <cellStyle name="40% - akcent 3 2 4 2 2 2 3" xfId="20308"/>
    <cellStyle name="40% - akcent 3 2 4 2 2 2 3 2" xfId="20309"/>
    <cellStyle name="40% - akcent 3 2 4 2 2 2 3 2 2" xfId="20310"/>
    <cellStyle name="40% - akcent 3 2 4 2 2 2 3 3" xfId="20311"/>
    <cellStyle name="40% - akcent 3 2 4 2 2 2 4" xfId="20312"/>
    <cellStyle name="40% - akcent 3 2 4 2 2 2 4 2" xfId="20313"/>
    <cellStyle name="40% - akcent 3 2 4 2 2 2 4 2 2" xfId="20314"/>
    <cellStyle name="40% - akcent 3 2 4 2 2 2 4 3" xfId="20315"/>
    <cellStyle name="40% - akcent 3 2 4 2 2 2 5" xfId="20316"/>
    <cellStyle name="40% - akcent 3 2 4 2 2 2 5 2" xfId="20317"/>
    <cellStyle name="40% - akcent 3 2 4 2 2 2 6" xfId="20318"/>
    <cellStyle name="40% - akcent 3 2 4 2 2 3" xfId="20319"/>
    <cellStyle name="40% - akcent 3 2 4 2 2 3 2" xfId="20320"/>
    <cellStyle name="40% - akcent 3 2 4 2 2 3 2 2" xfId="20321"/>
    <cellStyle name="40% - akcent 3 2 4 2 2 3 3" xfId="20322"/>
    <cellStyle name="40% - akcent 3 2 4 2 2 4" xfId="20323"/>
    <cellStyle name="40% - akcent 3 2 4 2 2 4 2" xfId="20324"/>
    <cellStyle name="40% - akcent 3 2 4 2 2 4 2 2" xfId="20325"/>
    <cellStyle name="40% - akcent 3 2 4 2 2 4 3" xfId="20326"/>
    <cellStyle name="40% - akcent 3 2 4 2 2 5" xfId="20327"/>
    <cellStyle name="40% - akcent 3 2 4 2 2 5 2" xfId="20328"/>
    <cellStyle name="40% - akcent 3 2 4 2 2 5 2 2" xfId="20329"/>
    <cellStyle name="40% - akcent 3 2 4 2 2 5 3" xfId="20330"/>
    <cellStyle name="40% - akcent 3 2 4 2 2 6" xfId="20331"/>
    <cellStyle name="40% - akcent 3 2 4 2 2 6 2" xfId="20332"/>
    <cellStyle name="40% - akcent 3 2 4 2 2 7" xfId="20333"/>
    <cellStyle name="40% - akcent 3 2 4 2 3" xfId="20334"/>
    <cellStyle name="40% - akcent 3 2 4 2 3 2" xfId="20335"/>
    <cellStyle name="40% - akcent 3 2 4 2 3 2 2" xfId="20336"/>
    <cellStyle name="40% - akcent 3 2 4 2 3 2 2 2" xfId="20337"/>
    <cellStyle name="40% - akcent 3 2 4 2 3 2 3" xfId="20338"/>
    <cellStyle name="40% - akcent 3 2 4 2 3 3" xfId="20339"/>
    <cellStyle name="40% - akcent 3 2 4 2 3 3 2" xfId="20340"/>
    <cellStyle name="40% - akcent 3 2 4 2 3 3 2 2" xfId="20341"/>
    <cellStyle name="40% - akcent 3 2 4 2 3 3 3" xfId="20342"/>
    <cellStyle name="40% - akcent 3 2 4 2 3 4" xfId="20343"/>
    <cellStyle name="40% - akcent 3 2 4 2 3 4 2" xfId="20344"/>
    <cellStyle name="40% - akcent 3 2 4 2 3 4 2 2" xfId="20345"/>
    <cellStyle name="40% - akcent 3 2 4 2 3 4 3" xfId="20346"/>
    <cellStyle name="40% - akcent 3 2 4 2 3 5" xfId="20347"/>
    <cellStyle name="40% - akcent 3 2 4 2 3 5 2" xfId="20348"/>
    <cellStyle name="40% - akcent 3 2 4 2 3 6" xfId="20349"/>
    <cellStyle name="40% - akcent 3 2 4 2 4" xfId="20350"/>
    <cellStyle name="40% - akcent 3 2 4 2 4 2" xfId="20351"/>
    <cellStyle name="40% - akcent 3 2 4 2 4 2 2" xfId="20352"/>
    <cellStyle name="40% - akcent 3 2 4 2 4 2 2 2" xfId="20353"/>
    <cellStyle name="40% - akcent 3 2 4 2 4 2 3" xfId="20354"/>
    <cellStyle name="40% - akcent 3 2 4 2 4 3" xfId="20355"/>
    <cellStyle name="40% - akcent 3 2 4 2 4 3 2" xfId="20356"/>
    <cellStyle name="40% - akcent 3 2 4 2 4 3 2 2" xfId="20357"/>
    <cellStyle name="40% - akcent 3 2 4 2 4 3 3" xfId="20358"/>
    <cellStyle name="40% - akcent 3 2 4 2 4 4" xfId="20359"/>
    <cellStyle name="40% - akcent 3 2 4 2 4 4 2" xfId="20360"/>
    <cellStyle name="40% - akcent 3 2 4 2 4 4 2 2" xfId="20361"/>
    <cellStyle name="40% - akcent 3 2 4 2 4 4 3" xfId="20362"/>
    <cellStyle name="40% - akcent 3 2 4 2 4 5" xfId="20363"/>
    <cellStyle name="40% - akcent 3 2 4 2 4 5 2" xfId="20364"/>
    <cellStyle name="40% - akcent 3 2 4 2 4 6" xfId="20365"/>
    <cellStyle name="40% - akcent 3 2 4 2 5" xfId="20366"/>
    <cellStyle name="40% - akcent 3 2 4 2 5 2" xfId="20367"/>
    <cellStyle name="40% - akcent 3 2 4 2 5 2 2" xfId="20368"/>
    <cellStyle name="40% - akcent 3 2 4 2 5 3" xfId="20369"/>
    <cellStyle name="40% - akcent 3 2 4 2 6" xfId="20370"/>
    <cellStyle name="40% - akcent 3 2 4 2 6 2" xfId="20371"/>
    <cellStyle name="40% - akcent 3 2 4 2 6 2 2" xfId="20372"/>
    <cellStyle name="40% - akcent 3 2 4 2 6 3" xfId="20373"/>
    <cellStyle name="40% - akcent 3 2 4 2 7" xfId="20374"/>
    <cellStyle name="40% - akcent 3 2 4 2 7 2" xfId="20375"/>
    <cellStyle name="40% - akcent 3 2 4 2 7 2 2" xfId="20376"/>
    <cellStyle name="40% - akcent 3 2 4 2 7 3" xfId="20377"/>
    <cellStyle name="40% - akcent 3 2 4 2 8" xfId="20378"/>
    <cellStyle name="40% - akcent 3 2 4 2 8 2" xfId="20379"/>
    <cellStyle name="40% - akcent 3 2 4 2 9" xfId="20380"/>
    <cellStyle name="40% - akcent 3 2 4 3" xfId="20381"/>
    <cellStyle name="40% - akcent 3 2 4 3 2" xfId="20382"/>
    <cellStyle name="40% - akcent 3 2 4 3 2 2" xfId="20383"/>
    <cellStyle name="40% - akcent 3 2 4 3 2 2 2" xfId="20384"/>
    <cellStyle name="40% - akcent 3 2 4 3 2 2 2 2" xfId="20385"/>
    <cellStyle name="40% - akcent 3 2 4 3 2 2 3" xfId="20386"/>
    <cellStyle name="40% - akcent 3 2 4 3 2 3" xfId="20387"/>
    <cellStyle name="40% - akcent 3 2 4 3 2 3 2" xfId="20388"/>
    <cellStyle name="40% - akcent 3 2 4 3 2 3 2 2" xfId="20389"/>
    <cellStyle name="40% - akcent 3 2 4 3 2 3 3" xfId="20390"/>
    <cellStyle name="40% - akcent 3 2 4 3 2 4" xfId="20391"/>
    <cellStyle name="40% - akcent 3 2 4 3 2 4 2" xfId="20392"/>
    <cellStyle name="40% - akcent 3 2 4 3 2 4 2 2" xfId="20393"/>
    <cellStyle name="40% - akcent 3 2 4 3 2 4 3" xfId="20394"/>
    <cellStyle name="40% - akcent 3 2 4 3 2 5" xfId="20395"/>
    <cellStyle name="40% - akcent 3 2 4 3 2 5 2" xfId="20396"/>
    <cellStyle name="40% - akcent 3 2 4 3 2 6" xfId="20397"/>
    <cellStyle name="40% - akcent 3 2 4 3 3" xfId="20398"/>
    <cellStyle name="40% - akcent 3 2 4 3 3 2" xfId="20399"/>
    <cellStyle name="40% - akcent 3 2 4 3 3 2 2" xfId="20400"/>
    <cellStyle name="40% - akcent 3 2 4 3 3 3" xfId="20401"/>
    <cellStyle name="40% - akcent 3 2 4 3 4" xfId="20402"/>
    <cellStyle name="40% - akcent 3 2 4 3 4 2" xfId="20403"/>
    <cellStyle name="40% - akcent 3 2 4 3 4 2 2" xfId="20404"/>
    <cellStyle name="40% - akcent 3 2 4 3 4 3" xfId="20405"/>
    <cellStyle name="40% - akcent 3 2 4 3 5" xfId="20406"/>
    <cellStyle name="40% - akcent 3 2 4 3 5 2" xfId="20407"/>
    <cellStyle name="40% - akcent 3 2 4 3 5 2 2" xfId="20408"/>
    <cellStyle name="40% - akcent 3 2 4 3 5 3" xfId="20409"/>
    <cellStyle name="40% - akcent 3 2 4 3 6" xfId="20410"/>
    <cellStyle name="40% - akcent 3 2 4 3 6 2" xfId="20411"/>
    <cellStyle name="40% - akcent 3 2 4 3 7" xfId="20412"/>
    <cellStyle name="40% - akcent 3 2 4 4" xfId="20413"/>
    <cellStyle name="40% - akcent 3 2 4 4 2" xfId="20414"/>
    <cellStyle name="40% - akcent 3 2 4 4 2 2" xfId="20415"/>
    <cellStyle name="40% - akcent 3 2 4 4 2 2 2" xfId="20416"/>
    <cellStyle name="40% - akcent 3 2 4 4 2 3" xfId="20417"/>
    <cellStyle name="40% - akcent 3 2 4 4 3" xfId="20418"/>
    <cellStyle name="40% - akcent 3 2 4 4 3 2" xfId="20419"/>
    <cellStyle name="40% - akcent 3 2 4 4 3 2 2" xfId="20420"/>
    <cellStyle name="40% - akcent 3 2 4 4 3 3" xfId="20421"/>
    <cellStyle name="40% - akcent 3 2 4 4 4" xfId="20422"/>
    <cellStyle name="40% - akcent 3 2 4 4 4 2" xfId="20423"/>
    <cellStyle name="40% - akcent 3 2 4 4 4 2 2" xfId="20424"/>
    <cellStyle name="40% - akcent 3 2 4 4 4 3" xfId="20425"/>
    <cellStyle name="40% - akcent 3 2 4 4 5" xfId="20426"/>
    <cellStyle name="40% - akcent 3 2 4 4 5 2" xfId="20427"/>
    <cellStyle name="40% - akcent 3 2 4 4 6" xfId="20428"/>
    <cellStyle name="40% - akcent 3 2 4 5" xfId="20429"/>
    <cellStyle name="40% - akcent 3 2 4 5 2" xfId="20430"/>
    <cellStyle name="40% - akcent 3 2 4 5 2 2" xfId="20431"/>
    <cellStyle name="40% - akcent 3 2 4 5 2 2 2" xfId="20432"/>
    <cellStyle name="40% - akcent 3 2 4 5 2 3" xfId="20433"/>
    <cellStyle name="40% - akcent 3 2 4 5 3" xfId="20434"/>
    <cellStyle name="40% - akcent 3 2 4 5 3 2" xfId="20435"/>
    <cellStyle name="40% - akcent 3 2 4 5 3 2 2" xfId="20436"/>
    <cellStyle name="40% - akcent 3 2 4 5 3 3" xfId="20437"/>
    <cellStyle name="40% - akcent 3 2 4 5 4" xfId="20438"/>
    <cellStyle name="40% - akcent 3 2 4 5 4 2" xfId="20439"/>
    <cellStyle name="40% - akcent 3 2 4 5 4 2 2" xfId="20440"/>
    <cellStyle name="40% - akcent 3 2 4 5 4 3" xfId="20441"/>
    <cellStyle name="40% - akcent 3 2 4 5 5" xfId="20442"/>
    <cellStyle name="40% - akcent 3 2 4 5 5 2" xfId="20443"/>
    <cellStyle name="40% - akcent 3 2 4 5 6" xfId="20444"/>
    <cellStyle name="40% - akcent 3 2 4 6" xfId="20445"/>
    <cellStyle name="40% - akcent 3 2 4 6 2" xfId="20446"/>
    <cellStyle name="40% - akcent 3 2 4 6 2 2" xfId="20447"/>
    <cellStyle name="40% - akcent 3 2 4 6 2 2 2" xfId="20448"/>
    <cellStyle name="40% - akcent 3 2 4 6 2 3" xfId="20449"/>
    <cellStyle name="40% - akcent 3 2 4 6 3" xfId="20450"/>
    <cellStyle name="40% - akcent 3 2 4 6 3 2" xfId="20451"/>
    <cellStyle name="40% - akcent 3 2 4 6 3 2 2" xfId="20452"/>
    <cellStyle name="40% - akcent 3 2 4 6 3 3" xfId="20453"/>
    <cellStyle name="40% - akcent 3 2 4 6 4" xfId="20454"/>
    <cellStyle name="40% - akcent 3 2 4 6 4 2" xfId="20455"/>
    <cellStyle name="40% - akcent 3 2 4 6 4 2 2" xfId="20456"/>
    <cellStyle name="40% - akcent 3 2 4 6 4 3" xfId="20457"/>
    <cellStyle name="40% - akcent 3 2 4 6 5" xfId="20458"/>
    <cellStyle name="40% - akcent 3 2 4 6 5 2" xfId="20459"/>
    <cellStyle name="40% - akcent 3 2 4 6 6" xfId="20460"/>
    <cellStyle name="40% - akcent 3 2 5" xfId="20461"/>
    <cellStyle name="40% - akcent 3 2 5 2" xfId="20462"/>
    <cellStyle name="40% - akcent 3 2 6" xfId="20463"/>
    <cellStyle name="40% - akcent 3 2 7" xfId="20464"/>
    <cellStyle name="40% - akcent 3 2 8" xfId="20465"/>
    <cellStyle name="40% - akcent 3 2 9" xfId="20466"/>
    <cellStyle name="40% - akcent 3 2_2011'05 Raport PGE_DO-CO2" xfId="20467"/>
    <cellStyle name="40% - akcent 3 3" xfId="20468"/>
    <cellStyle name="40% - akcent 3 3 10" xfId="20469"/>
    <cellStyle name="40% - akcent 3 3 10 2" xfId="20470"/>
    <cellStyle name="40% - akcent 3 3 10 2 2" xfId="20471"/>
    <cellStyle name="40% - akcent 3 3 10 2 2 2" xfId="20472"/>
    <cellStyle name="40% - akcent 3 3 10 2 3" xfId="20473"/>
    <cellStyle name="40% - akcent 3 3 10 3" xfId="20474"/>
    <cellStyle name="40% - akcent 3 3 10 3 2" xfId="20475"/>
    <cellStyle name="40% - akcent 3 3 10 3 2 2" xfId="20476"/>
    <cellStyle name="40% - akcent 3 3 10 3 3" xfId="20477"/>
    <cellStyle name="40% - akcent 3 3 10 4" xfId="20478"/>
    <cellStyle name="40% - akcent 3 3 10 4 2" xfId="20479"/>
    <cellStyle name="40% - akcent 3 3 10 4 2 2" xfId="20480"/>
    <cellStyle name="40% - akcent 3 3 10 4 3" xfId="20481"/>
    <cellStyle name="40% - akcent 3 3 10 5" xfId="20482"/>
    <cellStyle name="40% - akcent 3 3 10 5 2" xfId="20483"/>
    <cellStyle name="40% - akcent 3 3 10 6" xfId="20484"/>
    <cellStyle name="40% - akcent 3 3 2" xfId="20485"/>
    <cellStyle name="40% - akcent 3 3 2 2" xfId="20486"/>
    <cellStyle name="40% - akcent 3 3 2 2 10" xfId="20487"/>
    <cellStyle name="40% - akcent 3 3 2 2 2" xfId="20488"/>
    <cellStyle name="40% - akcent 3 3 2 2 2 2" xfId="20489"/>
    <cellStyle name="40% - akcent 3 3 2 2 2 2 2" xfId="20490"/>
    <cellStyle name="40% - akcent 3 3 2 2 2 2 2 2" xfId="20491"/>
    <cellStyle name="40% - akcent 3 3 2 2 2 2 2 2 2" xfId="20492"/>
    <cellStyle name="40% - akcent 3 3 2 2 2 2 2 2 2 2" xfId="20493"/>
    <cellStyle name="40% - akcent 3 3 2 2 2 2 2 2 3" xfId="20494"/>
    <cellStyle name="40% - akcent 3 3 2 2 2 2 2 3" xfId="20495"/>
    <cellStyle name="40% - akcent 3 3 2 2 2 2 2 3 2" xfId="20496"/>
    <cellStyle name="40% - akcent 3 3 2 2 2 2 2 3 2 2" xfId="20497"/>
    <cellStyle name="40% - akcent 3 3 2 2 2 2 2 3 3" xfId="20498"/>
    <cellStyle name="40% - akcent 3 3 2 2 2 2 2 4" xfId="20499"/>
    <cellStyle name="40% - akcent 3 3 2 2 2 2 2 4 2" xfId="20500"/>
    <cellStyle name="40% - akcent 3 3 2 2 2 2 2 4 2 2" xfId="20501"/>
    <cellStyle name="40% - akcent 3 3 2 2 2 2 2 4 3" xfId="20502"/>
    <cellStyle name="40% - akcent 3 3 2 2 2 2 2 5" xfId="20503"/>
    <cellStyle name="40% - akcent 3 3 2 2 2 2 2 5 2" xfId="20504"/>
    <cellStyle name="40% - akcent 3 3 2 2 2 2 2 6" xfId="20505"/>
    <cellStyle name="40% - akcent 3 3 2 2 2 2 3" xfId="20506"/>
    <cellStyle name="40% - akcent 3 3 2 2 2 2 3 2" xfId="20507"/>
    <cellStyle name="40% - akcent 3 3 2 2 2 2 3 2 2" xfId="20508"/>
    <cellStyle name="40% - akcent 3 3 2 2 2 2 3 3" xfId="20509"/>
    <cellStyle name="40% - akcent 3 3 2 2 2 2 4" xfId="20510"/>
    <cellStyle name="40% - akcent 3 3 2 2 2 2 4 2" xfId="20511"/>
    <cellStyle name="40% - akcent 3 3 2 2 2 2 4 2 2" xfId="20512"/>
    <cellStyle name="40% - akcent 3 3 2 2 2 2 4 3" xfId="20513"/>
    <cellStyle name="40% - akcent 3 3 2 2 2 2 5" xfId="20514"/>
    <cellStyle name="40% - akcent 3 3 2 2 2 2 5 2" xfId="20515"/>
    <cellStyle name="40% - akcent 3 3 2 2 2 2 5 2 2" xfId="20516"/>
    <cellStyle name="40% - akcent 3 3 2 2 2 2 5 3" xfId="20517"/>
    <cellStyle name="40% - akcent 3 3 2 2 2 2 6" xfId="20518"/>
    <cellStyle name="40% - akcent 3 3 2 2 2 2 6 2" xfId="20519"/>
    <cellStyle name="40% - akcent 3 3 2 2 2 2 7" xfId="20520"/>
    <cellStyle name="40% - akcent 3 3 2 2 2 3" xfId="20521"/>
    <cellStyle name="40% - akcent 3 3 2 2 2 3 2" xfId="20522"/>
    <cellStyle name="40% - akcent 3 3 2 2 2 3 2 2" xfId="20523"/>
    <cellStyle name="40% - akcent 3 3 2 2 2 3 2 2 2" xfId="20524"/>
    <cellStyle name="40% - akcent 3 3 2 2 2 3 2 3" xfId="20525"/>
    <cellStyle name="40% - akcent 3 3 2 2 2 3 3" xfId="20526"/>
    <cellStyle name="40% - akcent 3 3 2 2 2 3 3 2" xfId="20527"/>
    <cellStyle name="40% - akcent 3 3 2 2 2 3 3 2 2" xfId="20528"/>
    <cellStyle name="40% - akcent 3 3 2 2 2 3 3 3" xfId="20529"/>
    <cellStyle name="40% - akcent 3 3 2 2 2 3 4" xfId="20530"/>
    <cellStyle name="40% - akcent 3 3 2 2 2 3 4 2" xfId="20531"/>
    <cellStyle name="40% - akcent 3 3 2 2 2 3 4 2 2" xfId="20532"/>
    <cellStyle name="40% - akcent 3 3 2 2 2 3 4 3" xfId="20533"/>
    <cellStyle name="40% - akcent 3 3 2 2 2 3 5" xfId="20534"/>
    <cellStyle name="40% - akcent 3 3 2 2 2 3 5 2" xfId="20535"/>
    <cellStyle name="40% - akcent 3 3 2 2 2 3 6" xfId="20536"/>
    <cellStyle name="40% - akcent 3 3 2 2 2 4" xfId="20537"/>
    <cellStyle name="40% - akcent 3 3 2 2 2 4 2" xfId="20538"/>
    <cellStyle name="40% - akcent 3 3 2 2 2 4 2 2" xfId="20539"/>
    <cellStyle name="40% - akcent 3 3 2 2 2 4 2 2 2" xfId="20540"/>
    <cellStyle name="40% - akcent 3 3 2 2 2 4 2 3" xfId="20541"/>
    <cellStyle name="40% - akcent 3 3 2 2 2 4 3" xfId="20542"/>
    <cellStyle name="40% - akcent 3 3 2 2 2 4 3 2" xfId="20543"/>
    <cellStyle name="40% - akcent 3 3 2 2 2 4 3 2 2" xfId="20544"/>
    <cellStyle name="40% - akcent 3 3 2 2 2 4 3 3" xfId="20545"/>
    <cellStyle name="40% - akcent 3 3 2 2 2 4 4" xfId="20546"/>
    <cellStyle name="40% - akcent 3 3 2 2 2 4 4 2" xfId="20547"/>
    <cellStyle name="40% - akcent 3 3 2 2 2 4 4 2 2" xfId="20548"/>
    <cellStyle name="40% - akcent 3 3 2 2 2 4 4 3" xfId="20549"/>
    <cellStyle name="40% - akcent 3 3 2 2 2 4 5" xfId="20550"/>
    <cellStyle name="40% - akcent 3 3 2 2 2 4 5 2" xfId="20551"/>
    <cellStyle name="40% - akcent 3 3 2 2 2 4 6" xfId="20552"/>
    <cellStyle name="40% - akcent 3 3 2 2 2 5" xfId="20553"/>
    <cellStyle name="40% - akcent 3 3 2 2 2 5 2" xfId="20554"/>
    <cellStyle name="40% - akcent 3 3 2 2 2 5 2 2" xfId="20555"/>
    <cellStyle name="40% - akcent 3 3 2 2 2 5 3" xfId="20556"/>
    <cellStyle name="40% - akcent 3 3 2 2 2 6" xfId="20557"/>
    <cellStyle name="40% - akcent 3 3 2 2 2 6 2" xfId="20558"/>
    <cellStyle name="40% - akcent 3 3 2 2 2 6 2 2" xfId="20559"/>
    <cellStyle name="40% - akcent 3 3 2 2 2 6 3" xfId="20560"/>
    <cellStyle name="40% - akcent 3 3 2 2 2 7" xfId="20561"/>
    <cellStyle name="40% - akcent 3 3 2 2 2 7 2" xfId="20562"/>
    <cellStyle name="40% - akcent 3 3 2 2 2 7 2 2" xfId="20563"/>
    <cellStyle name="40% - akcent 3 3 2 2 2 7 3" xfId="20564"/>
    <cellStyle name="40% - akcent 3 3 2 2 2 8" xfId="20565"/>
    <cellStyle name="40% - akcent 3 3 2 2 2 8 2" xfId="20566"/>
    <cellStyle name="40% - akcent 3 3 2 2 2 9" xfId="20567"/>
    <cellStyle name="40% - akcent 3 3 2 2 3" xfId="20568"/>
    <cellStyle name="40% - akcent 3 3 2 2 3 2" xfId="20569"/>
    <cellStyle name="40% - akcent 3 3 2 2 3 2 2" xfId="20570"/>
    <cellStyle name="40% - akcent 3 3 2 2 3 2 2 2" xfId="20571"/>
    <cellStyle name="40% - akcent 3 3 2 2 3 2 2 2 2" xfId="20572"/>
    <cellStyle name="40% - akcent 3 3 2 2 3 2 2 3" xfId="20573"/>
    <cellStyle name="40% - akcent 3 3 2 2 3 2 3" xfId="20574"/>
    <cellStyle name="40% - akcent 3 3 2 2 3 2 3 2" xfId="20575"/>
    <cellStyle name="40% - akcent 3 3 2 2 3 2 3 2 2" xfId="20576"/>
    <cellStyle name="40% - akcent 3 3 2 2 3 2 3 3" xfId="20577"/>
    <cellStyle name="40% - akcent 3 3 2 2 3 2 4" xfId="20578"/>
    <cellStyle name="40% - akcent 3 3 2 2 3 2 4 2" xfId="20579"/>
    <cellStyle name="40% - akcent 3 3 2 2 3 2 4 2 2" xfId="20580"/>
    <cellStyle name="40% - akcent 3 3 2 2 3 2 4 3" xfId="20581"/>
    <cellStyle name="40% - akcent 3 3 2 2 3 2 5" xfId="20582"/>
    <cellStyle name="40% - akcent 3 3 2 2 3 2 5 2" xfId="20583"/>
    <cellStyle name="40% - akcent 3 3 2 2 3 2 6" xfId="20584"/>
    <cellStyle name="40% - akcent 3 3 2 2 3 3" xfId="20585"/>
    <cellStyle name="40% - akcent 3 3 2 2 3 3 2" xfId="20586"/>
    <cellStyle name="40% - akcent 3 3 2 2 3 3 2 2" xfId="20587"/>
    <cellStyle name="40% - akcent 3 3 2 2 3 3 3" xfId="20588"/>
    <cellStyle name="40% - akcent 3 3 2 2 3 4" xfId="20589"/>
    <cellStyle name="40% - akcent 3 3 2 2 3 4 2" xfId="20590"/>
    <cellStyle name="40% - akcent 3 3 2 2 3 4 2 2" xfId="20591"/>
    <cellStyle name="40% - akcent 3 3 2 2 3 4 3" xfId="20592"/>
    <cellStyle name="40% - akcent 3 3 2 2 3 5" xfId="20593"/>
    <cellStyle name="40% - akcent 3 3 2 2 3 5 2" xfId="20594"/>
    <cellStyle name="40% - akcent 3 3 2 2 3 5 2 2" xfId="20595"/>
    <cellStyle name="40% - akcent 3 3 2 2 3 5 3" xfId="20596"/>
    <cellStyle name="40% - akcent 3 3 2 2 3 6" xfId="20597"/>
    <cellStyle name="40% - akcent 3 3 2 2 3 6 2" xfId="20598"/>
    <cellStyle name="40% - akcent 3 3 2 2 3 7" xfId="20599"/>
    <cellStyle name="40% - akcent 3 3 2 2 4" xfId="20600"/>
    <cellStyle name="40% - akcent 3 3 2 2 4 2" xfId="20601"/>
    <cellStyle name="40% - akcent 3 3 2 2 4 2 2" xfId="20602"/>
    <cellStyle name="40% - akcent 3 3 2 2 4 2 2 2" xfId="20603"/>
    <cellStyle name="40% - akcent 3 3 2 2 4 2 3" xfId="20604"/>
    <cellStyle name="40% - akcent 3 3 2 2 4 3" xfId="20605"/>
    <cellStyle name="40% - akcent 3 3 2 2 4 3 2" xfId="20606"/>
    <cellStyle name="40% - akcent 3 3 2 2 4 3 2 2" xfId="20607"/>
    <cellStyle name="40% - akcent 3 3 2 2 4 3 3" xfId="20608"/>
    <cellStyle name="40% - akcent 3 3 2 2 4 4" xfId="20609"/>
    <cellStyle name="40% - akcent 3 3 2 2 4 4 2" xfId="20610"/>
    <cellStyle name="40% - akcent 3 3 2 2 4 4 2 2" xfId="20611"/>
    <cellStyle name="40% - akcent 3 3 2 2 4 4 3" xfId="20612"/>
    <cellStyle name="40% - akcent 3 3 2 2 4 5" xfId="20613"/>
    <cellStyle name="40% - akcent 3 3 2 2 4 5 2" xfId="20614"/>
    <cellStyle name="40% - akcent 3 3 2 2 4 6" xfId="20615"/>
    <cellStyle name="40% - akcent 3 3 2 2 5" xfId="20616"/>
    <cellStyle name="40% - akcent 3 3 2 2 5 2" xfId="20617"/>
    <cellStyle name="40% - akcent 3 3 2 2 5 2 2" xfId="20618"/>
    <cellStyle name="40% - akcent 3 3 2 2 5 2 2 2" xfId="20619"/>
    <cellStyle name="40% - akcent 3 3 2 2 5 2 3" xfId="20620"/>
    <cellStyle name="40% - akcent 3 3 2 2 5 3" xfId="20621"/>
    <cellStyle name="40% - akcent 3 3 2 2 5 3 2" xfId="20622"/>
    <cellStyle name="40% - akcent 3 3 2 2 5 3 2 2" xfId="20623"/>
    <cellStyle name="40% - akcent 3 3 2 2 5 3 3" xfId="20624"/>
    <cellStyle name="40% - akcent 3 3 2 2 5 4" xfId="20625"/>
    <cellStyle name="40% - akcent 3 3 2 2 5 4 2" xfId="20626"/>
    <cellStyle name="40% - akcent 3 3 2 2 5 4 2 2" xfId="20627"/>
    <cellStyle name="40% - akcent 3 3 2 2 5 4 3" xfId="20628"/>
    <cellStyle name="40% - akcent 3 3 2 2 5 5" xfId="20629"/>
    <cellStyle name="40% - akcent 3 3 2 2 5 5 2" xfId="20630"/>
    <cellStyle name="40% - akcent 3 3 2 2 5 6" xfId="20631"/>
    <cellStyle name="40% - akcent 3 3 2 2 6" xfId="20632"/>
    <cellStyle name="40% - akcent 3 3 2 2 6 2" xfId="20633"/>
    <cellStyle name="40% - akcent 3 3 2 2 6 2 2" xfId="20634"/>
    <cellStyle name="40% - akcent 3 3 2 2 6 3" xfId="20635"/>
    <cellStyle name="40% - akcent 3 3 2 2 7" xfId="20636"/>
    <cellStyle name="40% - akcent 3 3 2 2 7 2" xfId="20637"/>
    <cellStyle name="40% - akcent 3 3 2 2 7 2 2" xfId="20638"/>
    <cellStyle name="40% - akcent 3 3 2 2 7 3" xfId="20639"/>
    <cellStyle name="40% - akcent 3 3 2 2 8" xfId="20640"/>
    <cellStyle name="40% - akcent 3 3 2 2 8 2" xfId="20641"/>
    <cellStyle name="40% - akcent 3 3 2 2 8 2 2" xfId="20642"/>
    <cellStyle name="40% - akcent 3 3 2 2 8 3" xfId="20643"/>
    <cellStyle name="40% - akcent 3 3 2 2 9" xfId="20644"/>
    <cellStyle name="40% - akcent 3 3 2 2 9 2" xfId="20645"/>
    <cellStyle name="40% - akcent 3 3 2 3" xfId="20646"/>
    <cellStyle name="40% - akcent 3 3 2 3 2" xfId="20647"/>
    <cellStyle name="40% - akcent 3 3 2 3 2 2" xfId="20648"/>
    <cellStyle name="40% - akcent 3 3 2 3 2 2 2" xfId="20649"/>
    <cellStyle name="40% - akcent 3 3 2 3 2 2 2 2" xfId="20650"/>
    <cellStyle name="40% - akcent 3 3 2 3 2 2 2 2 2" xfId="20651"/>
    <cellStyle name="40% - akcent 3 3 2 3 2 2 2 3" xfId="20652"/>
    <cellStyle name="40% - akcent 3 3 2 3 2 2 3" xfId="20653"/>
    <cellStyle name="40% - akcent 3 3 2 3 2 2 3 2" xfId="20654"/>
    <cellStyle name="40% - akcent 3 3 2 3 2 2 3 2 2" xfId="20655"/>
    <cellStyle name="40% - akcent 3 3 2 3 2 2 3 3" xfId="20656"/>
    <cellStyle name="40% - akcent 3 3 2 3 2 2 4" xfId="20657"/>
    <cellStyle name="40% - akcent 3 3 2 3 2 2 4 2" xfId="20658"/>
    <cellStyle name="40% - akcent 3 3 2 3 2 2 4 2 2" xfId="20659"/>
    <cellStyle name="40% - akcent 3 3 2 3 2 2 4 3" xfId="20660"/>
    <cellStyle name="40% - akcent 3 3 2 3 2 2 5" xfId="20661"/>
    <cellStyle name="40% - akcent 3 3 2 3 2 2 5 2" xfId="20662"/>
    <cellStyle name="40% - akcent 3 3 2 3 2 2 6" xfId="20663"/>
    <cellStyle name="40% - akcent 3 3 2 3 2 3" xfId="20664"/>
    <cellStyle name="40% - akcent 3 3 2 3 2 3 2" xfId="20665"/>
    <cellStyle name="40% - akcent 3 3 2 3 2 3 2 2" xfId="20666"/>
    <cellStyle name="40% - akcent 3 3 2 3 2 3 3" xfId="20667"/>
    <cellStyle name="40% - akcent 3 3 2 3 2 4" xfId="20668"/>
    <cellStyle name="40% - akcent 3 3 2 3 2 4 2" xfId="20669"/>
    <cellStyle name="40% - akcent 3 3 2 3 2 4 2 2" xfId="20670"/>
    <cellStyle name="40% - akcent 3 3 2 3 2 4 3" xfId="20671"/>
    <cellStyle name="40% - akcent 3 3 2 3 2 5" xfId="20672"/>
    <cellStyle name="40% - akcent 3 3 2 3 2 5 2" xfId="20673"/>
    <cellStyle name="40% - akcent 3 3 2 3 2 5 2 2" xfId="20674"/>
    <cellStyle name="40% - akcent 3 3 2 3 2 5 3" xfId="20675"/>
    <cellStyle name="40% - akcent 3 3 2 3 2 6" xfId="20676"/>
    <cellStyle name="40% - akcent 3 3 2 3 2 6 2" xfId="20677"/>
    <cellStyle name="40% - akcent 3 3 2 3 2 7" xfId="20678"/>
    <cellStyle name="40% - akcent 3 3 2 3 3" xfId="20679"/>
    <cellStyle name="40% - akcent 3 3 2 3 3 2" xfId="20680"/>
    <cellStyle name="40% - akcent 3 3 2 3 3 2 2" xfId="20681"/>
    <cellStyle name="40% - akcent 3 3 2 3 3 2 2 2" xfId="20682"/>
    <cellStyle name="40% - akcent 3 3 2 3 3 2 3" xfId="20683"/>
    <cellStyle name="40% - akcent 3 3 2 3 3 3" xfId="20684"/>
    <cellStyle name="40% - akcent 3 3 2 3 3 3 2" xfId="20685"/>
    <cellStyle name="40% - akcent 3 3 2 3 3 3 2 2" xfId="20686"/>
    <cellStyle name="40% - akcent 3 3 2 3 3 3 3" xfId="20687"/>
    <cellStyle name="40% - akcent 3 3 2 3 3 4" xfId="20688"/>
    <cellStyle name="40% - akcent 3 3 2 3 3 4 2" xfId="20689"/>
    <cellStyle name="40% - akcent 3 3 2 3 3 4 2 2" xfId="20690"/>
    <cellStyle name="40% - akcent 3 3 2 3 3 4 3" xfId="20691"/>
    <cellStyle name="40% - akcent 3 3 2 3 3 5" xfId="20692"/>
    <cellStyle name="40% - akcent 3 3 2 3 3 5 2" xfId="20693"/>
    <cellStyle name="40% - akcent 3 3 2 3 3 6" xfId="20694"/>
    <cellStyle name="40% - akcent 3 3 2 3 4" xfId="20695"/>
    <cellStyle name="40% - akcent 3 3 2 3 4 2" xfId="20696"/>
    <cellStyle name="40% - akcent 3 3 2 3 4 2 2" xfId="20697"/>
    <cellStyle name="40% - akcent 3 3 2 3 4 2 2 2" xfId="20698"/>
    <cellStyle name="40% - akcent 3 3 2 3 4 2 3" xfId="20699"/>
    <cellStyle name="40% - akcent 3 3 2 3 4 3" xfId="20700"/>
    <cellStyle name="40% - akcent 3 3 2 3 4 3 2" xfId="20701"/>
    <cellStyle name="40% - akcent 3 3 2 3 4 3 2 2" xfId="20702"/>
    <cellStyle name="40% - akcent 3 3 2 3 4 3 3" xfId="20703"/>
    <cellStyle name="40% - akcent 3 3 2 3 4 4" xfId="20704"/>
    <cellStyle name="40% - akcent 3 3 2 3 4 4 2" xfId="20705"/>
    <cellStyle name="40% - akcent 3 3 2 3 4 4 2 2" xfId="20706"/>
    <cellStyle name="40% - akcent 3 3 2 3 4 4 3" xfId="20707"/>
    <cellStyle name="40% - akcent 3 3 2 3 4 5" xfId="20708"/>
    <cellStyle name="40% - akcent 3 3 2 3 4 5 2" xfId="20709"/>
    <cellStyle name="40% - akcent 3 3 2 3 4 6" xfId="20710"/>
    <cellStyle name="40% - akcent 3 3 2 3 5" xfId="20711"/>
    <cellStyle name="40% - akcent 3 3 2 3 5 2" xfId="20712"/>
    <cellStyle name="40% - akcent 3 3 2 3 5 2 2" xfId="20713"/>
    <cellStyle name="40% - akcent 3 3 2 3 5 3" xfId="20714"/>
    <cellStyle name="40% - akcent 3 3 2 3 6" xfId="20715"/>
    <cellStyle name="40% - akcent 3 3 2 3 6 2" xfId="20716"/>
    <cellStyle name="40% - akcent 3 3 2 3 6 2 2" xfId="20717"/>
    <cellStyle name="40% - akcent 3 3 2 3 6 3" xfId="20718"/>
    <cellStyle name="40% - akcent 3 3 2 3 7" xfId="20719"/>
    <cellStyle name="40% - akcent 3 3 2 3 7 2" xfId="20720"/>
    <cellStyle name="40% - akcent 3 3 2 3 7 2 2" xfId="20721"/>
    <cellStyle name="40% - akcent 3 3 2 3 7 3" xfId="20722"/>
    <cellStyle name="40% - akcent 3 3 2 3 8" xfId="20723"/>
    <cellStyle name="40% - akcent 3 3 2 3 8 2" xfId="20724"/>
    <cellStyle name="40% - akcent 3 3 2 3 9" xfId="20725"/>
    <cellStyle name="40% - akcent 3 3 2 4" xfId="20726"/>
    <cellStyle name="40% - akcent 3 3 2 4 2" xfId="20727"/>
    <cellStyle name="40% - akcent 3 3 2 4 2 2" xfId="20728"/>
    <cellStyle name="40% - akcent 3 3 2 4 2 2 2" xfId="20729"/>
    <cellStyle name="40% - akcent 3 3 2 4 2 2 2 2" xfId="20730"/>
    <cellStyle name="40% - akcent 3 3 2 4 2 2 3" xfId="20731"/>
    <cellStyle name="40% - akcent 3 3 2 4 2 3" xfId="20732"/>
    <cellStyle name="40% - akcent 3 3 2 4 2 3 2" xfId="20733"/>
    <cellStyle name="40% - akcent 3 3 2 4 2 3 2 2" xfId="20734"/>
    <cellStyle name="40% - akcent 3 3 2 4 2 3 3" xfId="20735"/>
    <cellStyle name="40% - akcent 3 3 2 4 2 4" xfId="20736"/>
    <cellStyle name="40% - akcent 3 3 2 4 2 4 2" xfId="20737"/>
    <cellStyle name="40% - akcent 3 3 2 4 2 4 2 2" xfId="20738"/>
    <cellStyle name="40% - akcent 3 3 2 4 2 4 3" xfId="20739"/>
    <cellStyle name="40% - akcent 3 3 2 4 2 5" xfId="20740"/>
    <cellStyle name="40% - akcent 3 3 2 4 2 5 2" xfId="20741"/>
    <cellStyle name="40% - akcent 3 3 2 4 2 6" xfId="20742"/>
    <cellStyle name="40% - akcent 3 3 2 4 3" xfId="20743"/>
    <cellStyle name="40% - akcent 3 3 2 4 3 2" xfId="20744"/>
    <cellStyle name="40% - akcent 3 3 2 4 3 2 2" xfId="20745"/>
    <cellStyle name="40% - akcent 3 3 2 4 3 3" xfId="20746"/>
    <cellStyle name="40% - akcent 3 3 2 4 4" xfId="20747"/>
    <cellStyle name="40% - akcent 3 3 2 4 4 2" xfId="20748"/>
    <cellStyle name="40% - akcent 3 3 2 4 4 2 2" xfId="20749"/>
    <cellStyle name="40% - akcent 3 3 2 4 4 3" xfId="20750"/>
    <cellStyle name="40% - akcent 3 3 2 4 5" xfId="20751"/>
    <cellStyle name="40% - akcent 3 3 2 4 5 2" xfId="20752"/>
    <cellStyle name="40% - akcent 3 3 2 4 5 2 2" xfId="20753"/>
    <cellStyle name="40% - akcent 3 3 2 4 5 3" xfId="20754"/>
    <cellStyle name="40% - akcent 3 3 2 4 6" xfId="20755"/>
    <cellStyle name="40% - akcent 3 3 2 4 6 2" xfId="20756"/>
    <cellStyle name="40% - akcent 3 3 2 4 7" xfId="20757"/>
    <cellStyle name="40% - akcent 3 3 2 5" xfId="20758"/>
    <cellStyle name="40% - akcent 3 3 2 5 2" xfId="20759"/>
    <cellStyle name="40% - akcent 3 3 2 5 2 2" xfId="20760"/>
    <cellStyle name="40% - akcent 3 3 2 5 2 2 2" xfId="20761"/>
    <cellStyle name="40% - akcent 3 3 2 5 2 3" xfId="20762"/>
    <cellStyle name="40% - akcent 3 3 2 5 3" xfId="20763"/>
    <cellStyle name="40% - akcent 3 3 2 5 3 2" xfId="20764"/>
    <cellStyle name="40% - akcent 3 3 2 5 3 2 2" xfId="20765"/>
    <cellStyle name="40% - akcent 3 3 2 5 3 3" xfId="20766"/>
    <cellStyle name="40% - akcent 3 3 2 5 4" xfId="20767"/>
    <cellStyle name="40% - akcent 3 3 2 5 4 2" xfId="20768"/>
    <cellStyle name="40% - akcent 3 3 2 5 4 2 2" xfId="20769"/>
    <cellStyle name="40% - akcent 3 3 2 5 4 3" xfId="20770"/>
    <cellStyle name="40% - akcent 3 3 2 5 5" xfId="20771"/>
    <cellStyle name="40% - akcent 3 3 2 5 5 2" xfId="20772"/>
    <cellStyle name="40% - akcent 3 3 2 5 6" xfId="20773"/>
    <cellStyle name="40% - akcent 3 3 2 6" xfId="20774"/>
    <cellStyle name="40% - akcent 3 3 2 6 2" xfId="20775"/>
    <cellStyle name="40% - akcent 3 3 2 6 2 2" xfId="20776"/>
    <cellStyle name="40% - akcent 3 3 2 6 2 2 2" xfId="20777"/>
    <cellStyle name="40% - akcent 3 3 2 6 2 3" xfId="20778"/>
    <cellStyle name="40% - akcent 3 3 2 6 3" xfId="20779"/>
    <cellStyle name="40% - akcent 3 3 2 6 3 2" xfId="20780"/>
    <cellStyle name="40% - akcent 3 3 2 6 3 2 2" xfId="20781"/>
    <cellStyle name="40% - akcent 3 3 2 6 3 3" xfId="20782"/>
    <cellStyle name="40% - akcent 3 3 2 6 4" xfId="20783"/>
    <cellStyle name="40% - akcent 3 3 2 6 4 2" xfId="20784"/>
    <cellStyle name="40% - akcent 3 3 2 6 4 2 2" xfId="20785"/>
    <cellStyle name="40% - akcent 3 3 2 6 4 3" xfId="20786"/>
    <cellStyle name="40% - akcent 3 3 2 6 5" xfId="20787"/>
    <cellStyle name="40% - akcent 3 3 2 6 5 2" xfId="20788"/>
    <cellStyle name="40% - akcent 3 3 2 6 6" xfId="20789"/>
    <cellStyle name="40% - akcent 3 3 2 7" xfId="20790"/>
    <cellStyle name="40% - akcent 3 3 2 8" xfId="20791"/>
    <cellStyle name="40% - akcent 3 3 2 8 2" xfId="20792"/>
    <cellStyle name="40% - akcent 3 3 2 8 2 2" xfId="20793"/>
    <cellStyle name="40% - akcent 3 3 2 8 2 2 2" xfId="20794"/>
    <cellStyle name="40% - akcent 3 3 2 8 2 3" xfId="20795"/>
    <cellStyle name="40% - akcent 3 3 2 8 3" xfId="20796"/>
    <cellStyle name="40% - akcent 3 3 2 8 3 2" xfId="20797"/>
    <cellStyle name="40% - akcent 3 3 2 8 3 2 2" xfId="20798"/>
    <cellStyle name="40% - akcent 3 3 2 8 3 3" xfId="20799"/>
    <cellStyle name="40% - akcent 3 3 2 8 4" xfId="20800"/>
    <cellStyle name="40% - akcent 3 3 2 8 4 2" xfId="20801"/>
    <cellStyle name="40% - akcent 3 3 2 8 4 2 2" xfId="20802"/>
    <cellStyle name="40% - akcent 3 3 2 8 4 3" xfId="20803"/>
    <cellStyle name="40% - akcent 3 3 2 8 5" xfId="20804"/>
    <cellStyle name="40% - akcent 3 3 2 8 5 2" xfId="20805"/>
    <cellStyle name="40% - akcent 3 3 2 8 6" xfId="20806"/>
    <cellStyle name="40% - akcent 3 3 3" xfId="20807"/>
    <cellStyle name="40% - akcent 3 3 3 2" xfId="20808"/>
    <cellStyle name="40% - akcent 3 3 3 2 2" xfId="20809"/>
    <cellStyle name="40% - akcent 3 3 3 2 2 2" xfId="20810"/>
    <cellStyle name="40% - akcent 3 3 3 2 2 2 2" xfId="20811"/>
    <cellStyle name="40% - akcent 3 3 3 2 2 2 2 2" xfId="20812"/>
    <cellStyle name="40% - akcent 3 3 3 2 2 2 2 2 2" xfId="20813"/>
    <cellStyle name="40% - akcent 3 3 3 2 2 2 2 3" xfId="20814"/>
    <cellStyle name="40% - akcent 3 3 3 2 2 2 3" xfId="20815"/>
    <cellStyle name="40% - akcent 3 3 3 2 2 2 3 2" xfId="20816"/>
    <cellStyle name="40% - akcent 3 3 3 2 2 2 3 2 2" xfId="20817"/>
    <cellStyle name="40% - akcent 3 3 3 2 2 2 3 3" xfId="20818"/>
    <cellStyle name="40% - akcent 3 3 3 2 2 2 4" xfId="20819"/>
    <cellStyle name="40% - akcent 3 3 3 2 2 2 4 2" xfId="20820"/>
    <cellStyle name="40% - akcent 3 3 3 2 2 2 4 2 2" xfId="20821"/>
    <cellStyle name="40% - akcent 3 3 3 2 2 2 4 3" xfId="20822"/>
    <cellStyle name="40% - akcent 3 3 3 2 2 2 5" xfId="20823"/>
    <cellStyle name="40% - akcent 3 3 3 2 2 2 5 2" xfId="20824"/>
    <cellStyle name="40% - akcent 3 3 3 2 2 2 6" xfId="20825"/>
    <cellStyle name="40% - akcent 3 3 3 2 2 3" xfId="20826"/>
    <cellStyle name="40% - akcent 3 3 3 2 2 3 2" xfId="20827"/>
    <cellStyle name="40% - akcent 3 3 3 2 2 3 2 2" xfId="20828"/>
    <cellStyle name="40% - akcent 3 3 3 2 2 3 3" xfId="20829"/>
    <cellStyle name="40% - akcent 3 3 3 2 2 4" xfId="20830"/>
    <cellStyle name="40% - akcent 3 3 3 2 2 4 2" xfId="20831"/>
    <cellStyle name="40% - akcent 3 3 3 2 2 4 2 2" xfId="20832"/>
    <cellStyle name="40% - akcent 3 3 3 2 2 4 3" xfId="20833"/>
    <cellStyle name="40% - akcent 3 3 3 2 2 5" xfId="20834"/>
    <cellStyle name="40% - akcent 3 3 3 2 2 5 2" xfId="20835"/>
    <cellStyle name="40% - akcent 3 3 3 2 2 5 2 2" xfId="20836"/>
    <cellStyle name="40% - akcent 3 3 3 2 2 5 3" xfId="20837"/>
    <cellStyle name="40% - akcent 3 3 3 2 2 6" xfId="20838"/>
    <cellStyle name="40% - akcent 3 3 3 2 2 6 2" xfId="20839"/>
    <cellStyle name="40% - akcent 3 3 3 2 2 7" xfId="20840"/>
    <cellStyle name="40% - akcent 3 3 3 2 3" xfId="20841"/>
    <cellStyle name="40% - akcent 3 3 3 2 3 2" xfId="20842"/>
    <cellStyle name="40% - akcent 3 3 3 2 3 2 2" xfId="20843"/>
    <cellStyle name="40% - akcent 3 3 3 2 3 2 2 2" xfId="20844"/>
    <cellStyle name="40% - akcent 3 3 3 2 3 2 3" xfId="20845"/>
    <cellStyle name="40% - akcent 3 3 3 2 3 3" xfId="20846"/>
    <cellStyle name="40% - akcent 3 3 3 2 3 3 2" xfId="20847"/>
    <cellStyle name="40% - akcent 3 3 3 2 3 3 2 2" xfId="20848"/>
    <cellStyle name="40% - akcent 3 3 3 2 3 3 3" xfId="20849"/>
    <cellStyle name="40% - akcent 3 3 3 2 3 4" xfId="20850"/>
    <cellStyle name="40% - akcent 3 3 3 2 3 4 2" xfId="20851"/>
    <cellStyle name="40% - akcent 3 3 3 2 3 4 2 2" xfId="20852"/>
    <cellStyle name="40% - akcent 3 3 3 2 3 4 3" xfId="20853"/>
    <cellStyle name="40% - akcent 3 3 3 2 3 5" xfId="20854"/>
    <cellStyle name="40% - akcent 3 3 3 2 3 5 2" xfId="20855"/>
    <cellStyle name="40% - akcent 3 3 3 2 3 6" xfId="20856"/>
    <cellStyle name="40% - akcent 3 3 3 2 4" xfId="20857"/>
    <cellStyle name="40% - akcent 3 3 3 2 4 2" xfId="20858"/>
    <cellStyle name="40% - akcent 3 3 3 2 4 2 2" xfId="20859"/>
    <cellStyle name="40% - akcent 3 3 3 2 4 2 2 2" xfId="20860"/>
    <cellStyle name="40% - akcent 3 3 3 2 4 2 3" xfId="20861"/>
    <cellStyle name="40% - akcent 3 3 3 2 4 3" xfId="20862"/>
    <cellStyle name="40% - akcent 3 3 3 2 4 3 2" xfId="20863"/>
    <cellStyle name="40% - akcent 3 3 3 2 4 3 2 2" xfId="20864"/>
    <cellStyle name="40% - akcent 3 3 3 2 4 3 3" xfId="20865"/>
    <cellStyle name="40% - akcent 3 3 3 2 4 4" xfId="20866"/>
    <cellStyle name="40% - akcent 3 3 3 2 4 4 2" xfId="20867"/>
    <cellStyle name="40% - akcent 3 3 3 2 4 4 2 2" xfId="20868"/>
    <cellStyle name="40% - akcent 3 3 3 2 4 4 3" xfId="20869"/>
    <cellStyle name="40% - akcent 3 3 3 2 4 5" xfId="20870"/>
    <cellStyle name="40% - akcent 3 3 3 2 4 5 2" xfId="20871"/>
    <cellStyle name="40% - akcent 3 3 3 2 4 6" xfId="20872"/>
    <cellStyle name="40% - akcent 3 3 3 2 5" xfId="20873"/>
    <cellStyle name="40% - akcent 3 3 3 2 5 2" xfId="20874"/>
    <cellStyle name="40% - akcent 3 3 3 2 5 2 2" xfId="20875"/>
    <cellStyle name="40% - akcent 3 3 3 2 5 3" xfId="20876"/>
    <cellStyle name="40% - akcent 3 3 3 2 6" xfId="20877"/>
    <cellStyle name="40% - akcent 3 3 3 2 6 2" xfId="20878"/>
    <cellStyle name="40% - akcent 3 3 3 2 6 2 2" xfId="20879"/>
    <cellStyle name="40% - akcent 3 3 3 2 6 3" xfId="20880"/>
    <cellStyle name="40% - akcent 3 3 3 2 7" xfId="20881"/>
    <cellStyle name="40% - akcent 3 3 3 2 7 2" xfId="20882"/>
    <cellStyle name="40% - akcent 3 3 3 2 7 2 2" xfId="20883"/>
    <cellStyle name="40% - akcent 3 3 3 2 7 3" xfId="20884"/>
    <cellStyle name="40% - akcent 3 3 3 2 8" xfId="20885"/>
    <cellStyle name="40% - akcent 3 3 3 2 8 2" xfId="20886"/>
    <cellStyle name="40% - akcent 3 3 3 2 9" xfId="20887"/>
    <cellStyle name="40% - akcent 3 3 3 3" xfId="20888"/>
    <cellStyle name="40% - akcent 3 3 3 3 2" xfId="20889"/>
    <cellStyle name="40% - akcent 3 3 3 3 2 2" xfId="20890"/>
    <cellStyle name="40% - akcent 3 3 3 3 2 2 2" xfId="20891"/>
    <cellStyle name="40% - akcent 3 3 3 3 2 2 2 2" xfId="20892"/>
    <cellStyle name="40% - akcent 3 3 3 3 2 2 3" xfId="20893"/>
    <cellStyle name="40% - akcent 3 3 3 3 2 3" xfId="20894"/>
    <cellStyle name="40% - akcent 3 3 3 3 2 3 2" xfId="20895"/>
    <cellStyle name="40% - akcent 3 3 3 3 2 3 2 2" xfId="20896"/>
    <cellStyle name="40% - akcent 3 3 3 3 2 3 3" xfId="20897"/>
    <cellStyle name="40% - akcent 3 3 3 3 2 4" xfId="20898"/>
    <cellStyle name="40% - akcent 3 3 3 3 2 4 2" xfId="20899"/>
    <cellStyle name="40% - akcent 3 3 3 3 2 4 2 2" xfId="20900"/>
    <cellStyle name="40% - akcent 3 3 3 3 2 4 3" xfId="20901"/>
    <cellStyle name="40% - akcent 3 3 3 3 2 5" xfId="20902"/>
    <cellStyle name="40% - akcent 3 3 3 3 2 5 2" xfId="20903"/>
    <cellStyle name="40% - akcent 3 3 3 3 2 6" xfId="20904"/>
    <cellStyle name="40% - akcent 3 3 3 3 3" xfId="20905"/>
    <cellStyle name="40% - akcent 3 3 3 3 3 2" xfId="20906"/>
    <cellStyle name="40% - akcent 3 3 3 3 3 2 2" xfId="20907"/>
    <cellStyle name="40% - akcent 3 3 3 3 3 3" xfId="20908"/>
    <cellStyle name="40% - akcent 3 3 3 3 4" xfId="20909"/>
    <cellStyle name="40% - akcent 3 3 3 3 4 2" xfId="20910"/>
    <cellStyle name="40% - akcent 3 3 3 3 4 2 2" xfId="20911"/>
    <cellStyle name="40% - akcent 3 3 3 3 4 3" xfId="20912"/>
    <cellStyle name="40% - akcent 3 3 3 3 5" xfId="20913"/>
    <cellStyle name="40% - akcent 3 3 3 3 5 2" xfId="20914"/>
    <cellStyle name="40% - akcent 3 3 3 3 5 2 2" xfId="20915"/>
    <cellStyle name="40% - akcent 3 3 3 3 5 3" xfId="20916"/>
    <cellStyle name="40% - akcent 3 3 3 3 6" xfId="20917"/>
    <cellStyle name="40% - akcent 3 3 3 3 6 2" xfId="20918"/>
    <cellStyle name="40% - akcent 3 3 3 3 7" xfId="20919"/>
    <cellStyle name="40% - akcent 3 3 3 4" xfId="20920"/>
    <cellStyle name="40% - akcent 3 3 3 4 2" xfId="20921"/>
    <cellStyle name="40% - akcent 3 3 3 4 2 2" xfId="20922"/>
    <cellStyle name="40% - akcent 3 3 3 4 2 2 2" xfId="20923"/>
    <cellStyle name="40% - akcent 3 3 3 4 2 3" xfId="20924"/>
    <cellStyle name="40% - akcent 3 3 3 4 3" xfId="20925"/>
    <cellStyle name="40% - akcent 3 3 3 4 3 2" xfId="20926"/>
    <cellStyle name="40% - akcent 3 3 3 4 3 2 2" xfId="20927"/>
    <cellStyle name="40% - akcent 3 3 3 4 3 3" xfId="20928"/>
    <cellStyle name="40% - akcent 3 3 3 4 4" xfId="20929"/>
    <cellStyle name="40% - akcent 3 3 3 4 4 2" xfId="20930"/>
    <cellStyle name="40% - akcent 3 3 3 4 4 2 2" xfId="20931"/>
    <cellStyle name="40% - akcent 3 3 3 4 4 3" xfId="20932"/>
    <cellStyle name="40% - akcent 3 3 3 4 5" xfId="20933"/>
    <cellStyle name="40% - akcent 3 3 3 4 5 2" xfId="20934"/>
    <cellStyle name="40% - akcent 3 3 3 4 6" xfId="20935"/>
    <cellStyle name="40% - akcent 3 3 3 5" xfId="20936"/>
    <cellStyle name="40% - akcent 3 3 3 5 2" xfId="20937"/>
    <cellStyle name="40% - akcent 3 3 3 5 2 2" xfId="20938"/>
    <cellStyle name="40% - akcent 3 3 3 5 2 2 2" xfId="20939"/>
    <cellStyle name="40% - akcent 3 3 3 5 2 3" xfId="20940"/>
    <cellStyle name="40% - akcent 3 3 3 5 3" xfId="20941"/>
    <cellStyle name="40% - akcent 3 3 3 5 3 2" xfId="20942"/>
    <cellStyle name="40% - akcent 3 3 3 5 3 2 2" xfId="20943"/>
    <cellStyle name="40% - akcent 3 3 3 5 3 3" xfId="20944"/>
    <cellStyle name="40% - akcent 3 3 3 5 4" xfId="20945"/>
    <cellStyle name="40% - akcent 3 3 3 5 4 2" xfId="20946"/>
    <cellStyle name="40% - akcent 3 3 3 5 4 2 2" xfId="20947"/>
    <cellStyle name="40% - akcent 3 3 3 5 4 3" xfId="20948"/>
    <cellStyle name="40% - akcent 3 3 3 5 5" xfId="20949"/>
    <cellStyle name="40% - akcent 3 3 3 5 5 2" xfId="20950"/>
    <cellStyle name="40% - akcent 3 3 3 5 6" xfId="20951"/>
    <cellStyle name="40% - akcent 3 3 3 6" xfId="20952"/>
    <cellStyle name="40% - akcent 3 3 3 6 2" xfId="20953"/>
    <cellStyle name="40% - akcent 3 3 3 6 2 2" xfId="20954"/>
    <cellStyle name="40% - akcent 3 3 3 6 2 2 2" xfId="20955"/>
    <cellStyle name="40% - akcent 3 3 3 6 2 3" xfId="20956"/>
    <cellStyle name="40% - akcent 3 3 3 6 3" xfId="20957"/>
    <cellStyle name="40% - akcent 3 3 3 6 3 2" xfId="20958"/>
    <cellStyle name="40% - akcent 3 3 3 6 3 2 2" xfId="20959"/>
    <cellStyle name="40% - akcent 3 3 3 6 3 3" xfId="20960"/>
    <cellStyle name="40% - akcent 3 3 3 6 4" xfId="20961"/>
    <cellStyle name="40% - akcent 3 3 3 6 4 2" xfId="20962"/>
    <cellStyle name="40% - akcent 3 3 3 6 4 2 2" xfId="20963"/>
    <cellStyle name="40% - akcent 3 3 3 6 4 3" xfId="20964"/>
    <cellStyle name="40% - akcent 3 3 3 6 5" xfId="20965"/>
    <cellStyle name="40% - akcent 3 3 3 6 5 2" xfId="20966"/>
    <cellStyle name="40% - akcent 3 3 3 6 6" xfId="20967"/>
    <cellStyle name="40% - akcent 3 3 4" xfId="20968"/>
    <cellStyle name="40% - akcent 3 3 4 10" xfId="20969"/>
    <cellStyle name="40% - akcent 3 3 4 2" xfId="20970"/>
    <cellStyle name="40% - akcent 3 3 4 2 2" xfId="20971"/>
    <cellStyle name="40% - akcent 3 3 4 2 2 2" xfId="20972"/>
    <cellStyle name="40% - akcent 3 3 4 2 2 2 2" xfId="20973"/>
    <cellStyle name="40% - akcent 3 3 4 2 2 2 2 2" xfId="20974"/>
    <cellStyle name="40% - akcent 3 3 4 2 2 2 2 2 2" xfId="20975"/>
    <cellStyle name="40% - akcent 3 3 4 2 2 2 2 3" xfId="20976"/>
    <cellStyle name="40% - akcent 3 3 4 2 2 2 3" xfId="20977"/>
    <cellStyle name="40% - akcent 3 3 4 2 2 2 3 2" xfId="20978"/>
    <cellStyle name="40% - akcent 3 3 4 2 2 2 3 2 2" xfId="20979"/>
    <cellStyle name="40% - akcent 3 3 4 2 2 2 3 3" xfId="20980"/>
    <cellStyle name="40% - akcent 3 3 4 2 2 2 4" xfId="20981"/>
    <cellStyle name="40% - akcent 3 3 4 2 2 2 4 2" xfId="20982"/>
    <cellStyle name="40% - akcent 3 3 4 2 2 2 4 2 2" xfId="20983"/>
    <cellStyle name="40% - akcent 3 3 4 2 2 2 4 3" xfId="20984"/>
    <cellStyle name="40% - akcent 3 3 4 2 2 2 5" xfId="20985"/>
    <cellStyle name="40% - akcent 3 3 4 2 2 2 5 2" xfId="20986"/>
    <cellStyle name="40% - akcent 3 3 4 2 2 2 6" xfId="20987"/>
    <cellStyle name="40% - akcent 3 3 4 2 2 3" xfId="20988"/>
    <cellStyle name="40% - akcent 3 3 4 2 2 3 2" xfId="20989"/>
    <cellStyle name="40% - akcent 3 3 4 2 2 3 2 2" xfId="20990"/>
    <cellStyle name="40% - akcent 3 3 4 2 2 3 3" xfId="20991"/>
    <cellStyle name="40% - akcent 3 3 4 2 2 4" xfId="20992"/>
    <cellStyle name="40% - akcent 3 3 4 2 2 4 2" xfId="20993"/>
    <cellStyle name="40% - akcent 3 3 4 2 2 4 2 2" xfId="20994"/>
    <cellStyle name="40% - akcent 3 3 4 2 2 4 3" xfId="20995"/>
    <cellStyle name="40% - akcent 3 3 4 2 2 5" xfId="20996"/>
    <cellStyle name="40% - akcent 3 3 4 2 2 5 2" xfId="20997"/>
    <cellStyle name="40% - akcent 3 3 4 2 2 5 2 2" xfId="20998"/>
    <cellStyle name="40% - akcent 3 3 4 2 2 5 3" xfId="20999"/>
    <cellStyle name="40% - akcent 3 3 4 2 2 6" xfId="21000"/>
    <cellStyle name="40% - akcent 3 3 4 2 2 6 2" xfId="21001"/>
    <cellStyle name="40% - akcent 3 3 4 2 2 7" xfId="21002"/>
    <cellStyle name="40% - akcent 3 3 4 2 3" xfId="21003"/>
    <cellStyle name="40% - akcent 3 3 4 2 3 2" xfId="21004"/>
    <cellStyle name="40% - akcent 3 3 4 2 3 2 2" xfId="21005"/>
    <cellStyle name="40% - akcent 3 3 4 2 3 2 2 2" xfId="21006"/>
    <cellStyle name="40% - akcent 3 3 4 2 3 2 3" xfId="21007"/>
    <cellStyle name="40% - akcent 3 3 4 2 3 3" xfId="21008"/>
    <cellStyle name="40% - akcent 3 3 4 2 3 3 2" xfId="21009"/>
    <cellStyle name="40% - akcent 3 3 4 2 3 3 2 2" xfId="21010"/>
    <cellStyle name="40% - akcent 3 3 4 2 3 3 3" xfId="21011"/>
    <cellStyle name="40% - akcent 3 3 4 2 3 4" xfId="21012"/>
    <cellStyle name="40% - akcent 3 3 4 2 3 4 2" xfId="21013"/>
    <cellStyle name="40% - akcent 3 3 4 2 3 4 2 2" xfId="21014"/>
    <cellStyle name="40% - akcent 3 3 4 2 3 4 3" xfId="21015"/>
    <cellStyle name="40% - akcent 3 3 4 2 3 5" xfId="21016"/>
    <cellStyle name="40% - akcent 3 3 4 2 3 5 2" xfId="21017"/>
    <cellStyle name="40% - akcent 3 3 4 2 3 6" xfId="21018"/>
    <cellStyle name="40% - akcent 3 3 4 2 4" xfId="21019"/>
    <cellStyle name="40% - akcent 3 3 4 2 4 2" xfId="21020"/>
    <cellStyle name="40% - akcent 3 3 4 2 4 2 2" xfId="21021"/>
    <cellStyle name="40% - akcent 3 3 4 2 4 2 2 2" xfId="21022"/>
    <cellStyle name="40% - akcent 3 3 4 2 4 2 3" xfId="21023"/>
    <cellStyle name="40% - akcent 3 3 4 2 4 3" xfId="21024"/>
    <cellStyle name="40% - akcent 3 3 4 2 4 3 2" xfId="21025"/>
    <cellStyle name="40% - akcent 3 3 4 2 4 3 2 2" xfId="21026"/>
    <cellStyle name="40% - akcent 3 3 4 2 4 3 3" xfId="21027"/>
    <cellStyle name="40% - akcent 3 3 4 2 4 4" xfId="21028"/>
    <cellStyle name="40% - akcent 3 3 4 2 4 4 2" xfId="21029"/>
    <cellStyle name="40% - akcent 3 3 4 2 4 4 2 2" xfId="21030"/>
    <cellStyle name="40% - akcent 3 3 4 2 4 4 3" xfId="21031"/>
    <cellStyle name="40% - akcent 3 3 4 2 4 5" xfId="21032"/>
    <cellStyle name="40% - akcent 3 3 4 2 4 5 2" xfId="21033"/>
    <cellStyle name="40% - akcent 3 3 4 2 4 6" xfId="21034"/>
    <cellStyle name="40% - akcent 3 3 4 2 5" xfId="21035"/>
    <cellStyle name="40% - akcent 3 3 4 2 5 2" xfId="21036"/>
    <cellStyle name="40% - akcent 3 3 4 2 5 2 2" xfId="21037"/>
    <cellStyle name="40% - akcent 3 3 4 2 5 3" xfId="21038"/>
    <cellStyle name="40% - akcent 3 3 4 2 6" xfId="21039"/>
    <cellStyle name="40% - akcent 3 3 4 2 6 2" xfId="21040"/>
    <cellStyle name="40% - akcent 3 3 4 2 6 2 2" xfId="21041"/>
    <cellStyle name="40% - akcent 3 3 4 2 6 3" xfId="21042"/>
    <cellStyle name="40% - akcent 3 3 4 2 7" xfId="21043"/>
    <cellStyle name="40% - akcent 3 3 4 2 7 2" xfId="21044"/>
    <cellStyle name="40% - akcent 3 3 4 2 7 2 2" xfId="21045"/>
    <cellStyle name="40% - akcent 3 3 4 2 7 3" xfId="21046"/>
    <cellStyle name="40% - akcent 3 3 4 2 8" xfId="21047"/>
    <cellStyle name="40% - akcent 3 3 4 2 8 2" xfId="21048"/>
    <cellStyle name="40% - akcent 3 3 4 2 9" xfId="21049"/>
    <cellStyle name="40% - akcent 3 3 4 3" xfId="21050"/>
    <cellStyle name="40% - akcent 3 3 4 3 2" xfId="21051"/>
    <cellStyle name="40% - akcent 3 3 4 3 2 2" xfId="21052"/>
    <cellStyle name="40% - akcent 3 3 4 3 2 2 2" xfId="21053"/>
    <cellStyle name="40% - akcent 3 3 4 3 2 2 2 2" xfId="21054"/>
    <cellStyle name="40% - akcent 3 3 4 3 2 2 3" xfId="21055"/>
    <cellStyle name="40% - akcent 3 3 4 3 2 3" xfId="21056"/>
    <cellStyle name="40% - akcent 3 3 4 3 2 3 2" xfId="21057"/>
    <cellStyle name="40% - akcent 3 3 4 3 2 3 2 2" xfId="21058"/>
    <cellStyle name="40% - akcent 3 3 4 3 2 3 3" xfId="21059"/>
    <cellStyle name="40% - akcent 3 3 4 3 2 4" xfId="21060"/>
    <cellStyle name="40% - akcent 3 3 4 3 2 4 2" xfId="21061"/>
    <cellStyle name="40% - akcent 3 3 4 3 2 4 2 2" xfId="21062"/>
    <cellStyle name="40% - akcent 3 3 4 3 2 4 3" xfId="21063"/>
    <cellStyle name="40% - akcent 3 3 4 3 2 5" xfId="21064"/>
    <cellStyle name="40% - akcent 3 3 4 3 2 5 2" xfId="21065"/>
    <cellStyle name="40% - akcent 3 3 4 3 2 6" xfId="21066"/>
    <cellStyle name="40% - akcent 3 3 4 3 3" xfId="21067"/>
    <cellStyle name="40% - akcent 3 3 4 3 3 2" xfId="21068"/>
    <cellStyle name="40% - akcent 3 3 4 3 3 2 2" xfId="21069"/>
    <cellStyle name="40% - akcent 3 3 4 3 3 3" xfId="21070"/>
    <cellStyle name="40% - akcent 3 3 4 3 4" xfId="21071"/>
    <cellStyle name="40% - akcent 3 3 4 3 4 2" xfId="21072"/>
    <cellStyle name="40% - akcent 3 3 4 3 4 2 2" xfId="21073"/>
    <cellStyle name="40% - akcent 3 3 4 3 4 3" xfId="21074"/>
    <cellStyle name="40% - akcent 3 3 4 3 5" xfId="21075"/>
    <cellStyle name="40% - akcent 3 3 4 3 5 2" xfId="21076"/>
    <cellStyle name="40% - akcent 3 3 4 3 5 2 2" xfId="21077"/>
    <cellStyle name="40% - akcent 3 3 4 3 5 3" xfId="21078"/>
    <cellStyle name="40% - akcent 3 3 4 3 6" xfId="21079"/>
    <cellStyle name="40% - akcent 3 3 4 3 6 2" xfId="21080"/>
    <cellStyle name="40% - akcent 3 3 4 3 7" xfId="21081"/>
    <cellStyle name="40% - akcent 3 3 4 4" xfId="21082"/>
    <cellStyle name="40% - akcent 3 3 4 4 2" xfId="21083"/>
    <cellStyle name="40% - akcent 3 3 4 4 2 2" xfId="21084"/>
    <cellStyle name="40% - akcent 3 3 4 4 2 2 2" xfId="21085"/>
    <cellStyle name="40% - akcent 3 3 4 4 2 3" xfId="21086"/>
    <cellStyle name="40% - akcent 3 3 4 4 3" xfId="21087"/>
    <cellStyle name="40% - akcent 3 3 4 4 3 2" xfId="21088"/>
    <cellStyle name="40% - akcent 3 3 4 4 3 2 2" xfId="21089"/>
    <cellStyle name="40% - akcent 3 3 4 4 3 3" xfId="21090"/>
    <cellStyle name="40% - akcent 3 3 4 4 4" xfId="21091"/>
    <cellStyle name="40% - akcent 3 3 4 4 4 2" xfId="21092"/>
    <cellStyle name="40% - akcent 3 3 4 4 4 2 2" xfId="21093"/>
    <cellStyle name="40% - akcent 3 3 4 4 4 3" xfId="21094"/>
    <cellStyle name="40% - akcent 3 3 4 4 5" xfId="21095"/>
    <cellStyle name="40% - akcent 3 3 4 4 5 2" xfId="21096"/>
    <cellStyle name="40% - akcent 3 3 4 4 6" xfId="21097"/>
    <cellStyle name="40% - akcent 3 3 4 5" xfId="21098"/>
    <cellStyle name="40% - akcent 3 3 4 5 2" xfId="21099"/>
    <cellStyle name="40% - akcent 3 3 4 5 2 2" xfId="21100"/>
    <cellStyle name="40% - akcent 3 3 4 5 2 2 2" xfId="21101"/>
    <cellStyle name="40% - akcent 3 3 4 5 2 3" xfId="21102"/>
    <cellStyle name="40% - akcent 3 3 4 5 3" xfId="21103"/>
    <cellStyle name="40% - akcent 3 3 4 5 3 2" xfId="21104"/>
    <cellStyle name="40% - akcent 3 3 4 5 3 2 2" xfId="21105"/>
    <cellStyle name="40% - akcent 3 3 4 5 3 3" xfId="21106"/>
    <cellStyle name="40% - akcent 3 3 4 5 4" xfId="21107"/>
    <cellStyle name="40% - akcent 3 3 4 5 4 2" xfId="21108"/>
    <cellStyle name="40% - akcent 3 3 4 5 4 2 2" xfId="21109"/>
    <cellStyle name="40% - akcent 3 3 4 5 4 3" xfId="21110"/>
    <cellStyle name="40% - akcent 3 3 4 5 5" xfId="21111"/>
    <cellStyle name="40% - akcent 3 3 4 5 5 2" xfId="21112"/>
    <cellStyle name="40% - akcent 3 3 4 5 6" xfId="21113"/>
    <cellStyle name="40% - akcent 3 3 4 6" xfId="21114"/>
    <cellStyle name="40% - akcent 3 3 4 6 2" xfId="21115"/>
    <cellStyle name="40% - akcent 3 3 4 6 2 2" xfId="21116"/>
    <cellStyle name="40% - akcent 3 3 4 6 3" xfId="21117"/>
    <cellStyle name="40% - akcent 3 3 4 7" xfId="21118"/>
    <cellStyle name="40% - akcent 3 3 4 7 2" xfId="21119"/>
    <cellStyle name="40% - akcent 3 3 4 7 2 2" xfId="21120"/>
    <cellStyle name="40% - akcent 3 3 4 7 3" xfId="21121"/>
    <cellStyle name="40% - akcent 3 3 4 8" xfId="21122"/>
    <cellStyle name="40% - akcent 3 3 4 8 2" xfId="21123"/>
    <cellStyle name="40% - akcent 3 3 4 8 2 2" xfId="21124"/>
    <cellStyle name="40% - akcent 3 3 4 8 3" xfId="21125"/>
    <cellStyle name="40% - akcent 3 3 4 9" xfId="21126"/>
    <cellStyle name="40% - akcent 3 3 4 9 2" xfId="21127"/>
    <cellStyle name="40% - akcent 3 3 5" xfId="21128"/>
    <cellStyle name="40% - akcent 3 3 5 2" xfId="21129"/>
    <cellStyle name="40% - akcent 3 3 5 2 2" xfId="21130"/>
    <cellStyle name="40% - akcent 3 3 5 2 2 2" xfId="21131"/>
    <cellStyle name="40% - akcent 3 3 5 2 2 2 2" xfId="21132"/>
    <cellStyle name="40% - akcent 3 3 5 2 2 2 2 2" xfId="21133"/>
    <cellStyle name="40% - akcent 3 3 5 2 2 2 3" xfId="21134"/>
    <cellStyle name="40% - akcent 3 3 5 2 2 3" xfId="21135"/>
    <cellStyle name="40% - akcent 3 3 5 2 2 3 2" xfId="21136"/>
    <cellStyle name="40% - akcent 3 3 5 2 2 3 2 2" xfId="21137"/>
    <cellStyle name="40% - akcent 3 3 5 2 2 3 3" xfId="21138"/>
    <cellStyle name="40% - akcent 3 3 5 2 2 4" xfId="21139"/>
    <cellStyle name="40% - akcent 3 3 5 2 2 4 2" xfId="21140"/>
    <cellStyle name="40% - akcent 3 3 5 2 2 4 2 2" xfId="21141"/>
    <cellStyle name="40% - akcent 3 3 5 2 2 4 3" xfId="21142"/>
    <cellStyle name="40% - akcent 3 3 5 2 2 5" xfId="21143"/>
    <cellStyle name="40% - akcent 3 3 5 2 2 5 2" xfId="21144"/>
    <cellStyle name="40% - akcent 3 3 5 2 2 6" xfId="21145"/>
    <cellStyle name="40% - akcent 3 3 5 2 3" xfId="21146"/>
    <cellStyle name="40% - akcent 3 3 5 2 3 2" xfId="21147"/>
    <cellStyle name="40% - akcent 3 3 5 2 3 2 2" xfId="21148"/>
    <cellStyle name="40% - akcent 3 3 5 2 3 3" xfId="21149"/>
    <cellStyle name="40% - akcent 3 3 5 2 4" xfId="21150"/>
    <cellStyle name="40% - akcent 3 3 5 2 4 2" xfId="21151"/>
    <cellStyle name="40% - akcent 3 3 5 2 4 2 2" xfId="21152"/>
    <cellStyle name="40% - akcent 3 3 5 2 4 3" xfId="21153"/>
    <cellStyle name="40% - akcent 3 3 5 2 5" xfId="21154"/>
    <cellStyle name="40% - akcent 3 3 5 2 5 2" xfId="21155"/>
    <cellStyle name="40% - akcent 3 3 5 2 5 2 2" xfId="21156"/>
    <cellStyle name="40% - akcent 3 3 5 2 5 3" xfId="21157"/>
    <cellStyle name="40% - akcent 3 3 5 2 6" xfId="21158"/>
    <cellStyle name="40% - akcent 3 3 5 2 6 2" xfId="21159"/>
    <cellStyle name="40% - akcent 3 3 5 2 7" xfId="21160"/>
    <cellStyle name="40% - akcent 3 3 5 3" xfId="21161"/>
    <cellStyle name="40% - akcent 3 3 5 3 2" xfId="21162"/>
    <cellStyle name="40% - akcent 3 3 5 3 2 2" xfId="21163"/>
    <cellStyle name="40% - akcent 3 3 5 3 2 2 2" xfId="21164"/>
    <cellStyle name="40% - akcent 3 3 5 3 2 3" xfId="21165"/>
    <cellStyle name="40% - akcent 3 3 5 3 3" xfId="21166"/>
    <cellStyle name="40% - akcent 3 3 5 3 3 2" xfId="21167"/>
    <cellStyle name="40% - akcent 3 3 5 3 3 2 2" xfId="21168"/>
    <cellStyle name="40% - akcent 3 3 5 3 3 3" xfId="21169"/>
    <cellStyle name="40% - akcent 3 3 5 3 4" xfId="21170"/>
    <cellStyle name="40% - akcent 3 3 5 3 4 2" xfId="21171"/>
    <cellStyle name="40% - akcent 3 3 5 3 4 2 2" xfId="21172"/>
    <cellStyle name="40% - akcent 3 3 5 3 4 3" xfId="21173"/>
    <cellStyle name="40% - akcent 3 3 5 3 5" xfId="21174"/>
    <cellStyle name="40% - akcent 3 3 5 3 5 2" xfId="21175"/>
    <cellStyle name="40% - akcent 3 3 5 3 6" xfId="21176"/>
    <cellStyle name="40% - akcent 3 3 5 4" xfId="21177"/>
    <cellStyle name="40% - akcent 3 3 5 4 2" xfId="21178"/>
    <cellStyle name="40% - akcent 3 3 5 4 2 2" xfId="21179"/>
    <cellStyle name="40% - akcent 3 3 5 4 2 2 2" xfId="21180"/>
    <cellStyle name="40% - akcent 3 3 5 4 2 3" xfId="21181"/>
    <cellStyle name="40% - akcent 3 3 5 4 3" xfId="21182"/>
    <cellStyle name="40% - akcent 3 3 5 4 3 2" xfId="21183"/>
    <cellStyle name="40% - akcent 3 3 5 4 3 2 2" xfId="21184"/>
    <cellStyle name="40% - akcent 3 3 5 4 3 3" xfId="21185"/>
    <cellStyle name="40% - akcent 3 3 5 4 4" xfId="21186"/>
    <cellStyle name="40% - akcent 3 3 5 4 4 2" xfId="21187"/>
    <cellStyle name="40% - akcent 3 3 5 4 4 2 2" xfId="21188"/>
    <cellStyle name="40% - akcent 3 3 5 4 4 3" xfId="21189"/>
    <cellStyle name="40% - akcent 3 3 5 4 5" xfId="21190"/>
    <cellStyle name="40% - akcent 3 3 5 4 5 2" xfId="21191"/>
    <cellStyle name="40% - akcent 3 3 5 4 6" xfId="21192"/>
    <cellStyle name="40% - akcent 3 3 5 5" xfId="21193"/>
    <cellStyle name="40% - akcent 3 3 5 5 2" xfId="21194"/>
    <cellStyle name="40% - akcent 3 3 5 5 2 2" xfId="21195"/>
    <cellStyle name="40% - akcent 3 3 5 5 3" xfId="21196"/>
    <cellStyle name="40% - akcent 3 3 5 6" xfId="21197"/>
    <cellStyle name="40% - akcent 3 3 5 6 2" xfId="21198"/>
    <cellStyle name="40% - akcent 3 3 5 6 2 2" xfId="21199"/>
    <cellStyle name="40% - akcent 3 3 5 6 3" xfId="21200"/>
    <cellStyle name="40% - akcent 3 3 5 7" xfId="21201"/>
    <cellStyle name="40% - akcent 3 3 5 7 2" xfId="21202"/>
    <cellStyle name="40% - akcent 3 3 5 7 2 2" xfId="21203"/>
    <cellStyle name="40% - akcent 3 3 5 7 3" xfId="21204"/>
    <cellStyle name="40% - akcent 3 3 5 8" xfId="21205"/>
    <cellStyle name="40% - akcent 3 3 5 8 2" xfId="21206"/>
    <cellStyle name="40% - akcent 3 3 5 9" xfId="21207"/>
    <cellStyle name="40% - akcent 3 3 6" xfId="21208"/>
    <cellStyle name="40% - akcent 3 3 6 2" xfId="21209"/>
    <cellStyle name="40% - akcent 3 3 6 2 2" xfId="21210"/>
    <cellStyle name="40% - akcent 3 3 6 2 2 2" xfId="21211"/>
    <cellStyle name="40% - akcent 3 3 6 2 2 2 2" xfId="21212"/>
    <cellStyle name="40% - akcent 3 3 6 2 2 2 2 2" xfId="21213"/>
    <cellStyle name="40% - akcent 3 3 6 2 2 2 3" xfId="21214"/>
    <cellStyle name="40% - akcent 3 3 6 2 2 3" xfId="21215"/>
    <cellStyle name="40% - akcent 3 3 6 2 2 3 2" xfId="21216"/>
    <cellStyle name="40% - akcent 3 3 6 2 2 3 2 2" xfId="21217"/>
    <cellStyle name="40% - akcent 3 3 6 2 2 3 3" xfId="21218"/>
    <cellStyle name="40% - akcent 3 3 6 2 2 4" xfId="21219"/>
    <cellStyle name="40% - akcent 3 3 6 2 2 4 2" xfId="21220"/>
    <cellStyle name="40% - akcent 3 3 6 2 2 4 2 2" xfId="21221"/>
    <cellStyle name="40% - akcent 3 3 6 2 2 4 3" xfId="21222"/>
    <cellStyle name="40% - akcent 3 3 6 2 2 5" xfId="21223"/>
    <cellStyle name="40% - akcent 3 3 6 2 2 5 2" xfId="21224"/>
    <cellStyle name="40% - akcent 3 3 6 2 2 6" xfId="21225"/>
    <cellStyle name="40% - akcent 3 3 6 2 3" xfId="21226"/>
    <cellStyle name="40% - akcent 3 3 6 2 3 2" xfId="21227"/>
    <cellStyle name="40% - akcent 3 3 6 2 3 2 2" xfId="21228"/>
    <cellStyle name="40% - akcent 3 3 6 2 3 3" xfId="21229"/>
    <cellStyle name="40% - akcent 3 3 6 2 4" xfId="21230"/>
    <cellStyle name="40% - akcent 3 3 6 2 4 2" xfId="21231"/>
    <cellStyle name="40% - akcent 3 3 6 2 4 2 2" xfId="21232"/>
    <cellStyle name="40% - akcent 3 3 6 2 4 3" xfId="21233"/>
    <cellStyle name="40% - akcent 3 3 6 2 5" xfId="21234"/>
    <cellStyle name="40% - akcent 3 3 6 2 5 2" xfId="21235"/>
    <cellStyle name="40% - akcent 3 3 6 2 5 2 2" xfId="21236"/>
    <cellStyle name="40% - akcent 3 3 6 2 5 3" xfId="21237"/>
    <cellStyle name="40% - akcent 3 3 6 2 6" xfId="21238"/>
    <cellStyle name="40% - akcent 3 3 6 2 6 2" xfId="21239"/>
    <cellStyle name="40% - akcent 3 3 6 2 7" xfId="21240"/>
    <cellStyle name="40% - akcent 3 3 6 3" xfId="21241"/>
    <cellStyle name="40% - akcent 3 3 6 3 2" xfId="21242"/>
    <cellStyle name="40% - akcent 3 3 6 3 2 2" xfId="21243"/>
    <cellStyle name="40% - akcent 3 3 6 3 2 2 2" xfId="21244"/>
    <cellStyle name="40% - akcent 3 3 6 3 2 3" xfId="21245"/>
    <cellStyle name="40% - akcent 3 3 6 3 3" xfId="21246"/>
    <cellStyle name="40% - akcent 3 3 6 3 3 2" xfId="21247"/>
    <cellStyle name="40% - akcent 3 3 6 3 3 2 2" xfId="21248"/>
    <cellStyle name="40% - akcent 3 3 6 3 3 3" xfId="21249"/>
    <cellStyle name="40% - akcent 3 3 6 3 4" xfId="21250"/>
    <cellStyle name="40% - akcent 3 3 6 3 4 2" xfId="21251"/>
    <cellStyle name="40% - akcent 3 3 6 3 4 2 2" xfId="21252"/>
    <cellStyle name="40% - akcent 3 3 6 3 4 3" xfId="21253"/>
    <cellStyle name="40% - akcent 3 3 6 3 5" xfId="21254"/>
    <cellStyle name="40% - akcent 3 3 6 3 5 2" xfId="21255"/>
    <cellStyle name="40% - akcent 3 3 6 3 6" xfId="21256"/>
    <cellStyle name="40% - akcent 3 3 6 4" xfId="21257"/>
    <cellStyle name="40% - akcent 3 3 6 4 2" xfId="21258"/>
    <cellStyle name="40% - akcent 3 3 6 4 2 2" xfId="21259"/>
    <cellStyle name="40% - akcent 3 3 6 4 2 2 2" xfId="21260"/>
    <cellStyle name="40% - akcent 3 3 6 4 2 3" xfId="21261"/>
    <cellStyle name="40% - akcent 3 3 6 4 3" xfId="21262"/>
    <cellStyle name="40% - akcent 3 3 6 4 3 2" xfId="21263"/>
    <cellStyle name="40% - akcent 3 3 6 4 3 2 2" xfId="21264"/>
    <cellStyle name="40% - akcent 3 3 6 4 3 3" xfId="21265"/>
    <cellStyle name="40% - akcent 3 3 6 4 4" xfId="21266"/>
    <cellStyle name="40% - akcent 3 3 6 4 4 2" xfId="21267"/>
    <cellStyle name="40% - akcent 3 3 6 4 4 2 2" xfId="21268"/>
    <cellStyle name="40% - akcent 3 3 6 4 4 3" xfId="21269"/>
    <cellStyle name="40% - akcent 3 3 6 4 5" xfId="21270"/>
    <cellStyle name="40% - akcent 3 3 6 4 5 2" xfId="21271"/>
    <cellStyle name="40% - akcent 3 3 6 4 6" xfId="21272"/>
    <cellStyle name="40% - akcent 3 3 6 5" xfId="21273"/>
    <cellStyle name="40% - akcent 3 3 6 5 2" xfId="21274"/>
    <cellStyle name="40% - akcent 3 3 6 5 2 2" xfId="21275"/>
    <cellStyle name="40% - akcent 3 3 6 5 3" xfId="21276"/>
    <cellStyle name="40% - akcent 3 3 6 6" xfId="21277"/>
    <cellStyle name="40% - akcent 3 3 6 6 2" xfId="21278"/>
    <cellStyle name="40% - akcent 3 3 6 6 2 2" xfId="21279"/>
    <cellStyle name="40% - akcent 3 3 6 6 3" xfId="21280"/>
    <cellStyle name="40% - akcent 3 3 6 7" xfId="21281"/>
    <cellStyle name="40% - akcent 3 3 6 7 2" xfId="21282"/>
    <cellStyle name="40% - akcent 3 3 6 7 2 2" xfId="21283"/>
    <cellStyle name="40% - akcent 3 3 6 7 3" xfId="21284"/>
    <cellStyle name="40% - akcent 3 3 6 8" xfId="21285"/>
    <cellStyle name="40% - akcent 3 3 6 8 2" xfId="21286"/>
    <cellStyle name="40% - akcent 3 3 6 9" xfId="21287"/>
    <cellStyle name="40% - akcent 3 3 7" xfId="21288"/>
    <cellStyle name="40% - akcent 3 3 7 2" xfId="21289"/>
    <cellStyle name="40% - akcent 3 3 7 2 2" xfId="21290"/>
    <cellStyle name="40% - akcent 3 3 7 2 2 2" xfId="21291"/>
    <cellStyle name="40% - akcent 3 3 7 2 2 2 2" xfId="21292"/>
    <cellStyle name="40% - akcent 3 3 7 2 2 3" xfId="21293"/>
    <cellStyle name="40% - akcent 3 3 7 2 3" xfId="21294"/>
    <cellStyle name="40% - akcent 3 3 7 2 3 2" xfId="21295"/>
    <cellStyle name="40% - akcent 3 3 7 2 3 2 2" xfId="21296"/>
    <cellStyle name="40% - akcent 3 3 7 2 3 3" xfId="21297"/>
    <cellStyle name="40% - akcent 3 3 7 2 4" xfId="21298"/>
    <cellStyle name="40% - akcent 3 3 7 2 4 2" xfId="21299"/>
    <cellStyle name="40% - akcent 3 3 7 2 4 2 2" xfId="21300"/>
    <cellStyle name="40% - akcent 3 3 7 2 4 3" xfId="21301"/>
    <cellStyle name="40% - akcent 3 3 7 2 5" xfId="21302"/>
    <cellStyle name="40% - akcent 3 3 7 2 5 2" xfId="21303"/>
    <cellStyle name="40% - akcent 3 3 7 2 6" xfId="21304"/>
    <cellStyle name="40% - akcent 3 3 7 3" xfId="21305"/>
    <cellStyle name="40% - akcent 3 3 7 3 2" xfId="21306"/>
    <cellStyle name="40% - akcent 3 3 7 3 2 2" xfId="21307"/>
    <cellStyle name="40% - akcent 3 3 7 3 3" xfId="21308"/>
    <cellStyle name="40% - akcent 3 3 7 4" xfId="21309"/>
    <cellStyle name="40% - akcent 3 3 7 4 2" xfId="21310"/>
    <cellStyle name="40% - akcent 3 3 7 4 2 2" xfId="21311"/>
    <cellStyle name="40% - akcent 3 3 7 4 3" xfId="21312"/>
    <cellStyle name="40% - akcent 3 3 7 5" xfId="21313"/>
    <cellStyle name="40% - akcent 3 3 7 5 2" xfId="21314"/>
    <cellStyle name="40% - akcent 3 3 7 5 2 2" xfId="21315"/>
    <cellStyle name="40% - akcent 3 3 7 5 3" xfId="21316"/>
    <cellStyle name="40% - akcent 3 3 7 6" xfId="21317"/>
    <cellStyle name="40% - akcent 3 3 7 6 2" xfId="21318"/>
    <cellStyle name="40% - akcent 3 3 7 7" xfId="21319"/>
    <cellStyle name="40% - akcent 3 3 8" xfId="21320"/>
    <cellStyle name="40% - akcent 3 3 8 2" xfId="21321"/>
    <cellStyle name="40% - akcent 3 3 8 2 2" xfId="21322"/>
    <cellStyle name="40% - akcent 3 3 8 2 2 2" xfId="21323"/>
    <cellStyle name="40% - akcent 3 3 8 2 3" xfId="21324"/>
    <cellStyle name="40% - akcent 3 3 8 3" xfId="21325"/>
    <cellStyle name="40% - akcent 3 3 8 3 2" xfId="21326"/>
    <cellStyle name="40% - akcent 3 3 8 3 2 2" xfId="21327"/>
    <cellStyle name="40% - akcent 3 3 8 3 3" xfId="21328"/>
    <cellStyle name="40% - akcent 3 3 8 4" xfId="21329"/>
    <cellStyle name="40% - akcent 3 3 8 4 2" xfId="21330"/>
    <cellStyle name="40% - akcent 3 3 8 4 2 2" xfId="21331"/>
    <cellStyle name="40% - akcent 3 3 8 4 3" xfId="21332"/>
    <cellStyle name="40% - akcent 3 3 8 5" xfId="21333"/>
    <cellStyle name="40% - akcent 3 3 8 5 2" xfId="21334"/>
    <cellStyle name="40% - akcent 3 3 8 6" xfId="21335"/>
    <cellStyle name="40% - akcent 3 3 9" xfId="21336"/>
    <cellStyle name="40% - akcent 3 3 9 2" xfId="21337"/>
    <cellStyle name="40% - akcent 3 3 9 2 2" xfId="21338"/>
    <cellStyle name="40% - akcent 3 3 9 2 2 2" xfId="21339"/>
    <cellStyle name="40% - akcent 3 3 9 2 3" xfId="21340"/>
    <cellStyle name="40% - akcent 3 3 9 3" xfId="21341"/>
    <cellStyle name="40% - akcent 3 3 9 3 2" xfId="21342"/>
    <cellStyle name="40% - akcent 3 3 9 3 2 2" xfId="21343"/>
    <cellStyle name="40% - akcent 3 3 9 3 3" xfId="21344"/>
    <cellStyle name="40% - akcent 3 3 9 4" xfId="21345"/>
    <cellStyle name="40% - akcent 3 3 9 4 2" xfId="21346"/>
    <cellStyle name="40% - akcent 3 3 9 4 2 2" xfId="21347"/>
    <cellStyle name="40% - akcent 3 3 9 4 3" xfId="21348"/>
    <cellStyle name="40% - akcent 3 3 9 5" xfId="21349"/>
    <cellStyle name="40% - akcent 3 3 9 5 2" xfId="21350"/>
    <cellStyle name="40% - akcent 3 3 9 6" xfId="21351"/>
    <cellStyle name="40% - akcent 3 3_2011'05 Raport PGE_DO-CO2" xfId="21352"/>
    <cellStyle name="40% - akcent 3 4" xfId="21353"/>
    <cellStyle name="40% - akcent 3 4 2" xfId="21354"/>
    <cellStyle name="40% - akcent 3 4 2 2" xfId="21355"/>
    <cellStyle name="40% - akcent 3 4 2 2 2" xfId="21356"/>
    <cellStyle name="40% - akcent 3 4 2 2 2 2" xfId="21357"/>
    <cellStyle name="40% - akcent 3 4 2 2 2 2 2" xfId="21358"/>
    <cellStyle name="40% - akcent 3 4 2 2 2 2 2 2" xfId="21359"/>
    <cellStyle name="40% - akcent 3 4 2 2 2 2 2 2 2" xfId="21360"/>
    <cellStyle name="40% - akcent 3 4 2 2 2 2 2 3" xfId="21361"/>
    <cellStyle name="40% - akcent 3 4 2 2 2 2 3" xfId="21362"/>
    <cellStyle name="40% - akcent 3 4 2 2 2 2 3 2" xfId="21363"/>
    <cellStyle name="40% - akcent 3 4 2 2 2 2 3 2 2" xfId="21364"/>
    <cellStyle name="40% - akcent 3 4 2 2 2 2 3 3" xfId="21365"/>
    <cellStyle name="40% - akcent 3 4 2 2 2 2 4" xfId="21366"/>
    <cellStyle name="40% - akcent 3 4 2 2 2 2 4 2" xfId="21367"/>
    <cellStyle name="40% - akcent 3 4 2 2 2 2 4 2 2" xfId="21368"/>
    <cellStyle name="40% - akcent 3 4 2 2 2 2 4 3" xfId="21369"/>
    <cellStyle name="40% - akcent 3 4 2 2 2 2 5" xfId="21370"/>
    <cellStyle name="40% - akcent 3 4 2 2 2 2 5 2" xfId="21371"/>
    <cellStyle name="40% - akcent 3 4 2 2 2 2 6" xfId="21372"/>
    <cellStyle name="40% - akcent 3 4 2 2 2 3" xfId="21373"/>
    <cellStyle name="40% - akcent 3 4 2 2 2 3 2" xfId="21374"/>
    <cellStyle name="40% - akcent 3 4 2 2 2 3 2 2" xfId="21375"/>
    <cellStyle name="40% - akcent 3 4 2 2 2 3 3" xfId="21376"/>
    <cellStyle name="40% - akcent 3 4 2 2 2 4" xfId="21377"/>
    <cellStyle name="40% - akcent 3 4 2 2 2 4 2" xfId="21378"/>
    <cellStyle name="40% - akcent 3 4 2 2 2 4 2 2" xfId="21379"/>
    <cellStyle name="40% - akcent 3 4 2 2 2 4 3" xfId="21380"/>
    <cellStyle name="40% - akcent 3 4 2 2 2 5" xfId="21381"/>
    <cellStyle name="40% - akcent 3 4 2 2 2 5 2" xfId="21382"/>
    <cellStyle name="40% - akcent 3 4 2 2 2 5 2 2" xfId="21383"/>
    <cellStyle name="40% - akcent 3 4 2 2 2 5 3" xfId="21384"/>
    <cellStyle name="40% - akcent 3 4 2 2 2 6" xfId="21385"/>
    <cellStyle name="40% - akcent 3 4 2 2 2 6 2" xfId="21386"/>
    <cellStyle name="40% - akcent 3 4 2 2 2 7" xfId="21387"/>
    <cellStyle name="40% - akcent 3 4 2 2 3" xfId="21388"/>
    <cellStyle name="40% - akcent 3 4 2 2 3 2" xfId="21389"/>
    <cellStyle name="40% - akcent 3 4 2 2 3 2 2" xfId="21390"/>
    <cellStyle name="40% - akcent 3 4 2 2 3 2 2 2" xfId="21391"/>
    <cellStyle name="40% - akcent 3 4 2 2 3 2 3" xfId="21392"/>
    <cellStyle name="40% - akcent 3 4 2 2 3 3" xfId="21393"/>
    <cellStyle name="40% - akcent 3 4 2 2 3 3 2" xfId="21394"/>
    <cellStyle name="40% - akcent 3 4 2 2 3 3 2 2" xfId="21395"/>
    <cellStyle name="40% - akcent 3 4 2 2 3 3 3" xfId="21396"/>
    <cellStyle name="40% - akcent 3 4 2 2 3 4" xfId="21397"/>
    <cellStyle name="40% - akcent 3 4 2 2 3 4 2" xfId="21398"/>
    <cellStyle name="40% - akcent 3 4 2 2 3 4 2 2" xfId="21399"/>
    <cellStyle name="40% - akcent 3 4 2 2 3 4 3" xfId="21400"/>
    <cellStyle name="40% - akcent 3 4 2 2 3 5" xfId="21401"/>
    <cellStyle name="40% - akcent 3 4 2 2 3 5 2" xfId="21402"/>
    <cellStyle name="40% - akcent 3 4 2 2 3 6" xfId="21403"/>
    <cellStyle name="40% - akcent 3 4 2 2 4" xfId="21404"/>
    <cellStyle name="40% - akcent 3 4 2 2 4 2" xfId="21405"/>
    <cellStyle name="40% - akcent 3 4 2 2 4 2 2" xfId="21406"/>
    <cellStyle name="40% - akcent 3 4 2 2 4 2 2 2" xfId="21407"/>
    <cellStyle name="40% - akcent 3 4 2 2 4 2 3" xfId="21408"/>
    <cellStyle name="40% - akcent 3 4 2 2 4 3" xfId="21409"/>
    <cellStyle name="40% - akcent 3 4 2 2 4 3 2" xfId="21410"/>
    <cellStyle name="40% - akcent 3 4 2 2 4 3 2 2" xfId="21411"/>
    <cellStyle name="40% - akcent 3 4 2 2 4 3 3" xfId="21412"/>
    <cellStyle name="40% - akcent 3 4 2 2 4 4" xfId="21413"/>
    <cellStyle name="40% - akcent 3 4 2 2 4 4 2" xfId="21414"/>
    <cellStyle name="40% - akcent 3 4 2 2 4 4 2 2" xfId="21415"/>
    <cellStyle name="40% - akcent 3 4 2 2 4 4 3" xfId="21416"/>
    <cellStyle name="40% - akcent 3 4 2 2 4 5" xfId="21417"/>
    <cellStyle name="40% - akcent 3 4 2 2 4 5 2" xfId="21418"/>
    <cellStyle name="40% - akcent 3 4 2 2 4 6" xfId="21419"/>
    <cellStyle name="40% - akcent 3 4 2 2 5" xfId="21420"/>
    <cellStyle name="40% - akcent 3 4 2 2 5 2" xfId="21421"/>
    <cellStyle name="40% - akcent 3 4 2 2 5 2 2" xfId="21422"/>
    <cellStyle name="40% - akcent 3 4 2 2 5 3" xfId="21423"/>
    <cellStyle name="40% - akcent 3 4 2 2 6" xfId="21424"/>
    <cellStyle name="40% - akcent 3 4 2 2 6 2" xfId="21425"/>
    <cellStyle name="40% - akcent 3 4 2 2 6 2 2" xfId="21426"/>
    <cellStyle name="40% - akcent 3 4 2 2 6 3" xfId="21427"/>
    <cellStyle name="40% - akcent 3 4 2 2 7" xfId="21428"/>
    <cellStyle name="40% - akcent 3 4 2 2 7 2" xfId="21429"/>
    <cellStyle name="40% - akcent 3 4 2 2 7 2 2" xfId="21430"/>
    <cellStyle name="40% - akcent 3 4 2 2 7 3" xfId="21431"/>
    <cellStyle name="40% - akcent 3 4 2 2 8" xfId="21432"/>
    <cellStyle name="40% - akcent 3 4 2 2 8 2" xfId="21433"/>
    <cellStyle name="40% - akcent 3 4 2 2 9" xfId="21434"/>
    <cellStyle name="40% - akcent 3 4 2 3" xfId="21435"/>
    <cellStyle name="40% - akcent 3 4 2 3 2" xfId="21436"/>
    <cellStyle name="40% - akcent 3 4 2 3 2 2" xfId="21437"/>
    <cellStyle name="40% - akcent 3 4 2 3 2 2 2" xfId="21438"/>
    <cellStyle name="40% - akcent 3 4 2 3 2 2 2 2" xfId="21439"/>
    <cellStyle name="40% - akcent 3 4 2 3 2 2 3" xfId="21440"/>
    <cellStyle name="40% - akcent 3 4 2 3 2 3" xfId="21441"/>
    <cellStyle name="40% - akcent 3 4 2 3 2 3 2" xfId="21442"/>
    <cellStyle name="40% - akcent 3 4 2 3 2 3 2 2" xfId="21443"/>
    <cellStyle name="40% - akcent 3 4 2 3 2 3 3" xfId="21444"/>
    <cellStyle name="40% - akcent 3 4 2 3 2 4" xfId="21445"/>
    <cellStyle name="40% - akcent 3 4 2 3 2 4 2" xfId="21446"/>
    <cellStyle name="40% - akcent 3 4 2 3 2 4 2 2" xfId="21447"/>
    <cellStyle name="40% - akcent 3 4 2 3 2 4 3" xfId="21448"/>
    <cellStyle name="40% - akcent 3 4 2 3 2 5" xfId="21449"/>
    <cellStyle name="40% - akcent 3 4 2 3 2 5 2" xfId="21450"/>
    <cellStyle name="40% - akcent 3 4 2 3 2 6" xfId="21451"/>
    <cellStyle name="40% - akcent 3 4 2 3 3" xfId="21452"/>
    <cellStyle name="40% - akcent 3 4 2 3 3 2" xfId="21453"/>
    <cellStyle name="40% - akcent 3 4 2 3 3 2 2" xfId="21454"/>
    <cellStyle name="40% - akcent 3 4 2 3 3 3" xfId="21455"/>
    <cellStyle name="40% - akcent 3 4 2 3 4" xfId="21456"/>
    <cellStyle name="40% - akcent 3 4 2 3 4 2" xfId="21457"/>
    <cellStyle name="40% - akcent 3 4 2 3 4 2 2" xfId="21458"/>
    <cellStyle name="40% - akcent 3 4 2 3 4 3" xfId="21459"/>
    <cellStyle name="40% - akcent 3 4 2 3 5" xfId="21460"/>
    <cellStyle name="40% - akcent 3 4 2 3 5 2" xfId="21461"/>
    <cellStyle name="40% - akcent 3 4 2 3 5 2 2" xfId="21462"/>
    <cellStyle name="40% - akcent 3 4 2 3 5 3" xfId="21463"/>
    <cellStyle name="40% - akcent 3 4 2 3 6" xfId="21464"/>
    <cellStyle name="40% - akcent 3 4 2 3 6 2" xfId="21465"/>
    <cellStyle name="40% - akcent 3 4 2 3 7" xfId="21466"/>
    <cellStyle name="40% - akcent 3 4 2 4" xfId="21467"/>
    <cellStyle name="40% - akcent 3 4 2 4 2" xfId="21468"/>
    <cellStyle name="40% - akcent 3 4 2 4 2 2" xfId="21469"/>
    <cellStyle name="40% - akcent 3 4 2 4 2 2 2" xfId="21470"/>
    <cellStyle name="40% - akcent 3 4 2 4 2 3" xfId="21471"/>
    <cellStyle name="40% - akcent 3 4 2 4 3" xfId="21472"/>
    <cellStyle name="40% - akcent 3 4 2 4 3 2" xfId="21473"/>
    <cellStyle name="40% - akcent 3 4 2 4 3 2 2" xfId="21474"/>
    <cellStyle name="40% - akcent 3 4 2 4 3 3" xfId="21475"/>
    <cellStyle name="40% - akcent 3 4 2 4 4" xfId="21476"/>
    <cellStyle name="40% - akcent 3 4 2 4 4 2" xfId="21477"/>
    <cellStyle name="40% - akcent 3 4 2 4 4 2 2" xfId="21478"/>
    <cellStyle name="40% - akcent 3 4 2 4 4 3" xfId="21479"/>
    <cellStyle name="40% - akcent 3 4 2 4 5" xfId="21480"/>
    <cellStyle name="40% - akcent 3 4 2 4 5 2" xfId="21481"/>
    <cellStyle name="40% - akcent 3 4 2 4 6" xfId="21482"/>
    <cellStyle name="40% - akcent 3 4 2 5" xfId="21483"/>
    <cellStyle name="40% - akcent 3 4 2 5 2" xfId="21484"/>
    <cellStyle name="40% - akcent 3 4 2 5 2 2" xfId="21485"/>
    <cellStyle name="40% - akcent 3 4 2 5 2 2 2" xfId="21486"/>
    <cellStyle name="40% - akcent 3 4 2 5 2 3" xfId="21487"/>
    <cellStyle name="40% - akcent 3 4 2 5 3" xfId="21488"/>
    <cellStyle name="40% - akcent 3 4 2 5 3 2" xfId="21489"/>
    <cellStyle name="40% - akcent 3 4 2 5 3 2 2" xfId="21490"/>
    <cellStyle name="40% - akcent 3 4 2 5 3 3" xfId="21491"/>
    <cellStyle name="40% - akcent 3 4 2 5 4" xfId="21492"/>
    <cellStyle name="40% - akcent 3 4 2 5 4 2" xfId="21493"/>
    <cellStyle name="40% - akcent 3 4 2 5 4 2 2" xfId="21494"/>
    <cellStyle name="40% - akcent 3 4 2 5 4 3" xfId="21495"/>
    <cellStyle name="40% - akcent 3 4 2 5 5" xfId="21496"/>
    <cellStyle name="40% - akcent 3 4 2 5 5 2" xfId="21497"/>
    <cellStyle name="40% - akcent 3 4 2 5 6" xfId="21498"/>
    <cellStyle name="40% - akcent 3 4 2 6" xfId="21499"/>
    <cellStyle name="40% - akcent 3 4 2 7" xfId="21500"/>
    <cellStyle name="40% - akcent 3 4 2 7 2" xfId="21501"/>
    <cellStyle name="40% - akcent 3 4 2 7 2 2" xfId="21502"/>
    <cellStyle name="40% - akcent 3 4 2 7 2 2 2" xfId="21503"/>
    <cellStyle name="40% - akcent 3 4 2 7 2 3" xfId="21504"/>
    <cellStyle name="40% - akcent 3 4 2 7 3" xfId="21505"/>
    <cellStyle name="40% - akcent 3 4 2 7 3 2" xfId="21506"/>
    <cellStyle name="40% - akcent 3 4 2 7 3 2 2" xfId="21507"/>
    <cellStyle name="40% - akcent 3 4 2 7 3 3" xfId="21508"/>
    <cellStyle name="40% - akcent 3 4 2 7 4" xfId="21509"/>
    <cellStyle name="40% - akcent 3 4 2 7 4 2" xfId="21510"/>
    <cellStyle name="40% - akcent 3 4 2 7 4 2 2" xfId="21511"/>
    <cellStyle name="40% - akcent 3 4 2 7 4 3" xfId="21512"/>
    <cellStyle name="40% - akcent 3 4 2 7 5" xfId="21513"/>
    <cellStyle name="40% - akcent 3 4 2 7 5 2" xfId="21514"/>
    <cellStyle name="40% - akcent 3 4 2 7 6" xfId="21515"/>
    <cellStyle name="40% - akcent 3 4 3" xfId="21516"/>
    <cellStyle name="40% - akcent 3 4 3 2" xfId="21517"/>
    <cellStyle name="40% - akcent 3 4 3 2 2" xfId="21518"/>
    <cellStyle name="40% - akcent 3 4 3 2 2 2" xfId="21519"/>
    <cellStyle name="40% - akcent 3 4 3 2 2 2 2" xfId="21520"/>
    <cellStyle name="40% - akcent 3 4 3 2 2 2 2 2" xfId="21521"/>
    <cellStyle name="40% - akcent 3 4 3 2 2 2 3" xfId="21522"/>
    <cellStyle name="40% - akcent 3 4 3 2 2 3" xfId="21523"/>
    <cellStyle name="40% - akcent 3 4 3 2 2 3 2" xfId="21524"/>
    <cellStyle name="40% - akcent 3 4 3 2 2 3 2 2" xfId="21525"/>
    <cellStyle name="40% - akcent 3 4 3 2 2 3 3" xfId="21526"/>
    <cellStyle name="40% - akcent 3 4 3 2 2 4" xfId="21527"/>
    <cellStyle name="40% - akcent 3 4 3 2 2 4 2" xfId="21528"/>
    <cellStyle name="40% - akcent 3 4 3 2 2 4 2 2" xfId="21529"/>
    <cellStyle name="40% - akcent 3 4 3 2 2 4 3" xfId="21530"/>
    <cellStyle name="40% - akcent 3 4 3 2 2 5" xfId="21531"/>
    <cellStyle name="40% - akcent 3 4 3 2 2 5 2" xfId="21532"/>
    <cellStyle name="40% - akcent 3 4 3 2 2 6" xfId="21533"/>
    <cellStyle name="40% - akcent 3 4 3 2 3" xfId="21534"/>
    <cellStyle name="40% - akcent 3 4 3 2 3 2" xfId="21535"/>
    <cellStyle name="40% - akcent 3 4 3 2 3 2 2" xfId="21536"/>
    <cellStyle name="40% - akcent 3 4 3 2 3 3" xfId="21537"/>
    <cellStyle name="40% - akcent 3 4 3 2 4" xfId="21538"/>
    <cellStyle name="40% - akcent 3 4 3 2 4 2" xfId="21539"/>
    <cellStyle name="40% - akcent 3 4 3 2 4 2 2" xfId="21540"/>
    <cellStyle name="40% - akcent 3 4 3 2 4 3" xfId="21541"/>
    <cellStyle name="40% - akcent 3 4 3 2 5" xfId="21542"/>
    <cellStyle name="40% - akcent 3 4 3 2 5 2" xfId="21543"/>
    <cellStyle name="40% - akcent 3 4 3 2 5 2 2" xfId="21544"/>
    <cellStyle name="40% - akcent 3 4 3 2 5 3" xfId="21545"/>
    <cellStyle name="40% - akcent 3 4 3 2 6" xfId="21546"/>
    <cellStyle name="40% - akcent 3 4 3 2 6 2" xfId="21547"/>
    <cellStyle name="40% - akcent 3 4 3 2 7" xfId="21548"/>
    <cellStyle name="40% - akcent 3 4 3 3" xfId="21549"/>
    <cellStyle name="40% - akcent 3 4 3 3 2" xfId="21550"/>
    <cellStyle name="40% - akcent 3 4 3 3 2 2" xfId="21551"/>
    <cellStyle name="40% - akcent 3 4 3 3 2 2 2" xfId="21552"/>
    <cellStyle name="40% - akcent 3 4 3 3 2 3" xfId="21553"/>
    <cellStyle name="40% - akcent 3 4 3 3 3" xfId="21554"/>
    <cellStyle name="40% - akcent 3 4 3 3 3 2" xfId="21555"/>
    <cellStyle name="40% - akcent 3 4 3 3 3 2 2" xfId="21556"/>
    <cellStyle name="40% - akcent 3 4 3 3 3 3" xfId="21557"/>
    <cellStyle name="40% - akcent 3 4 3 3 4" xfId="21558"/>
    <cellStyle name="40% - akcent 3 4 3 3 4 2" xfId="21559"/>
    <cellStyle name="40% - akcent 3 4 3 3 4 2 2" xfId="21560"/>
    <cellStyle name="40% - akcent 3 4 3 3 4 3" xfId="21561"/>
    <cellStyle name="40% - akcent 3 4 3 3 5" xfId="21562"/>
    <cellStyle name="40% - akcent 3 4 3 3 5 2" xfId="21563"/>
    <cellStyle name="40% - akcent 3 4 3 3 6" xfId="21564"/>
    <cellStyle name="40% - akcent 3 4 3 4" xfId="21565"/>
    <cellStyle name="40% - akcent 3 4 3 4 2" xfId="21566"/>
    <cellStyle name="40% - akcent 3 4 3 4 2 2" xfId="21567"/>
    <cellStyle name="40% - akcent 3 4 3 4 2 2 2" xfId="21568"/>
    <cellStyle name="40% - akcent 3 4 3 4 2 3" xfId="21569"/>
    <cellStyle name="40% - akcent 3 4 3 4 3" xfId="21570"/>
    <cellStyle name="40% - akcent 3 4 3 4 3 2" xfId="21571"/>
    <cellStyle name="40% - akcent 3 4 3 4 3 2 2" xfId="21572"/>
    <cellStyle name="40% - akcent 3 4 3 4 3 3" xfId="21573"/>
    <cellStyle name="40% - akcent 3 4 3 4 4" xfId="21574"/>
    <cellStyle name="40% - akcent 3 4 3 4 4 2" xfId="21575"/>
    <cellStyle name="40% - akcent 3 4 3 4 4 2 2" xfId="21576"/>
    <cellStyle name="40% - akcent 3 4 3 4 4 3" xfId="21577"/>
    <cellStyle name="40% - akcent 3 4 3 4 5" xfId="21578"/>
    <cellStyle name="40% - akcent 3 4 3 4 5 2" xfId="21579"/>
    <cellStyle name="40% - akcent 3 4 3 4 6" xfId="21580"/>
    <cellStyle name="40% - akcent 3 4 3 5" xfId="21581"/>
    <cellStyle name="40% - akcent 3 4 3 5 2" xfId="21582"/>
    <cellStyle name="40% - akcent 3 4 3 5 2 2" xfId="21583"/>
    <cellStyle name="40% - akcent 3 4 3 5 2 2 2" xfId="21584"/>
    <cellStyle name="40% - akcent 3 4 3 5 2 3" xfId="21585"/>
    <cellStyle name="40% - akcent 3 4 3 5 3" xfId="21586"/>
    <cellStyle name="40% - akcent 3 4 3 5 3 2" xfId="21587"/>
    <cellStyle name="40% - akcent 3 4 3 5 3 2 2" xfId="21588"/>
    <cellStyle name="40% - akcent 3 4 3 5 3 3" xfId="21589"/>
    <cellStyle name="40% - akcent 3 4 3 5 4" xfId="21590"/>
    <cellStyle name="40% - akcent 3 4 3 5 4 2" xfId="21591"/>
    <cellStyle name="40% - akcent 3 4 3 5 4 2 2" xfId="21592"/>
    <cellStyle name="40% - akcent 3 4 3 5 4 3" xfId="21593"/>
    <cellStyle name="40% - akcent 3 4 3 5 5" xfId="21594"/>
    <cellStyle name="40% - akcent 3 4 3 5 5 2" xfId="21595"/>
    <cellStyle name="40% - akcent 3 4 3 5 6" xfId="21596"/>
    <cellStyle name="40% - akcent 3 4 4" xfId="21597"/>
    <cellStyle name="40% - akcent 3 4 4 2" xfId="21598"/>
    <cellStyle name="40% - akcent 3 4 4 2 2" xfId="21599"/>
    <cellStyle name="40% - akcent 3 4 4 2 2 2" xfId="21600"/>
    <cellStyle name="40% - akcent 3 4 4 2 2 2 2" xfId="21601"/>
    <cellStyle name="40% - akcent 3 4 4 2 2 3" xfId="21602"/>
    <cellStyle name="40% - akcent 3 4 4 2 3" xfId="21603"/>
    <cellStyle name="40% - akcent 3 4 4 2 3 2" xfId="21604"/>
    <cellStyle name="40% - akcent 3 4 4 2 3 2 2" xfId="21605"/>
    <cellStyle name="40% - akcent 3 4 4 2 3 3" xfId="21606"/>
    <cellStyle name="40% - akcent 3 4 4 2 4" xfId="21607"/>
    <cellStyle name="40% - akcent 3 4 4 2 4 2" xfId="21608"/>
    <cellStyle name="40% - akcent 3 4 4 2 4 2 2" xfId="21609"/>
    <cellStyle name="40% - akcent 3 4 4 2 4 3" xfId="21610"/>
    <cellStyle name="40% - akcent 3 4 4 2 5" xfId="21611"/>
    <cellStyle name="40% - akcent 3 4 4 2 5 2" xfId="21612"/>
    <cellStyle name="40% - akcent 3 4 4 2 6" xfId="21613"/>
    <cellStyle name="40% - akcent 3 4 4 3" xfId="21614"/>
    <cellStyle name="40% - akcent 3 4 4 3 2" xfId="21615"/>
    <cellStyle name="40% - akcent 3 4 4 3 2 2" xfId="21616"/>
    <cellStyle name="40% - akcent 3 4 4 3 2 2 2" xfId="21617"/>
    <cellStyle name="40% - akcent 3 4 4 3 2 3" xfId="21618"/>
    <cellStyle name="40% - akcent 3 4 4 3 3" xfId="21619"/>
    <cellStyle name="40% - akcent 3 4 4 3 3 2" xfId="21620"/>
    <cellStyle name="40% - akcent 3 4 4 3 3 2 2" xfId="21621"/>
    <cellStyle name="40% - akcent 3 4 4 3 3 3" xfId="21622"/>
    <cellStyle name="40% - akcent 3 4 4 3 4" xfId="21623"/>
    <cellStyle name="40% - akcent 3 4 4 3 4 2" xfId="21624"/>
    <cellStyle name="40% - akcent 3 4 4 3 4 2 2" xfId="21625"/>
    <cellStyle name="40% - akcent 3 4 4 3 4 3" xfId="21626"/>
    <cellStyle name="40% - akcent 3 4 4 3 5" xfId="21627"/>
    <cellStyle name="40% - akcent 3 4 4 3 5 2" xfId="21628"/>
    <cellStyle name="40% - akcent 3 4 4 3 6" xfId="21629"/>
    <cellStyle name="40% - akcent 3 4 5" xfId="21630"/>
    <cellStyle name="40% - akcent 3 4 5 2" xfId="21631"/>
    <cellStyle name="40% - akcent 3 4 5 2 2" xfId="21632"/>
    <cellStyle name="40% - akcent 3 4 5 2 2 2" xfId="21633"/>
    <cellStyle name="40% - akcent 3 4 5 2 3" xfId="21634"/>
    <cellStyle name="40% - akcent 3 4 5 3" xfId="21635"/>
    <cellStyle name="40% - akcent 3 4 5 3 2" xfId="21636"/>
    <cellStyle name="40% - akcent 3 4 5 3 2 2" xfId="21637"/>
    <cellStyle name="40% - akcent 3 4 5 3 3" xfId="21638"/>
    <cellStyle name="40% - akcent 3 4 5 4" xfId="21639"/>
    <cellStyle name="40% - akcent 3 4 5 4 2" xfId="21640"/>
    <cellStyle name="40% - akcent 3 4 5 4 2 2" xfId="21641"/>
    <cellStyle name="40% - akcent 3 4 5 4 3" xfId="21642"/>
    <cellStyle name="40% - akcent 3 4 5 5" xfId="21643"/>
    <cellStyle name="40% - akcent 3 4 5 5 2" xfId="21644"/>
    <cellStyle name="40% - akcent 3 4 5 6" xfId="21645"/>
    <cellStyle name="40% - akcent 3 4 6" xfId="21646"/>
    <cellStyle name="40% - akcent 3 4 6 2" xfId="21647"/>
    <cellStyle name="40% - akcent 3 4 6 2 2" xfId="21648"/>
    <cellStyle name="40% - akcent 3 4 6 2 2 2" xfId="21649"/>
    <cellStyle name="40% - akcent 3 4 6 2 3" xfId="21650"/>
    <cellStyle name="40% - akcent 3 4 6 3" xfId="21651"/>
    <cellStyle name="40% - akcent 3 4 6 3 2" xfId="21652"/>
    <cellStyle name="40% - akcent 3 4 6 3 2 2" xfId="21653"/>
    <cellStyle name="40% - akcent 3 4 6 3 3" xfId="21654"/>
    <cellStyle name="40% - akcent 3 4 6 4" xfId="21655"/>
    <cellStyle name="40% - akcent 3 4 6 4 2" xfId="21656"/>
    <cellStyle name="40% - akcent 3 4 6 4 2 2" xfId="21657"/>
    <cellStyle name="40% - akcent 3 4 6 4 3" xfId="21658"/>
    <cellStyle name="40% - akcent 3 4 6 5" xfId="21659"/>
    <cellStyle name="40% - akcent 3 4 6 5 2" xfId="21660"/>
    <cellStyle name="40% - akcent 3 4 6 6" xfId="21661"/>
    <cellStyle name="40% - akcent 3 4 7" xfId="21662"/>
    <cellStyle name="40% - akcent 3 4 7 2" xfId="21663"/>
    <cellStyle name="40% - akcent 3 4 7 2 2" xfId="21664"/>
    <cellStyle name="40% - akcent 3 4 7 2 2 2" xfId="21665"/>
    <cellStyle name="40% - akcent 3 4 7 2 3" xfId="21666"/>
    <cellStyle name="40% - akcent 3 4 7 3" xfId="21667"/>
    <cellStyle name="40% - akcent 3 4 7 3 2" xfId="21668"/>
    <cellStyle name="40% - akcent 3 4 7 3 2 2" xfId="21669"/>
    <cellStyle name="40% - akcent 3 4 7 3 3" xfId="21670"/>
    <cellStyle name="40% - akcent 3 4 7 4" xfId="21671"/>
    <cellStyle name="40% - akcent 3 4 7 4 2" xfId="21672"/>
    <cellStyle name="40% - akcent 3 4 7 4 2 2" xfId="21673"/>
    <cellStyle name="40% - akcent 3 4 7 4 3" xfId="21674"/>
    <cellStyle name="40% - akcent 3 4 7 5" xfId="21675"/>
    <cellStyle name="40% - akcent 3 4 7 5 2" xfId="21676"/>
    <cellStyle name="40% - akcent 3 4 7 6" xfId="21677"/>
    <cellStyle name="40% - akcent 3 4_2011'05 Raport PGE_DO-CO2" xfId="21678"/>
    <cellStyle name="40% - akcent 3 5" xfId="21679"/>
    <cellStyle name="40% - akcent 3 5 2" xfId="21680"/>
    <cellStyle name="40% - akcent 3 5 2 2" xfId="21681"/>
    <cellStyle name="40% - akcent 3 5 2 2 2" xfId="21682"/>
    <cellStyle name="40% - akcent 3 5 2 2 2 2" xfId="21683"/>
    <cellStyle name="40% - akcent 3 5 2 2 2 2 2" xfId="21684"/>
    <cellStyle name="40% - akcent 3 5 2 2 2 2 2 2" xfId="21685"/>
    <cellStyle name="40% - akcent 3 5 2 2 2 2 3" xfId="21686"/>
    <cellStyle name="40% - akcent 3 5 2 2 2 3" xfId="21687"/>
    <cellStyle name="40% - akcent 3 5 2 2 2 3 2" xfId="21688"/>
    <cellStyle name="40% - akcent 3 5 2 2 2 3 2 2" xfId="21689"/>
    <cellStyle name="40% - akcent 3 5 2 2 2 3 3" xfId="21690"/>
    <cellStyle name="40% - akcent 3 5 2 2 2 4" xfId="21691"/>
    <cellStyle name="40% - akcent 3 5 2 2 2 4 2" xfId="21692"/>
    <cellStyle name="40% - akcent 3 5 2 2 2 4 2 2" xfId="21693"/>
    <cellStyle name="40% - akcent 3 5 2 2 2 4 3" xfId="21694"/>
    <cellStyle name="40% - akcent 3 5 2 2 2 5" xfId="21695"/>
    <cellStyle name="40% - akcent 3 5 2 2 2 5 2" xfId="21696"/>
    <cellStyle name="40% - akcent 3 5 2 2 2 6" xfId="21697"/>
    <cellStyle name="40% - akcent 3 5 2 2 3" xfId="21698"/>
    <cellStyle name="40% - akcent 3 5 2 2 3 2" xfId="21699"/>
    <cellStyle name="40% - akcent 3 5 2 2 3 2 2" xfId="21700"/>
    <cellStyle name="40% - akcent 3 5 2 2 3 3" xfId="21701"/>
    <cellStyle name="40% - akcent 3 5 2 2 4" xfId="21702"/>
    <cellStyle name="40% - akcent 3 5 2 2 4 2" xfId="21703"/>
    <cellStyle name="40% - akcent 3 5 2 2 4 2 2" xfId="21704"/>
    <cellStyle name="40% - akcent 3 5 2 2 4 3" xfId="21705"/>
    <cellStyle name="40% - akcent 3 5 2 2 5" xfId="21706"/>
    <cellStyle name="40% - akcent 3 5 2 2 5 2" xfId="21707"/>
    <cellStyle name="40% - akcent 3 5 2 2 5 2 2" xfId="21708"/>
    <cellStyle name="40% - akcent 3 5 2 2 5 3" xfId="21709"/>
    <cellStyle name="40% - akcent 3 5 2 2 6" xfId="21710"/>
    <cellStyle name="40% - akcent 3 5 2 2 6 2" xfId="21711"/>
    <cellStyle name="40% - akcent 3 5 2 2 7" xfId="21712"/>
    <cellStyle name="40% - akcent 3 5 2 3" xfId="21713"/>
    <cellStyle name="40% - akcent 3 5 2 3 2" xfId="21714"/>
    <cellStyle name="40% - akcent 3 5 2 3 2 2" xfId="21715"/>
    <cellStyle name="40% - akcent 3 5 2 3 2 2 2" xfId="21716"/>
    <cellStyle name="40% - akcent 3 5 2 3 2 3" xfId="21717"/>
    <cellStyle name="40% - akcent 3 5 2 3 3" xfId="21718"/>
    <cellStyle name="40% - akcent 3 5 2 3 3 2" xfId="21719"/>
    <cellStyle name="40% - akcent 3 5 2 3 3 2 2" xfId="21720"/>
    <cellStyle name="40% - akcent 3 5 2 3 3 3" xfId="21721"/>
    <cellStyle name="40% - akcent 3 5 2 3 4" xfId="21722"/>
    <cellStyle name="40% - akcent 3 5 2 3 4 2" xfId="21723"/>
    <cellStyle name="40% - akcent 3 5 2 3 4 2 2" xfId="21724"/>
    <cellStyle name="40% - akcent 3 5 2 3 4 3" xfId="21725"/>
    <cellStyle name="40% - akcent 3 5 2 3 5" xfId="21726"/>
    <cellStyle name="40% - akcent 3 5 2 3 5 2" xfId="21727"/>
    <cellStyle name="40% - akcent 3 5 2 3 6" xfId="21728"/>
    <cellStyle name="40% - akcent 3 5 2 4" xfId="21729"/>
    <cellStyle name="40% - akcent 3 5 2 4 2" xfId="21730"/>
    <cellStyle name="40% - akcent 3 5 2 4 2 2" xfId="21731"/>
    <cellStyle name="40% - akcent 3 5 2 4 2 2 2" xfId="21732"/>
    <cellStyle name="40% - akcent 3 5 2 4 2 3" xfId="21733"/>
    <cellStyle name="40% - akcent 3 5 2 4 3" xfId="21734"/>
    <cellStyle name="40% - akcent 3 5 2 4 3 2" xfId="21735"/>
    <cellStyle name="40% - akcent 3 5 2 4 3 2 2" xfId="21736"/>
    <cellStyle name="40% - akcent 3 5 2 4 3 3" xfId="21737"/>
    <cellStyle name="40% - akcent 3 5 2 4 4" xfId="21738"/>
    <cellStyle name="40% - akcent 3 5 2 4 4 2" xfId="21739"/>
    <cellStyle name="40% - akcent 3 5 2 4 4 2 2" xfId="21740"/>
    <cellStyle name="40% - akcent 3 5 2 4 4 3" xfId="21741"/>
    <cellStyle name="40% - akcent 3 5 2 4 5" xfId="21742"/>
    <cellStyle name="40% - akcent 3 5 2 4 5 2" xfId="21743"/>
    <cellStyle name="40% - akcent 3 5 2 4 6" xfId="21744"/>
    <cellStyle name="40% - akcent 3 5 2 5" xfId="21745"/>
    <cellStyle name="40% - akcent 3 5 2 6" xfId="21746"/>
    <cellStyle name="40% - akcent 3 5 2 6 2" xfId="21747"/>
    <cellStyle name="40% - akcent 3 5 2 6 2 2" xfId="21748"/>
    <cellStyle name="40% - akcent 3 5 2 6 2 2 2" xfId="21749"/>
    <cellStyle name="40% - akcent 3 5 2 6 2 3" xfId="21750"/>
    <cellStyle name="40% - akcent 3 5 2 6 3" xfId="21751"/>
    <cellStyle name="40% - akcent 3 5 2 6 3 2" xfId="21752"/>
    <cellStyle name="40% - akcent 3 5 2 6 3 2 2" xfId="21753"/>
    <cellStyle name="40% - akcent 3 5 2 6 3 3" xfId="21754"/>
    <cellStyle name="40% - akcent 3 5 2 6 4" xfId="21755"/>
    <cellStyle name="40% - akcent 3 5 2 6 4 2" xfId="21756"/>
    <cellStyle name="40% - akcent 3 5 2 6 4 2 2" xfId="21757"/>
    <cellStyle name="40% - akcent 3 5 2 6 4 3" xfId="21758"/>
    <cellStyle name="40% - akcent 3 5 2 6 5" xfId="21759"/>
    <cellStyle name="40% - akcent 3 5 2 6 5 2" xfId="21760"/>
    <cellStyle name="40% - akcent 3 5 2 6 6" xfId="21761"/>
    <cellStyle name="40% - akcent 3 5 3" xfId="21762"/>
    <cellStyle name="40% - akcent 3 5 3 2" xfId="21763"/>
    <cellStyle name="40% - akcent 3 5 3 2 2" xfId="21764"/>
    <cellStyle name="40% - akcent 3 5 3 2 2 2" xfId="21765"/>
    <cellStyle name="40% - akcent 3 5 3 2 2 2 2" xfId="21766"/>
    <cellStyle name="40% - akcent 3 5 3 2 2 3" xfId="21767"/>
    <cellStyle name="40% - akcent 3 5 3 2 3" xfId="21768"/>
    <cellStyle name="40% - akcent 3 5 3 2 3 2" xfId="21769"/>
    <cellStyle name="40% - akcent 3 5 3 2 3 2 2" xfId="21770"/>
    <cellStyle name="40% - akcent 3 5 3 2 3 3" xfId="21771"/>
    <cellStyle name="40% - akcent 3 5 3 2 4" xfId="21772"/>
    <cellStyle name="40% - akcent 3 5 3 2 4 2" xfId="21773"/>
    <cellStyle name="40% - akcent 3 5 3 2 4 2 2" xfId="21774"/>
    <cellStyle name="40% - akcent 3 5 3 2 4 3" xfId="21775"/>
    <cellStyle name="40% - akcent 3 5 3 2 5" xfId="21776"/>
    <cellStyle name="40% - akcent 3 5 3 2 5 2" xfId="21777"/>
    <cellStyle name="40% - akcent 3 5 3 2 6" xfId="21778"/>
    <cellStyle name="40% - akcent 3 5 3 3" xfId="21779"/>
    <cellStyle name="40% - akcent 3 5 3 3 2" xfId="21780"/>
    <cellStyle name="40% - akcent 3 5 3 3 2 2" xfId="21781"/>
    <cellStyle name="40% - akcent 3 5 3 3 3" xfId="21782"/>
    <cellStyle name="40% - akcent 3 5 3 4" xfId="21783"/>
    <cellStyle name="40% - akcent 3 5 3 4 2" xfId="21784"/>
    <cellStyle name="40% - akcent 3 5 3 4 2 2" xfId="21785"/>
    <cellStyle name="40% - akcent 3 5 3 4 3" xfId="21786"/>
    <cellStyle name="40% - akcent 3 5 3 5" xfId="21787"/>
    <cellStyle name="40% - akcent 3 5 3 5 2" xfId="21788"/>
    <cellStyle name="40% - akcent 3 5 3 5 2 2" xfId="21789"/>
    <cellStyle name="40% - akcent 3 5 3 5 3" xfId="21790"/>
    <cellStyle name="40% - akcent 3 5 3 6" xfId="21791"/>
    <cellStyle name="40% - akcent 3 5 3 6 2" xfId="21792"/>
    <cellStyle name="40% - akcent 3 5 3 7" xfId="21793"/>
    <cellStyle name="40% - akcent 3 5 4" xfId="21794"/>
    <cellStyle name="40% - akcent 3 5 4 2" xfId="21795"/>
    <cellStyle name="40% - akcent 3 5 4 2 2" xfId="21796"/>
    <cellStyle name="40% - akcent 3 5 4 2 2 2" xfId="21797"/>
    <cellStyle name="40% - akcent 3 5 4 2 3" xfId="21798"/>
    <cellStyle name="40% - akcent 3 5 4 3" xfId="21799"/>
    <cellStyle name="40% - akcent 3 5 4 3 2" xfId="21800"/>
    <cellStyle name="40% - akcent 3 5 4 3 2 2" xfId="21801"/>
    <cellStyle name="40% - akcent 3 5 4 3 3" xfId="21802"/>
    <cellStyle name="40% - akcent 3 5 4 4" xfId="21803"/>
    <cellStyle name="40% - akcent 3 5 4 4 2" xfId="21804"/>
    <cellStyle name="40% - akcent 3 5 4 4 2 2" xfId="21805"/>
    <cellStyle name="40% - akcent 3 5 4 4 3" xfId="21806"/>
    <cellStyle name="40% - akcent 3 5 4 5" xfId="21807"/>
    <cellStyle name="40% - akcent 3 5 4 5 2" xfId="21808"/>
    <cellStyle name="40% - akcent 3 5 4 6" xfId="21809"/>
    <cellStyle name="40% - akcent 3 5 5" xfId="21810"/>
    <cellStyle name="40% - akcent 3 5 5 2" xfId="21811"/>
    <cellStyle name="40% - akcent 3 5 5 2 2" xfId="21812"/>
    <cellStyle name="40% - akcent 3 5 5 2 2 2" xfId="21813"/>
    <cellStyle name="40% - akcent 3 5 5 2 3" xfId="21814"/>
    <cellStyle name="40% - akcent 3 5 5 3" xfId="21815"/>
    <cellStyle name="40% - akcent 3 5 5 3 2" xfId="21816"/>
    <cellStyle name="40% - akcent 3 5 5 3 2 2" xfId="21817"/>
    <cellStyle name="40% - akcent 3 5 5 3 3" xfId="21818"/>
    <cellStyle name="40% - akcent 3 5 5 4" xfId="21819"/>
    <cellStyle name="40% - akcent 3 5 5 4 2" xfId="21820"/>
    <cellStyle name="40% - akcent 3 5 5 4 2 2" xfId="21821"/>
    <cellStyle name="40% - akcent 3 5 5 4 3" xfId="21822"/>
    <cellStyle name="40% - akcent 3 5 5 5" xfId="21823"/>
    <cellStyle name="40% - akcent 3 5 5 5 2" xfId="21824"/>
    <cellStyle name="40% - akcent 3 5 5 6" xfId="21825"/>
    <cellStyle name="40% - akcent 3 5 6" xfId="21826"/>
    <cellStyle name="40% - akcent 3 5 6 2" xfId="21827"/>
    <cellStyle name="40% - akcent 3 5 6 2 2" xfId="21828"/>
    <cellStyle name="40% - akcent 3 5 6 2 2 2" xfId="21829"/>
    <cellStyle name="40% - akcent 3 5 6 2 3" xfId="21830"/>
    <cellStyle name="40% - akcent 3 5 6 3" xfId="21831"/>
    <cellStyle name="40% - akcent 3 5 6 3 2" xfId="21832"/>
    <cellStyle name="40% - akcent 3 5 6 3 2 2" xfId="21833"/>
    <cellStyle name="40% - akcent 3 5 6 3 3" xfId="21834"/>
    <cellStyle name="40% - akcent 3 5 6 4" xfId="21835"/>
    <cellStyle name="40% - akcent 3 5 6 4 2" xfId="21836"/>
    <cellStyle name="40% - akcent 3 5 6 4 2 2" xfId="21837"/>
    <cellStyle name="40% - akcent 3 5 6 4 3" xfId="21838"/>
    <cellStyle name="40% - akcent 3 5 6 5" xfId="21839"/>
    <cellStyle name="40% - akcent 3 5 6 5 2" xfId="21840"/>
    <cellStyle name="40% - akcent 3 5 6 6" xfId="21841"/>
    <cellStyle name="40% - akcent 3 5 7" xfId="21842"/>
    <cellStyle name="40% - akcent 3 5 8" xfId="21843"/>
    <cellStyle name="40% - akcent 3 5_2011'05 Raport PGE_DO-CO2" xfId="21844"/>
    <cellStyle name="40% - akcent 3 6" xfId="21845"/>
    <cellStyle name="40% - akcent 3 6 2" xfId="21846"/>
    <cellStyle name="40% - akcent 3 6 2 10" xfId="21847"/>
    <cellStyle name="40% - akcent 3 6 2 2" xfId="21848"/>
    <cellStyle name="40% - akcent 3 6 2 2 2" xfId="21849"/>
    <cellStyle name="40% - akcent 3 6 2 2 2 2" xfId="21850"/>
    <cellStyle name="40% - akcent 3 6 2 2 2 2 2" xfId="21851"/>
    <cellStyle name="40% - akcent 3 6 2 2 2 2 2 2" xfId="21852"/>
    <cellStyle name="40% - akcent 3 6 2 2 2 2 3" xfId="21853"/>
    <cellStyle name="40% - akcent 3 6 2 2 2 3" xfId="21854"/>
    <cellStyle name="40% - akcent 3 6 2 2 2 3 2" xfId="21855"/>
    <cellStyle name="40% - akcent 3 6 2 2 2 3 2 2" xfId="21856"/>
    <cellStyle name="40% - akcent 3 6 2 2 2 3 3" xfId="21857"/>
    <cellStyle name="40% - akcent 3 6 2 2 2 4" xfId="21858"/>
    <cellStyle name="40% - akcent 3 6 2 2 2 4 2" xfId="21859"/>
    <cellStyle name="40% - akcent 3 6 2 2 2 4 2 2" xfId="21860"/>
    <cellStyle name="40% - akcent 3 6 2 2 2 4 3" xfId="21861"/>
    <cellStyle name="40% - akcent 3 6 2 2 2 5" xfId="21862"/>
    <cellStyle name="40% - akcent 3 6 2 2 2 5 2" xfId="21863"/>
    <cellStyle name="40% - akcent 3 6 2 2 2 6" xfId="21864"/>
    <cellStyle name="40% - akcent 3 6 2 2 3" xfId="21865"/>
    <cellStyle name="40% - akcent 3 6 2 2 3 2" xfId="21866"/>
    <cellStyle name="40% - akcent 3 6 2 2 3 2 2" xfId="21867"/>
    <cellStyle name="40% - akcent 3 6 2 2 3 3" xfId="21868"/>
    <cellStyle name="40% - akcent 3 6 2 2 4" xfId="21869"/>
    <cellStyle name="40% - akcent 3 6 2 2 4 2" xfId="21870"/>
    <cellStyle name="40% - akcent 3 6 2 2 4 2 2" xfId="21871"/>
    <cellStyle name="40% - akcent 3 6 2 2 4 3" xfId="21872"/>
    <cellStyle name="40% - akcent 3 6 2 2 5" xfId="21873"/>
    <cellStyle name="40% - akcent 3 6 2 2 5 2" xfId="21874"/>
    <cellStyle name="40% - akcent 3 6 2 2 5 2 2" xfId="21875"/>
    <cellStyle name="40% - akcent 3 6 2 2 5 3" xfId="21876"/>
    <cellStyle name="40% - akcent 3 6 2 2 6" xfId="21877"/>
    <cellStyle name="40% - akcent 3 6 2 2 6 2" xfId="21878"/>
    <cellStyle name="40% - akcent 3 6 2 2 7" xfId="21879"/>
    <cellStyle name="40% - akcent 3 6 2 3" xfId="21880"/>
    <cellStyle name="40% - akcent 3 6 2 3 2" xfId="21881"/>
    <cellStyle name="40% - akcent 3 6 2 3 2 2" xfId="21882"/>
    <cellStyle name="40% - akcent 3 6 2 3 2 2 2" xfId="21883"/>
    <cellStyle name="40% - akcent 3 6 2 3 2 3" xfId="21884"/>
    <cellStyle name="40% - akcent 3 6 2 3 3" xfId="21885"/>
    <cellStyle name="40% - akcent 3 6 2 3 3 2" xfId="21886"/>
    <cellStyle name="40% - akcent 3 6 2 3 3 2 2" xfId="21887"/>
    <cellStyle name="40% - akcent 3 6 2 3 3 3" xfId="21888"/>
    <cellStyle name="40% - akcent 3 6 2 3 4" xfId="21889"/>
    <cellStyle name="40% - akcent 3 6 2 3 4 2" xfId="21890"/>
    <cellStyle name="40% - akcent 3 6 2 3 4 2 2" xfId="21891"/>
    <cellStyle name="40% - akcent 3 6 2 3 4 3" xfId="21892"/>
    <cellStyle name="40% - akcent 3 6 2 3 5" xfId="21893"/>
    <cellStyle name="40% - akcent 3 6 2 3 5 2" xfId="21894"/>
    <cellStyle name="40% - akcent 3 6 2 3 6" xfId="21895"/>
    <cellStyle name="40% - akcent 3 6 2 4" xfId="21896"/>
    <cellStyle name="40% - akcent 3 6 2 4 2" xfId="21897"/>
    <cellStyle name="40% - akcent 3 6 2 4 2 2" xfId="21898"/>
    <cellStyle name="40% - akcent 3 6 2 4 2 2 2" xfId="21899"/>
    <cellStyle name="40% - akcent 3 6 2 4 2 3" xfId="21900"/>
    <cellStyle name="40% - akcent 3 6 2 4 3" xfId="21901"/>
    <cellStyle name="40% - akcent 3 6 2 4 3 2" xfId="21902"/>
    <cellStyle name="40% - akcent 3 6 2 4 3 2 2" xfId="21903"/>
    <cellStyle name="40% - akcent 3 6 2 4 3 3" xfId="21904"/>
    <cellStyle name="40% - akcent 3 6 2 4 4" xfId="21905"/>
    <cellStyle name="40% - akcent 3 6 2 4 4 2" xfId="21906"/>
    <cellStyle name="40% - akcent 3 6 2 4 4 2 2" xfId="21907"/>
    <cellStyle name="40% - akcent 3 6 2 4 4 3" xfId="21908"/>
    <cellStyle name="40% - akcent 3 6 2 4 5" xfId="21909"/>
    <cellStyle name="40% - akcent 3 6 2 4 5 2" xfId="21910"/>
    <cellStyle name="40% - akcent 3 6 2 4 6" xfId="21911"/>
    <cellStyle name="40% - akcent 3 6 2 5" xfId="21912"/>
    <cellStyle name="40% - akcent 3 6 2 6" xfId="21913"/>
    <cellStyle name="40% - akcent 3 6 2 6 2" xfId="21914"/>
    <cellStyle name="40% - akcent 3 6 2 6 2 2" xfId="21915"/>
    <cellStyle name="40% - akcent 3 6 2 6 3" xfId="21916"/>
    <cellStyle name="40% - akcent 3 6 2 7" xfId="21917"/>
    <cellStyle name="40% - akcent 3 6 2 7 2" xfId="21918"/>
    <cellStyle name="40% - akcent 3 6 2 7 2 2" xfId="21919"/>
    <cellStyle name="40% - akcent 3 6 2 7 3" xfId="21920"/>
    <cellStyle name="40% - akcent 3 6 2 8" xfId="21921"/>
    <cellStyle name="40% - akcent 3 6 2 8 2" xfId="21922"/>
    <cellStyle name="40% - akcent 3 6 2 8 2 2" xfId="21923"/>
    <cellStyle name="40% - akcent 3 6 2 8 3" xfId="21924"/>
    <cellStyle name="40% - akcent 3 6 2 9" xfId="21925"/>
    <cellStyle name="40% - akcent 3 6 2 9 2" xfId="21926"/>
    <cellStyle name="40% - akcent 3 6 3" xfId="21927"/>
    <cellStyle name="40% - akcent 3 6 3 2" xfId="21928"/>
    <cellStyle name="40% - akcent 3 6 3 2 2" xfId="21929"/>
    <cellStyle name="40% - akcent 3 6 3 2 2 2" xfId="21930"/>
    <cellStyle name="40% - akcent 3 6 3 2 2 2 2" xfId="21931"/>
    <cellStyle name="40% - akcent 3 6 3 2 2 3" xfId="21932"/>
    <cellStyle name="40% - akcent 3 6 3 2 3" xfId="21933"/>
    <cellStyle name="40% - akcent 3 6 3 2 3 2" xfId="21934"/>
    <cellStyle name="40% - akcent 3 6 3 2 3 2 2" xfId="21935"/>
    <cellStyle name="40% - akcent 3 6 3 2 3 3" xfId="21936"/>
    <cellStyle name="40% - akcent 3 6 3 2 4" xfId="21937"/>
    <cellStyle name="40% - akcent 3 6 3 2 4 2" xfId="21938"/>
    <cellStyle name="40% - akcent 3 6 3 2 4 2 2" xfId="21939"/>
    <cellStyle name="40% - akcent 3 6 3 2 4 3" xfId="21940"/>
    <cellStyle name="40% - akcent 3 6 3 2 5" xfId="21941"/>
    <cellStyle name="40% - akcent 3 6 3 2 5 2" xfId="21942"/>
    <cellStyle name="40% - akcent 3 6 3 2 6" xfId="21943"/>
    <cellStyle name="40% - akcent 3 6 3 3" xfId="21944"/>
    <cellStyle name="40% - akcent 3 6 3 3 2" xfId="21945"/>
    <cellStyle name="40% - akcent 3 6 3 3 2 2" xfId="21946"/>
    <cellStyle name="40% - akcent 3 6 3 3 3" xfId="21947"/>
    <cellStyle name="40% - akcent 3 6 3 4" xfId="21948"/>
    <cellStyle name="40% - akcent 3 6 3 4 2" xfId="21949"/>
    <cellStyle name="40% - akcent 3 6 3 4 2 2" xfId="21950"/>
    <cellStyle name="40% - akcent 3 6 3 4 3" xfId="21951"/>
    <cellStyle name="40% - akcent 3 6 3 5" xfId="21952"/>
    <cellStyle name="40% - akcent 3 6 3 5 2" xfId="21953"/>
    <cellStyle name="40% - akcent 3 6 3 5 2 2" xfId="21954"/>
    <cellStyle name="40% - akcent 3 6 3 5 3" xfId="21955"/>
    <cellStyle name="40% - akcent 3 6 3 6" xfId="21956"/>
    <cellStyle name="40% - akcent 3 6 3 6 2" xfId="21957"/>
    <cellStyle name="40% - akcent 3 6 3 7" xfId="21958"/>
    <cellStyle name="40% - akcent 3 6 4" xfId="21959"/>
    <cellStyle name="40% - akcent 3 6 4 2" xfId="21960"/>
    <cellStyle name="40% - akcent 3 6 4 2 2" xfId="21961"/>
    <cellStyle name="40% - akcent 3 6 4 2 2 2" xfId="21962"/>
    <cellStyle name="40% - akcent 3 6 4 2 3" xfId="21963"/>
    <cellStyle name="40% - akcent 3 6 4 3" xfId="21964"/>
    <cellStyle name="40% - akcent 3 6 4 3 2" xfId="21965"/>
    <cellStyle name="40% - akcent 3 6 4 3 2 2" xfId="21966"/>
    <cellStyle name="40% - akcent 3 6 4 3 3" xfId="21967"/>
    <cellStyle name="40% - akcent 3 6 4 4" xfId="21968"/>
    <cellStyle name="40% - akcent 3 6 4 4 2" xfId="21969"/>
    <cellStyle name="40% - akcent 3 6 4 4 2 2" xfId="21970"/>
    <cellStyle name="40% - akcent 3 6 4 4 3" xfId="21971"/>
    <cellStyle name="40% - akcent 3 6 4 5" xfId="21972"/>
    <cellStyle name="40% - akcent 3 6 4 5 2" xfId="21973"/>
    <cellStyle name="40% - akcent 3 6 4 6" xfId="21974"/>
    <cellStyle name="40% - akcent 3 6 5" xfId="21975"/>
    <cellStyle name="40% - akcent 3 6 5 2" xfId="21976"/>
    <cellStyle name="40% - akcent 3 6 5 2 2" xfId="21977"/>
    <cellStyle name="40% - akcent 3 6 5 2 2 2" xfId="21978"/>
    <cellStyle name="40% - akcent 3 6 5 2 3" xfId="21979"/>
    <cellStyle name="40% - akcent 3 6 5 3" xfId="21980"/>
    <cellStyle name="40% - akcent 3 6 5 3 2" xfId="21981"/>
    <cellStyle name="40% - akcent 3 6 5 3 2 2" xfId="21982"/>
    <cellStyle name="40% - akcent 3 6 5 3 3" xfId="21983"/>
    <cellStyle name="40% - akcent 3 6 5 4" xfId="21984"/>
    <cellStyle name="40% - akcent 3 6 5 4 2" xfId="21985"/>
    <cellStyle name="40% - akcent 3 6 5 4 2 2" xfId="21986"/>
    <cellStyle name="40% - akcent 3 6 5 4 3" xfId="21987"/>
    <cellStyle name="40% - akcent 3 6 5 5" xfId="21988"/>
    <cellStyle name="40% - akcent 3 6 5 5 2" xfId="21989"/>
    <cellStyle name="40% - akcent 3 6 5 6" xfId="21990"/>
    <cellStyle name="40% - akcent 3 6 6" xfId="21991"/>
    <cellStyle name="40% - akcent 3 6 7" xfId="21992"/>
    <cellStyle name="40% - akcent 3 6 7 2" xfId="21993"/>
    <cellStyle name="40% - akcent 3 6 7 2 2" xfId="21994"/>
    <cellStyle name="40% - akcent 3 6 7 2 2 2" xfId="21995"/>
    <cellStyle name="40% - akcent 3 6 7 2 3" xfId="21996"/>
    <cellStyle name="40% - akcent 3 6 7 3" xfId="21997"/>
    <cellStyle name="40% - akcent 3 6 7 3 2" xfId="21998"/>
    <cellStyle name="40% - akcent 3 6 7 3 2 2" xfId="21999"/>
    <cellStyle name="40% - akcent 3 6 7 3 3" xfId="22000"/>
    <cellStyle name="40% - akcent 3 6 7 4" xfId="22001"/>
    <cellStyle name="40% - akcent 3 6 7 4 2" xfId="22002"/>
    <cellStyle name="40% - akcent 3 6 7 4 2 2" xfId="22003"/>
    <cellStyle name="40% - akcent 3 6 7 4 3" xfId="22004"/>
    <cellStyle name="40% - akcent 3 6 7 5" xfId="22005"/>
    <cellStyle name="40% - akcent 3 6 7 5 2" xfId="22006"/>
    <cellStyle name="40% - akcent 3 6 7 6" xfId="22007"/>
    <cellStyle name="40% - akcent 3 6_Arkusz1" xfId="22008"/>
    <cellStyle name="40% - akcent 3 7" xfId="22009"/>
    <cellStyle name="40% - akcent 3 7 2" xfId="22010"/>
    <cellStyle name="40% - akcent 3 7 2 10" xfId="22011"/>
    <cellStyle name="40% - akcent 3 7 2 2" xfId="22012"/>
    <cellStyle name="40% - akcent 3 7 2 2 2" xfId="22013"/>
    <cellStyle name="40% - akcent 3 7 2 2 2 2" xfId="22014"/>
    <cellStyle name="40% - akcent 3 7 2 2 2 2 2" xfId="22015"/>
    <cellStyle name="40% - akcent 3 7 2 2 2 2 2 2" xfId="22016"/>
    <cellStyle name="40% - akcent 3 7 2 2 2 2 3" xfId="22017"/>
    <cellStyle name="40% - akcent 3 7 2 2 2 3" xfId="22018"/>
    <cellStyle name="40% - akcent 3 7 2 2 2 3 2" xfId="22019"/>
    <cellStyle name="40% - akcent 3 7 2 2 2 3 2 2" xfId="22020"/>
    <cellStyle name="40% - akcent 3 7 2 2 2 3 3" xfId="22021"/>
    <cellStyle name="40% - akcent 3 7 2 2 2 4" xfId="22022"/>
    <cellStyle name="40% - akcent 3 7 2 2 2 4 2" xfId="22023"/>
    <cellStyle name="40% - akcent 3 7 2 2 2 4 2 2" xfId="22024"/>
    <cellStyle name="40% - akcent 3 7 2 2 2 4 3" xfId="22025"/>
    <cellStyle name="40% - akcent 3 7 2 2 2 5" xfId="22026"/>
    <cellStyle name="40% - akcent 3 7 2 2 2 5 2" xfId="22027"/>
    <cellStyle name="40% - akcent 3 7 2 2 2 6" xfId="22028"/>
    <cellStyle name="40% - akcent 3 7 2 2 3" xfId="22029"/>
    <cellStyle name="40% - akcent 3 7 2 2 3 2" xfId="22030"/>
    <cellStyle name="40% - akcent 3 7 2 2 3 2 2" xfId="22031"/>
    <cellStyle name="40% - akcent 3 7 2 2 3 3" xfId="22032"/>
    <cellStyle name="40% - akcent 3 7 2 2 4" xfId="22033"/>
    <cellStyle name="40% - akcent 3 7 2 2 4 2" xfId="22034"/>
    <cellStyle name="40% - akcent 3 7 2 2 4 2 2" xfId="22035"/>
    <cellStyle name="40% - akcent 3 7 2 2 4 3" xfId="22036"/>
    <cellStyle name="40% - akcent 3 7 2 2 5" xfId="22037"/>
    <cellStyle name="40% - akcent 3 7 2 2 5 2" xfId="22038"/>
    <cellStyle name="40% - akcent 3 7 2 2 5 2 2" xfId="22039"/>
    <cellStyle name="40% - akcent 3 7 2 2 5 3" xfId="22040"/>
    <cellStyle name="40% - akcent 3 7 2 2 6" xfId="22041"/>
    <cellStyle name="40% - akcent 3 7 2 2 6 2" xfId="22042"/>
    <cellStyle name="40% - akcent 3 7 2 2 7" xfId="22043"/>
    <cellStyle name="40% - akcent 3 7 2 3" xfId="22044"/>
    <cellStyle name="40% - akcent 3 7 2 3 2" xfId="22045"/>
    <cellStyle name="40% - akcent 3 7 2 3 2 2" xfId="22046"/>
    <cellStyle name="40% - akcent 3 7 2 3 2 2 2" xfId="22047"/>
    <cellStyle name="40% - akcent 3 7 2 3 2 3" xfId="22048"/>
    <cellStyle name="40% - akcent 3 7 2 3 3" xfId="22049"/>
    <cellStyle name="40% - akcent 3 7 2 3 3 2" xfId="22050"/>
    <cellStyle name="40% - akcent 3 7 2 3 3 2 2" xfId="22051"/>
    <cellStyle name="40% - akcent 3 7 2 3 3 3" xfId="22052"/>
    <cellStyle name="40% - akcent 3 7 2 3 4" xfId="22053"/>
    <cellStyle name="40% - akcent 3 7 2 3 4 2" xfId="22054"/>
    <cellStyle name="40% - akcent 3 7 2 3 4 2 2" xfId="22055"/>
    <cellStyle name="40% - akcent 3 7 2 3 4 3" xfId="22056"/>
    <cellStyle name="40% - akcent 3 7 2 3 5" xfId="22057"/>
    <cellStyle name="40% - akcent 3 7 2 3 5 2" xfId="22058"/>
    <cellStyle name="40% - akcent 3 7 2 3 6" xfId="22059"/>
    <cellStyle name="40% - akcent 3 7 2 4" xfId="22060"/>
    <cellStyle name="40% - akcent 3 7 2 4 2" xfId="22061"/>
    <cellStyle name="40% - akcent 3 7 2 4 2 2" xfId="22062"/>
    <cellStyle name="40% - akcent 3 7 2 4 2 2 2" xfId="22063"/>
    <cellStyle name="40% - akcent 3 7 2 4 2 3" xfId="22064"/>
    <cellStyle name="40% - akcent 3 7 2 4 3" xfId="22065"/>
    <cellStyle name="40% - akcent 3 7 2 4 3 2" xfId="22066"/>
    <cellStyle name="40% - akcent 3 7 2 4 3 2 2" xfId="22067"/>
    <cellStyle name="40% - akcent 3 7 2 4 3 3" xfId="22068"/>
    <cellStyle name="40% - akcent 3 7 2 4 4" xfId="22069"/>
    <cellStyle name="40% - akcent 3 7 2 4 4 2" xfId="22070"/>
    <cellStyle name="40% - akcent 3 7 2 4 4 2 2" xfId="22071"/>
    <cellStyle name="40% - akcent 3 7 2 4 4 3" xfId="22072"/>
    <cellStyle name="40% - akcent 3 7 2 4 5" xfId="22073"/>
    <cellStyle name="40% - akcent 3 7 2 4 5 2" xfId="22074"/>
    <cellStyle name="40% - akcent 3 7 2 4 6" xfId="22075"/>
    <cellStyle name="40% - akcent 3 7 2 5" xfId="22076"/>
    <cellStyle name="40% - akcent 3 7 2 6" xfId="22077"/>
    <cellStyle name="40% - akcent 3 7 2 6 2" xfId="22078"/>
    <cellStyle name="40% - akcent 3 7 2 6 2 2" xfId="22079"/>
    <cellStyle name="40% - akcent 3 7 2 6 3" xfId="22080"/>
    <cellStyle name="40% - akcent 3 7 2 7" xfId="22081"/>
    <cellStyle name="40% - akcent 3 7 2 7 2" xfId="22082"/>
    <cellStyle name="40% - akcent 3 7 2 7 2 2" xfId="22083"/>
    <cellStyle name="40% - akcent 3 7 2 7 3" xfId="22084"/>
    <cellStyle name="40% - akcent 3 7 2 8" xfId="22085"/>
    <cellStyle name="40% - akcent 3 7 2 8 2" xfId="22086"/>
    <cellStyle name="40% - akcent 3 7 2 8 2 2" xfId="22087"/>
    <cellStyle name="40% - akcent 3 7 2 8 3" xfId="22088"/>
    <cellStyle name="40% - akcent 3 7 2 9" xfId="22089"/>
    <cellStyle name="40% - akcent 3 7 2 9 2" xfId="22090"/>
    <cellStyle name="40% - akcent 3 7 3" xfId="22091"/>
    <cellStyle name="40% - akcent 3 7 3 2" xfId="22092"/>
    <cellStyle name="40% - akcent 3 7 3 2 2" xfId="22093"/>
    <cellStyle name="40% - akcent 3 7 3 2 2 2" xfId="22094"/>
    <cellStyle name="40% - akcent 3 7 3 2 2 2 2" xfId="22095"/>
    <cellStyle name="40% - akcent 3 7 3 2 2 3" xfId="22096"/>
    <cellStyle name="40% - akcent 3 7 3 2 3" xfId="22097"/>
    <cellStyle name="40% - akcent 3 7 3 2 3 2" xfId="22098"/>
    <cellStyle name="40% - akcent 3 7 3 2 3 2 2" xfId="22099"/>
    <cellStyle name="40% - akcent 3 7 3 2 3 3" xfId="22100"/>
    <cellStyle name="40% - akcent 3 7 3 2 4" xfId="22101"/>
    <cellStyle name="40% - akcent 3 7 3 2 4 2" xfId="22102"/>
    <cellStyle name="40% - akcent 3 7 3 2 4 2 2" xfId="22103"/>
    <cellStyle name="40% - akcent 3 7 3 2 4 3" xfId="22104"/>
    <cellStyle name="40% - akcent 3 7 3 2 5" xfId="22105"/>
    <cellStyle name="40% - akcent 3 7 3 2 5 2" xfId="22106"/>
    <cellStyle name="40% - akcent 3 7 3 2 6" xfId="22107"/>
    <cellStyle name="40% - akcent 3 7 3 3" xfId="22108"/>
    <cellStyle name="40% - akcent 3 7 3 3 2" xfId="22109"/>
    <cellStyle name="40% - akcent 3 7 3 3 2 2" xfId="22110"/>
    <cellStyle name="40% - akcent 3 7 3 3 3" xfId="22111"/>
    <cellStyle name="40% - akcent 3 7 3 4" xfId="22112"/>
    <cellStyle name="40% - akcent 3 7 3 4 2" xfId="22113"/>
    <cellStyle name="40% - akcent 3 7 3 4 2 2" xfId="22114"/>
    <cellStyle name="40% - akcent 3 7 3 4 3" xfId="22115"/>
    <cellStyle name="40% - akcent 3 7 3 5" xfId="22116"/>
    <cellStyle name="40% - akcent 3 7 3 5 2" xfId="22117"/>
    <cellStyle name="40% - akcent 3 7 3 5 2 2" xfId="22118"/>
    <cellStyle name="40% - akcent 3 7 3 5 3" xfId="22119"/>
    <cellStyle name="40% - akcent 3 7 3 6" xfId="22120"/>
    <cellStyle name="40% - akcent 3 7 3 6 2" xfId="22121"/>
    <cellStyle name="40% - akcent 3 7 3 7" xfId="22122"/>
    <cellStyle name="40% - akcent 3 7 4" xfId="22123"/>
    <cellStyle name="40% - akcent 3 7 4 2" xfId="22124"/>
    <cellStyle name="40% - akcent 3 7 4 2 2" xfId="22125"/>
    <cellStyle name="40% - akcent 3 7 4 2 2 2" xfId="22126"/>
    <cellStyle name="40% - akcent 3 7 4 2 3" xfId="22127"/>
    <cellStyle name="40% - akcent 3 7 4 3" xfId="22128"/>
    <cellStyle name="40% - akcent 3 7 4 3 2" xfId="22129"/>
    <cellStyle name="40% - akcent 3 7 4 3 2 2" xfId="22130"/>
    <cellStyle name="40% - akcent 3 7 4 3 3" xfId="22131"/>
    <cellStyle name="40% - akcent 3 7 4 4" xfId="22132"/>
    <cellStyle name="40% - akcent 3 7 4 4 2" xfId="22133"/>
    <cellStyle name="40% - akcent 3 7 4 4 2 2" xfId="22134"/>
    <cellStyle name="40% - akcent 3 7 4 4 3" xfId="22135"/>
    <cellStyle name="40% - akcent 3 7 4 5" xfId="22136"/>
    <cellStyle name="40% - akcent 3 7 4 5 2" xfId="22137"/>
    <cellStyle name="40% - akcent 3 7 4 6" xfId="22138"/>
    <cellStyle name="40% - akcent 3 7 5" xfId="22139"/>
    <cellStyle name="40% - akcent 3 7 5 2" xfId="22140"/>
    <cellStyle name="40% - akcent 3 7 5 2 2" xfId="22141"/>
    <cellStyle name="40% - akcent 3 7 5 2 2 2" xfId="22142"/>
    <cellStyle name="40% - akcent 3 7 5 2 3" xfId="22143"/>
    <cellStyle name="40% - akcent 3 7 5 3" xfId="22144"/>
    <cellStyle name="40% - akcent 3 7 5 3 2" xfId="22145"/>
    <cellStyle name="40% - akcent 3 7 5 3 2 2" xfId="22146"/>
    <cellStyle name="40% - akcent 3 7 5 3 3" xfId="22147"/>
    <cellStyle name="40% - akcent 3 7 5 4" xfId="22148"/>
    <cellStyle name="40% - akcent 3 7 5 4 2" xfId="22149"/>
    <cellStyle name="40% - akcent 3 7 5 4 2 2" xfId="22150"/>
    <cellStyle name="40% - akcent 3 7 5 4 3" xfId="22151"/>
    <cellStyle name="40% - akcent 3 7 5 5" xfId="22152"/>
    <cellStyle name="40% - akcent 3 7 5 5 2" xfId="22153"/>
    <cellStyle name="40% - akcent 3 7 5 6" xfId="22154"/>
    <cellStyle name="40% - akcent 3 7 6" xfId="22155"/>
    <cellStyle name="40% - akcent 3 7 7" xfId="22156"/>
    <cellStyle name="40% - akcent 3 7 7 2" xfId="22157"/>
    <cellStyle name="40% - akcent 3 7 7 2 2" xfId="22158"/>
    <cellStyle name="40% - akcent 3 7 7 2 2 2" xfId="22159"/>
    <cellStyle name="40% - akcent 3 7 7 2 3" xfId="22160"/>
    <cellStyle name="40% - akcent 3 7 7 3" xfId="22161"/>
    <cellStyle name="40% - akcent 3 7 7 3 2" xfId="22162"/>
    <cellStyle name="40% - akcent 3 7 7 3 2 2" xfId="22163"/>
    <cellStyle name="40% - akcent 3 7 7 3 3" xfId="22164"/>
    <cellStyle name="40% - akcent 3 7 7 4" xfId="22165"/>
    <cellStyle name="40% - akcent 3 7 7 4 2" xfId="22166"/>
    <cellStyle name="40% - akcent 3 7 7 4 2 2" xfId="22167"/>
    <cellStyle name="40% - akcent 3 7 7 4 3" xfId="22168"/>
    <cellStyle name="40% - akcent 3 7 7 5" xfId="22169"/>
    <cellStyle name="40% - akcent 3 7 7 5 2" xfId="22170"/>
    <cellStyle name="40% - akcent 3 7 7 6" xfId="22171"/>
    <cellStyle name="40% - akcent 3 7_Arkusz1" xfId="22172"/>
    <cellStyle name="40% - akcent 3 8" xfId="22173"/>
    <cellStyle name="40% - akcent 3 8 2" xfId="22174"/>
    <cellStyle name="40% - akcent 3 8 3" xfId="22175"/>
    <cellStyle name="40% - akcent 3 8_Arkusz1" xfId="22176"/>
    <cellStyle name="40% - akcent 3 9" xfId="22177"/>
    <cellStyle name="40% - akcent 3 9 2" xfId="22178"/>
    <cellStyle name="40% - akcent 3 9_Arkusz1" xfId="22179"/>
    <cellStyle name="40% - akcent 4 10" xfId="22180"/>
    <cellStyle name="40% - akcent 4 10 2" xfId="22181"/>
    <cellStyle name="40% - akcent 4 10_Arkusz1" xfId="22182"/>
    <cellStyle name="40% - akcent 4 11" xfId="22183"/>
    <cellStyle name="40% - akcent 4 12" xfId="22184"/>
    <cellStyle name="40% - akcent 4 13" xfId="22185"/>
    <cellStyle name="40% - akcent 4 2" xfId="22186"/>
    <cellStyle name="40% - akcent 4 2 10" xfId="22187"/>
    <cellStyle name="40% - akcent 4 2 11" xfId="22188"/>
    <cellStyle name="40% - akcent 4 2 11 2" xfId="22189"/>
    <cellStyle name="40% - akcent 4 2 2" xfId="22190"/>
    <cellStyle name="40% - akcent 4 2 2 2" xfId="22191"/>
    <cellStyle name="40% - akcent 4 2 2 2 2" xfId="22192"/>
    <cellStyle name="40% - akcent 4 2 2 2 2 2" xfId="22193"/>
    <cellStyle name="40% - akcent 4 2 2 2 2 2 2" xfId="22194"/>
    <cellStyle name="40% - akcent 4 2 2 2 2 2 2 2" xfId="22195"/>
    <cellStyle name="40% - akcent 4 2 2 2 2 2 2 2 2" xfId="22196"/>
    <cellStyle name="40% - akcent 4 2 2 2 2 2 2 2 2 2" xfId="22197"/>
    <cellStyle name="40% - akcent 4 2 2 2 2 2 2 2 3" xfId="22198"/>
    <cellStyle name="40% - akcent 4 2 2 2 2 2 2 3" xfId="22199"/>
    <cellStyle name="40% - akcent 4 2 2 2 2 2 2 3 2" xfId="22200"/>
    <cellStyle name="40% - akcent 4 2 2 2 2 2 2 3 2 2" xfId="22201"/>
    <cellStyle name="40% - akcent 4 2 2 2 2 2 2 3 3" xfId="22202"/>
    <cellStyle name="40% - akcent 4 2 2 2 2 2 2 4" xfId="22203"/>
    <cellStyle name="40% - akcent 4 2 2 2 2 2 2 4 2" xfId="22204"/>
    <cellStyle name="40% - akcent 4 2 2 2 2 2 2 4 2 2" xfId="22205"/>
    <cellStyle name="40% - akcent 4 2 2 2 2 2 2 4 3" xfId="22206"/>
    <cellStyle name="40% - akcent 4 2 2 2 2 2 2 5" xfId="22207"/>
    <cellStyle name="40% - akcent 4 2 2 2 2 2 2 5 2" xfId="22208"/>
    <cellStyle name="40% - akcent 4 2 2 2 2 2 2 6" xfId="22209"/>
    <cellStyle name="40% - akcent 4 2 2 2 2 2 3" xfId="22210"/>
    <cellStyle name="40% - akcent 4 2 2 2 2 2 3 2" xfId="22211"/>
    <cellStyle name="40% - akcent 4 2 2 2 2 2 3 2 2" xfId="22212"/>
    <cellStyle name="40% - akcent 4 2 2 2 2 2 3 3" xfId="22213"/>
    <cellStyle name="40% - akcent 4 2 2 2 2 2 4" xfId="22214"/>
    <cellStyle name="40% - akcent 4 2 2 2 2 2 4 2" xfId="22215"/>
    <cellStyle name="40% - akcent 4 2 2 2 2 2 4 2 2" xfId="22216"/>
    <cellStyle name="40% - akcent 4 2 2 2 2 2 4 3" xfId="22217"/>
    <cellStyle name="40% - akcent 4 2 2 2 2 2 5" xfId="22218"/>
    <cellStyle name="40% - akcent 4 2 2 2 2 2 5 2" xfId="22219"/>
    <cellStyle name="40% - akcent 4 2 2 2 2 2 5 2 2" xfId="22220"/>
    <cellStyle name="40% - akcent 4 2 2 2 2 2 5 3" xfId="22221"/>
    <cellStyle name="40% - akcent 4 2 2 2 2 2 6" xfId="22222"/>
    <cellStyle name="40% - akcent 4 2 2 2 2 2 6 2" xfId="22223"/>
    <cellStyle name="40% - akcent 4 2 2 2 2 2 7" xfId="22224"/>
    <cellStyle name="40% - akcent 4 2 2 2 2 3" xfId="22225"/>
    <cellStyle name="40% - akcent 4 2 2 2 2 3 2" xfId="22226"/>
    <cellStyle name="40% - akcent 4 2 2 2 2 3 2 2" xfId="22227"/>
    <cellStyle name="40% - akcent 4 2 2 2 2 3 2 2 2" xfId="22228"/>
    <cellStyle name="40% - akcent 4 2 2 2 2 3 2 3" xfId="22229"/>
    <cellStyle name="40% - akcent 4 2 2 2 2 3 3" xfId="22230"/>
    <cellStyle name="40% - akcent 4 2 2 2 2 3 3 2" xfId="22231"/>
    <cellStyle name="40% - akcent 4 2 2 2 2 3 3 2 2" xfId="22232"/>
    <cellStyle name="40% - akcent 4 2 2 2 2 3 3 3" xfId="22233"/>
    <cellStyle name="40% - akcent 4 2 2 2 2 3 4" xfId="22234"/>
    <cellStyle name="40% - akcent 4 2 2 2 2 3 4 2" xfId="22235"/>
    <cellStyle name="40% - akcent 4 2 2 2 2 3 4 2 2" xfId="22236"/>
    <cellStyle name="40% - akcent 4 2 2 2 2 3 4 3" xfId="22237"/>
    <cellStyle name="40% - akcent 4 2 2 2 2 3 5" xfId="22238"/>
    <cellStyle name="40% - akcent 4 2 2 2 2 3 5 2" xfId="22239"/>
    <cellStyle name="40% - akcent 4 2 2 2 2 3 6" xfId="22240"/>
    <cellStyle name="40% - akcent 4 2 2 2 2 4" xfId="22241"/>
    <cellStyle name="40% - akcent 4 2 2 2 2 4 2" xfId="22242"/>
    <cellStyle name="40% - akcent 4 2 2 2 2 4 2 2" xfId="22243"/>
    <cellStyle name="40% - akcent 4 2 2 2 2 4 2 2 2" xfId="22244"/>
    <cellStyle name="40% - akcent 4 2 2 2 2 4 2 3" xfId="22245"/>
    <cellStyle name="40% - akcent 4 2 2 2 2 4 3" xfId="22246"/>
    <cellStyle name="40% - akcent 4 2 2 2 2 4 3 2" xfId="22247"/>
    <cellStyle name="40% - akcent 4 2 2 2 2 4 3 2 2" xfId="22248"/>
    <cellStyle name="40% - akcent 4 2 2 2 2 4 3 3" xfId="22249"/>
    <cellStyle name="40% - akcent 4 2 2 2 2 4 4" xfId="22250"/>
    <cellStyle name="40% - akcent 4 2 2 2 2 4 4 2" xfId="22251"/>
    <cellStyle name="40% - akcent 4 2 2 2 2 4 4 2 2" xfId="22252"/>
    <cellStyle name="40% - akcent 4 2 2 2 2 4 4 3" xfId="22253"/>
    <cellStyle name="40% - akcent 4 2 2 2 2 4 5" xfId="22254"/>
    <cellStyle name="40% - akcent 4 2 2 2 2 4 5 2" xfId="22255"/>
    <cellStyle name="40% - akcent 4 2 2 2 2 4 6" xfId="22256"/>
    <cellStyle name="40% - akcent 4 2 2 2 2 5" xfId="22257"/>
    <cellStyle name="40% - akcent 4 2 2 2 2 5 2" xfId="22258"/>
    <cellStyle name="40% - akcent 4 2 2 2 2 5 2 2" xfId="22259"/>
    <cellStyle name="40% - akcent 4 2 2 2 2 5 3" xfId="22260"/>
    <cellStyle name="40% - akcent 4 2 2 2 2 6" xfId="22261"/>
    <cellStyle name="40% - akcent 4 2 2 2 2 6 2" xfId="22262"/>
    <cellStyle name="40% - akcent 4 2 2 2 2 6 2 2" xfId="22263"/>
    <cellStyle name="40% - akcent 4 2 2 2 2 6 3" xfId="22264"/>
    <cellStyle name="40% - akcent 4 2 2 2 2 7" xfId="22265"/>
    <cellStyle name="40% - akcent 4 2 2 2 2 7 2" xfId="22266"/>
    <cellStyle name="40% - akcent 4 2 2 2 2 7 2 2" xfId="22267"/>
    <cellStyle name="40% - akcent 4 2 2 2 2 7 3" xfId="22268"/>
    <cellStyle name="40% - akcent 4 2 2 2 2 8" xfId="22269"/>
    <cellStyle name="40% - akcent 4 2 2 2 2 8 2" xfId="22270"/>
    <cellStyle name="40% - akcent 4 2 2 2 2 9" xfId="22271"/>
    <cellStyle name="40% - akcent 4 2 2 2 3" xfId="22272"/>
    <cellStyle name="40% - akcent 4 2 2 2 3 2" xfId="22273"/>
    <cellStyle name="40% - akcent 4 2 2 2 3 2 2" xfId="22274"/>
    <cellStyle name="40% - akcent 4 2 2 2 3 2 2 2" xfId="22275"/>
    <cellStyle name="40% - akcent 4 2 2 2 3 2 2 2 2" xfId="22276"/>
    <cellStyle name="40% - akcent 4 2 2 2 3 2 2 3" xfId="22277"/>
    <cellStyle name="40% - akcent 4 2 2 2 3 2 3" xfId="22278"/>
    <cellStyle name="40% - akcent 4 2 2 2 3 2 3 2" xfId="22279"/>
    <cellStyle name="40% - akcent 4 2 2 2 3 2 3 2 2" xfId="22280"/>
    <cellStyle name="40% - akcent 4 2 2 2 3 2 3 3" xfId="22281"/>
    <cellStyle name="40% - akcent 4 2 2 2 3 2 4" xfId="22282"/>
    <cellStyle name="40% - akcent 4 2 2 2 3 2 4 2" xfId="22283"/>
    <cellStyle name="40% - akcent 4 2 2 2 3 2 4 2 2" xfId="22284"/>
    <cellStyle name="40% - akcent 4 2 2 2 3 2 4 3" xfId="22285"/>
    <cellStyle name="40% - akcent 4 2 2 2 3 2 5" xfId="22286"/>
    <cellStyle name="40% - akcent 4 2 2 2 3 2 5 2" xfId="22287"/>
    <cellStyle name="40% - akcent 4 2 2 2 3 2 6" xfId="22288"/>
    <cellStyle name="40% - akcent 4 2 2 2 3 3" xfId="22289"/>
    <cellStyle name="40% - akcent 4 2 2 2 3 3 2" xfId="22290"/>
    <cellStyle name="40% - akcent 4 2 2 2 3 3 2 2" xfId="22291"/>
    <cellStyle name="40% - akcent 4 2 2 2 3 3 3" xfId="22292"/>
    <cellStyle name="40% - akcent 4 2 2 2 3 4" xfId="22293"/>
    <cellStyle name="40% - akcent 4 2 2 2 3 4 2" xfId="22294"/>
    <cellStyle name="40% - akcent 4 2 2 2 3 4 2 2" xfId="22295"/>
    <cellStyle name="40% - akcent 4 2 2 2 3 4 3" xfId="22296"/>
    <cellStyle name="40% - akcent 4 2 2 2 3 5" xfId="22297"/>
    <cellStyle name="40% - akcent 4 2 2 2 3 5 2" xfId="22298"/>
    <cellStyle name="40% - akcent 4 2 2 2 3 5 2 2" xfId="22299"/>
    <cellStyle name="40% - akcent 4 2 2 2 3 5 3" xfId="22300"/>
    <cellStyle name="40% - akcent 4 2 2 2 3 6" xfId="22301"/>
    <cellStyle name="40% - akcent 4 2 2 2 3 6 2" xfId="22302"/>
    <cellStyle name="40% - akcent 4 2 2 2 3 7" xfId="22303"/>
    <cellStyle name="40% - akcent 4 2 2 2 4" xfId="22304"/>
    <cellStyle name="40% - akcent 4 2 2 2 4 2" xfId="22305"/>
    <cellStyle name="40% - akcent 4 2 2 2 4 2 2" xfId="22306"/>
    <cellStyle name="40% - akcent 4 2 2 2 4 2 2 2" xfId="22307"/>
    <cellStyle name="40% - akcent 4 2 2 2 4 2 3" xfId="22308"/>
    <cellStyle name="40% - akcent 4 2 2 2 4 3" xfId="22309"/>
    <cellStyle name="40% - akcent 4 2 2 2 4 3 2" xfId="22310"/>
    <cellStyle name="40% - akcent 4 2 2 2 4 3 2 2" xfId="22311"/>
    <cellStyle name="40% - akcent 4 2 2 2 4 3 3" xfId="22312"/>
    <cellStyle name="40% - akcent 4 2 2 2 4 4" xfId="22313"/>
    <cellStyle name="40% - akcent 4 2 2 2 4 4 2" xfId="22314"/>
    <cellStyle name="40% - akcent 4 2 2 2 4 4 2 2" xfId="22315"/>
    <cellStyle name="40% - akcent 4 2 2 2 4 4 3" xfId="22316"/>
    <cellStyle name="40% - akcent 4 2 2 2 4 5" xfId="22317"/>
    <cellStyle name="40% - akcent 4 2 2 2 4 5 2" xfId="22318"/>
    <cellStyle name="40% - akcent 4 2 2 2 4 6" xfId="22319"/>
    <cellStyle name="40% - akcent 4 2 2 2 5" xfId="22320"/>
    <cellStyle name="40% - akcent 4 2 2 2 5 2" xfId="22321"/>
    <cellStyle name="40% - akcent 4 2 2 2 5 2 2" xfId="22322"/>
    <cellStyle name="40% - akcent 4 2 2 2 5 2 2 2" xfId="22323"/>
    <cellStyle name="40% - akcent 4 2 2 2 5 2 3" xfId="22324"/>
    <cellStyle name="40% - akcent 4 2 2 2 5 3" xfId="22325"/>
    <cellStyle name="40% - akcent 4 2 2 2 5 3 2" xfId="22326"/>
    <cellStyle name="40% - akcent 4 2 2 2 5 3 2 2" xfId="22327"/>
    <cellStyle name="40% - akcent 4 2 2 2 5 3 3" xfId="22328"/>
    <cellStyle name="40% - akcent 4 2 2 2 5 4" xfId="22329"/>
    <cellStyle name="40% - akcent 4 2 2 2 5 4 2" xfId="22330"/>
    <cellStyle name="40% - akcent 4 2 2 2 5 4 2 2" xfId="22331"/>
    <cellStyle name="40% - akcent 4 2 2 2 5 4 3" xfId="22332"/>
    <cellStyle name="40% - akcent 4 2 2 2 5 5" xfId="22333"/>
    <cellStyle name="40% - akcent 4 2 2 2 5 5 2" xfId="22334"/>
    <cellStyle name="40% - akcent 4 2 2 2 5 6" xfId="22335"/>
    <cellStyle name="40% - akcent 4 2 2 2 6" xfId="22336"/>
    <cellStyle name="40% - akcent 4 2 2 2 6 2" xfId="22337"/>
    <cellStyle name="40% - akcent 4 2 2 2 6 2 2" xfId="22338"/>
    <cellStyle name="40% - akcent 4 2 2 2 6 2 2 2" xfId="22339"/>
    <cellStyle name="40% - akcent 4 2 2 2 6 2 3" xfId="22340"/>
    <cellStyle name="40% - akcent 4 2 2 2 6 3" xfId="22341"/>
    <cellStyle name="40% - akcent 4 2 2 2 6 3 2" xfId="22342"/>
    <cellStyle name="40% - akcent 4 2 2 2 6 3 2 2" xfId="22343"/>
    <cellStyle name="40% - akcent 4 2 2 2 6 3 3" xfId="22344"/>
    <cellStyle name="40% - akcent 4 2 2 2 6 4" xfId="22345"/>
    <cellStyle name="40% - akcent 4 2 2 2 6 4 2" xfId="22346"/>
    <cellStyle name="40% - akcent 4 2 2 2 6 4 2 2" xfId="22347"/>
    <cellStyle name="40% - akcent 4 2 2 2 6 4 3" xfId="22348"/>
    <cellStyle name="40% - akcent 4 2 2 2 6 5" xfId="22349"/>
    <cellStyle name="40% - akcent 4 2 2 2 6 5 2" xfId="22350"/>
    <cellStyle name="40% - akcent 4 2 2 2 6 6" xfId="22351"/>
    <cellStyle name="40% - akcent 4 2 2 3" xfId="22352"/>
    <cellStyle name="40% - akcent 4 2 2 3 2" xfId="22353"/>
    <cellStyle name="40% - akcent 4 2 2 3 2 2" xfId="22354"/>
    <cellStyle name="40% - akcent 4 2 2 3 2 2 2" xfId="22355"/>
    <cellStyle name="40% - akcent 4 2 2 3 2 2 2 2" xfId="22356"/>
    <cellStyle name="40% - akcent 4 2 2 3 2 2 2 2 2" xfId="22357"/>
    <cellStyle name="40% - akcent 4 2 2 3 2 2 2 3" xfId="22358"/>
    <cellStyle name="40% - akcent 4 2 2 3 2 2 3" xfId="22359"/>
    <cellStyle name="40% - akcent 4 2 2 3 2 2 3 2" xfId="22360"/>
    <cellStyle name="40% - akcent 4 2 2 3 2 2 3 2 2" xfId="22361"/>
    <cellStyle name="40% - akcent 4 2 2 3 2 2 3 3" xfId="22362"/>
    <cellStyle name="40% - akcent 4 2 2 3 2 2 4" xfId="22363"/>
    <cellStyle name="40% - akcent 4 2 2 3 2 2 4 2" xfId="22364"/>
    <cellStyle name="40% - akcent 4 2 2 3 2 2 4 2 2" xfId="22365"/>
    <cellStyle name="40% - akcent 4 2 2 3 2 2 4 3" xfId="22366"/>
    <cellStyle name="40% - akcent 4 2 2 3 2 2 5" xfId="22367"/>
    <cellStyle name="40% - akcent 4 2 2 3 2 2 5 2" xfId="22368"/>
    <cellStyle name="40% - akcent 4 2 2 3 2 2 6" xfId="22369"/>
    <cellStyle name="40% - akcent 4 2 2 3 2 3" xfId="22370"/>
    <cellStyle name="40% - akcent 4 2 2 3 2 3 2" xfId="22371"/>
    <cellStyle name="40% - akcent 4 2 2 3 2 3 2 2" xfId="22372"/>
    <cellStyle name="40% - akcent 4 2 2 3 2 3 3" xfId="22373"/>
    <cellStyle name="40% - akcent 4 2 2 3 2 4" xfId="22374"/>
    <cellStyle name="40% - akcent 4 2 2 3 2 4 2" xfId="22375"/>
    <cellStyle name="40% - akcent 4 2 2 3 2 4 2 2" xfId="22376"/>
    <cellStyle name="40% - akcent 4 2 2 3 2 4 3" xfId="22377"/>
    <cellStyle name="40% - akcent 4 2 2 3 2 5" xfId="22378"/>
    <cellStyle name="40% - akcent 4 2 2 3 2 5 2" xfId="22379"/>
    <cellStyle name="40% - akcent 4 2 2 3 2 5 2 2" xfId="22380"/>
    <cellStyle name="40% - akcent 4 2 2 3 2 5 3" xfId="22381"/>
    <cellStyle name="40% - akcent 4 2 2 3 2 6" xfId="22382"/>
    <cellStyle name="40% - akcent 4 2 2 3 2 6 2" xfId="22383"/>
    <cellStyle name="40% - akcent 4 2 2 3 2 7" xfId="22384"/>
    <cellStyle name="40% - akcent 4 2 2 3 3" xfId="22385"/>
    <cellStyle name="40% - akcent 4 2 2 3 3 2" xfId="22386"/>
    <cellStyle name="40% - akcent 4 2 2 3 3 2 2" xfId="22387"/>
    <cellStyle name="40% - akcent 4 2 2 3 3 2 2 2" xfId="22388"/>
    <cellStyle name="40% - akcent 4 2 2 3 3 2 3" xfId="22389"/>
    <cellStyle name="40% - akcent 4 2 2 3 3 3" xfId="22390"/>
    <cellStyle name="40% - akcent 4 2 2 3 3 3 2" xfId="22391"/>
    <cellStyle name="40% - akcent 4 2 2 3 3 3 2 2" xfId="22392"/>
    <cellStyle name="40% - akcent 4 2 2 3 3 3 3" xfId="22393"/>
    <cellStyle name="40% - akcent 4 2 2 3 3 4" xfId="22394"/>
    <cellStyle name="40% - akcent 4 2 2 3 3 4 2" xfId="22395"/>
    <cellStyle name="40% - akcent 4 2 2 3 3 4 2 2" xfId="22396"/>
    <cellStyle name="40% - akcent 4 2 2 3 3 4 3" xfId="22397"/>
    <cellStyle name="40% - akcent 4 2 2 3 3 5" xfId="22398"/>
    <cellStyle name="40% - akcent 4 2 2 3 3 5 2" xfId="22399"/>
    <cellStyle name="40% - akcent 4 2 2 3 3 6" xfId="22400"/>
    <cellStyle name="40% - akcent 4 2 2 3 4" xfId="22401"/>
    <cellStyle name="40% - akcent 4 2 2 3 4 2" xfId="22402"/>
    <cellStyle name="40% - akcent 4 2 2 3 4 2 2" xfId="22403"/>
    <cellStyle name="40% - akcent 4 2 2 3 4 2 2 2" xfId="22404"/>
    <cellStyle name="40% - akcent 4 2 2 3 4 2 3" xfId="22405"/>
    <cellStyle name="40% - akcent 4 2 2 3 4 3" xfId="22406"/>
    <cellStyle name="40% - akcent 4 2 2 3 4 3 2" xfId="22407"/>
    <cellStyle name="40% - akcent 4 2 2 3 4 3 2 2" xfId="22408"/>
    <cellStyle name="40% - akcent 4 2 2 3 4 3 3" xfId="22409"/>
    <cellStyle name="40% - akcent 4 2 2 3 4 4" xfId="22410"/>
    <cellStyle name="40% - akcent 4 2 2 3 4 4 2" xfId="22411"/>
    <cellStyle name="40% - akcent 4 2 2 3 4 4 2 2" xfId="22412"/>
    <cellStyle name="40% - akcent 4 2 2 3 4 4 3" xfId="22413"/>
    <cellStyle name="40% - akcent 4 2 2 3 4 5" xfId="22414"/>
    <cellStyle name="40% - akcent 4 2 2 3 4 5 2" xfId="22415"/>
    <cellStyle name="40% - akcent 4 2 2 3 4 6" xfId="22416"/>
    <cellStyle name="40% - akcent 4 2 2 3 5" xfId="22417"/>
    <cellStyle name="40% - akcent 4 2 2 3 5 2" xfId="22418"/>
    <cellStyle name="40% - akcent 4 2 2 3 5 2 2" xfId="22419"/>
    <cellStyle name="40% - akcent 4 2 2 3 5 2 2 2" xfId="22420"/>
    <cellStyle name="40% - akcent 4 2 2 3 5 2 3" xfId="22421"/>
    <cellStyle name="40% - akcent 4 2 2 3 5 3" xfId="22422"/>
    <cellStyle name="40% - akcent 4 2 2 3 5 3 2" xfId="22423"/>
    <cellStyle name="40% - akcent 4 2 2 3 5 3 2 2" xfId="22424"/>
    <cellStyle name="40% - akcent 4 2 2 3 5 3 3" xfId="22425"/>
    <cellStyle name="40% - akcent 4 2 2 3 5 4" xfId="22426"/>
    <cellStyle name="40% - akcent 4 2 2 3 5 4 2" xfId="22427"/>
    <cellStyle name="40% - akcent 4 2 2 3 5 4 2 2" xfId="22428"/>
    <cellStyle name="40% - akcent 4 2 2 3 5 4 3" xfId="22429"/>
    <cellStyle name="40% - akcent 4 2 2 3 5 5" xfId="22430"/>
    <cellStyle name="40% - akcent 4 2 2 3 5 5 2" xfId="22431"/>
    <cellStyle name="40% - akcent 4 2 2 3 5 6" xfId="22432"/>
    <cellStyle name="40% - akcent 4 2 2 4" xfId="22433"/>
    <cellStyle name="40% - akcent 4 2 2 4 2" xfId="22434"/>
    <cellStyle name="40% - akcent 4 2 2 4 2 2" xfId="22435"/>
    <cellStyle name="40% - akcent 4 2 2 4 2 2 2" xfId="22436"/>
    <cellStyle name="40% - akcent 4 2 2 4 2 2 2 2" xfId="22437"/>
    <cellStyle name="40% - akcent 4 2 2 4 2 2 3" xfId="22438"/>
    <cellStyle name="40% - akcent 4 2 2 4 2 3" xfId="22439"/>
    <cellStyle name="40% - akcent 4 2 2 4 2 3 2" xfId="22440"/>
    <cellStyle name="40% - akcent 4 2 2 4 2 3 2 2" xfId="22441"/>
    <cellStyle name="40% - akcent 4 2 2 4 2 3 3" xfId="22442"/>
    <cellStyle name="40% - akcent 4 2 2 4 2 4" xfId="22443"/>
    <cellStyle name="40% - akcent 4 2 2 4 2 4 2" xfId="22444"/>
    <cellStyle name="40% - akcent 4 2 2 4 2 4 2 2" xfId="22445"/>
    <cellStyle name="40% - akcent 4 2 2 4 2 4 3" xfId="22446"/>
    <cellStyle name="40% - akcent 4 2 2 4 2 5" xfId="22447"/>
    <cellStyle name="40% - akcent 4 2 2 4 2 5 2" xfId="22448"/>
    <cellStyle name="40% - akcent 4 2 2 4 2 6" xfId="22449"/>
    <cellStyle name="40% - akcent 4 2 2 4 3" xfId="22450"/>
    <cellStyle name="40% - akcent 4 2 2 4 3 2" xfId="22451"/>
    <cellStyle name="40% - akcent 4 2 2 4 3 2 2" xfId="22452"/>
    <cellStyle name="40% - akcent 4 2 2 4 3 3" xfId="22453"/>
    <cellStyle name="40% - akcent 4 2 2 4 4" xfId="22454"/>
    <cellStyle name="40% - akcent 4 2 2 4 4 2" xfId="22455"/>
    <cellStyle name="40% - akcent 4 2 2 4 4 2 2" xfId="22456"/>
    <cellStyle name="40% - akcent 4 2 2 4 4 3" xfId="22457"/>
    <cellStyle name="40% - akcent 4 2 2 4 5" xfId="22458"/>
    <cellStyle name="40% - akcent 4 2 2 4 5 2" xfId="22459"/>
    <cellStyle name="40% - akcent 4 2 2 4 5 2 2" xfId="22460"/>
    <cellStyle name="40% - akcent 4 2 2 4 5 3" xfId="22461"/>
    <cellStyle name="40% - akcent 4 2 2 4 6" xfId="22462"/>
    <cellStyle name="40% - akcent 4 2 2 4 6 2" xfId="22463"/>
    <cellStyle name="40% - akcent 4 2 2 4 7" xfId="22464"/>
    <cellStyle name="40% - akcent 4 2 2 5" xfId="22465"/>
    <cellStyle name="40% - akcent 4 2 2 5 2" xfId="22466"/>
    <cellStyle name="40% - akcent 4 2 2 5 2 2" xfId="22467"/>
    <cellStyle name="40% - akcent 4 2 2 5 2 2 2" xfId="22468"/>
    <cellStyle name="40% - akcent 4 2 2 5 2 3" xfId="22469"/>
    <cellStyle name="40% - akcent 4 2 2 5 3" xfId="22470"/>
    <cellStyle name="40% - akcent 4 2 2 5 3 2" xfId="22471"/>
    <cellStyle name="40% - akcent 4 2 2 5 3 2 2" xfId="22472"/>
    <cellStyle name="40% - akcent 4 2 2 5 3 3" xfId="22473"/>
    <cellStyle name="40% - akcent 4 2 2 5 4" xfId="22474"/>
    <cellStyle name="40% - akcent 4 2 2 5 4 2" xfId="22475"/>
    <cellStyle name="40% - akcent 4 2 2 5 4 2 2" xfId="22476"/>
    <cellStyle name="40% - akcent 4 2 2 5 4 3" xfId="22477"/>
    <cellStyle name="40% - akcent 4 2 2 5 5" xfId="22478"/>
    <cellStyle name="40% - akcent 4 2 2 5 5 2" xfId="22479"/>
    <cellStyle name="40% - akcent 4 2 2 5 6" xfId="22480"/>
    <cellStyle name="40% - akcent 4 2 2 6" xfId="22481"/>
    <cellStyle name="40% - akcent 4 2 2 6 2" xfId="22482"/>
    <cellStyle name="40% - akcent 4 2 2 6 2 2" xfId="22483"/>
    <cellStyle name="40% - akcent 4 2 2 6 2 2 2" xfId="22484"/>
    <cellStyle name="40% - akcent 4 2 2 6 2 3" xfId="22485"/>
    <cellStyle name="40% - akcent 4 2 2 6 3" xfId="22486"/>
    <cellStyle name="40% - akcent 4 2 2 6 3 2" xfId="22487"/>
    <cellStyle name="40% - akcent 4 2 2 6 3 2 2" xfId="22488"/>
    <cellStyle name="40% - akcent 4 2 2 6 3 3" xfId="22489"/>
    <cellStyle name="40% - akcent 4 2 2 6 4" xfId="22490"/>
    <cellStyle name="40% - akcent 4 2 2 6 4 2" xfId="22491"/>
    <cellStyle name="40% - akcent 4 2 2 6 4 2 2" xfId="22492"/>
    <cellStyle name="40% - akcent 4 2 2 6 4 3" xfId="22493"/>
    <cellStyle name="40% - akcent 4 2 2 6 5" xfId="22494"/>
    <cellStyle name="40% - akcent 4 2 2 6 5 2" xfId="22495"/>
    <cellStyle name="40% - akcent 4 2 2 6 6" xfId="22496"/>
    <cellStyle name="40% - akcent 4 2 2 7" xfId="22497"/>
    <cellStyle name="40% - akcent 4 2 2 8" xfId="22498"/>
    <cellStyle name="40% - akcent 4 2 2 8 2" xfId="22499"/>
    <cellStyle name="40% - akcent 4 2 2 8 2 2" xfId="22500"/>
    <cellStyle name="40% - akcent 4 2 2 8 2 2 2" xfId="22501"/>
    <cellStyle name="40% - akcent 4 2 2 8 2 3" xfId="22502"/>
    <cellStyle name="40% - akcent 4 2 2 8 3" xfId="22503"/>
    <cellStyle name="40% - akcent 4 2 2 8 3 2" xfId="22504"/>
    <cellStyle name="40% - akcent 4 2 2 8 3 2 2" xfId="22505"/>
    <cellStyle name="40% - akcent 4 2 2 8 3 3" xfId="22506"/>
    <cellStyle name="40% - akcent 4 2 2 8 4" xfId="22507"/>
    <cellStyle name="40% - akcent 4 2 2 8 4 2" xfId="22508"/>
    <cellStyle name="40% - akcent 4 2 2 8 4 2 2" xfId="22509"/>
    <cellStyle name="40% - akcent 4 2 2 8 4 3" xfId="22510"/>
    <cellStyle name="40% - akcent 4 2 2 8 5" xfId="22511"/>
    <cellStyle name="40% - akcent 4 2 2 8 5 2" xfId="22512"/>
    <cellStyle name="40% - akcent 4 2 2 8 6" xfId="22513"/>
    <cellStyle name="40% - akcent 4 2 2_2011'05 Raport PGE_DO-CO2" xfId="22514"/>
    <cellStyle name="40% - akcent 4 2 3" xfId="22515"/>
    <cellStyle name="40% - akcent 4 2 3 2" xfId="22516"/>
    <cellStyle name="40% - akcent 4 2 3 2 2" xfId="22517"/>
    <cellStyle name="40% - akcent 4 2 3 2 2 2" xfId="22518"/>
    <cellStyle name="40% - akcent 4 2 3 2 2 2 2" xfId="22519"/>
    <cellStyle name="40% - akcent 4 2 3 2 2 2 2 2" xfId="22520"/>
    <cellStyle name="40% - akcent 4 2 3 2 2 2 2 2 2" xfId="22521"/>
    <cellStyle name="40% - akcent 4 2 3 2 2 2 2 3" xfId="22522"/>
    <cellStyle name="40% - akcent 4 2 3 2 2 2 3" xfId="22523"/>
    <cellStyle name="40% - akcent 4 2 3 2 2 2 3 2" xfId="22524"/>
    <cellStyle name="40% - akcent 4 2 3 2 2 2 3 2 2" xfId="22525"/>
    <cellStyle name="40% - akcent 4 2 3 2 2 2 3 3" xfId="22526"/>
    <cellStyle name="40% - akcent 4 2 3 2 2 2 4" xfId="22527"/>
    <cellStyle name="40% - akcent 4 2 3 2 2 2 4 2" xfId="22528"/>
    <cellStyle name="40% - akcent 4 2 3 2 2 2 4 2 2" xfId="22529"/>
    <cellStyle name="40% - akcent 4 2 3 2 2 2 4 3" xfId="22530"/>
    <cellStyle name="40% - akcent 4 2 3 2 2 2 5" xfId="22531"/>
    <cellStyle name="40% - akcent 4 2 3 2 2 2 5 2" xfId="22532"/>
    <cellStyle name="40% - akcent 4 2 3 2 2 2 6" xfId="22533"/>
    <cellStyle name="40% - akcent 4 2 3 2 2 3" xfId="22534"/>
    <cellStyle name="40% - akcent 4 2 3 2 2 3 2" xfId="22535"/>
    <cellStyle name="40% - akcent 4 2 3 2 2 3 2 2" xfId="22536"/>
    <cellStyle name="40% - akcent 4 2 3 2 2 3 3" xfId="22537"/>
    <cellStyle name="40% - akcent 4 2 3 2 2 4" xfId="22538"/>
    <cellStyle name="40% - akcent 4 2 3 2 2 4 2" xfId="22539"/>
    <cellStyle name="40% - akcent 4 2 3 2 2 4 2 2" xfId="22540"/>
    <cellStyle name="40% - akcent 4 2 3 2 2 4 3" xfId="22541"/>
    <cellStyle name="40% - akcent 4 2 3 2 2 5" xfId="22542"/>
    <cellStyle name="40% - akcent 4 2 3 2 2 5 2" xfId="22543"/>
    <cellStyle name="40% - akcent 4 2 3 2 2 5 2 2" xfId="22544"/>
    <cellStyle name="40% - akcent 4 2 3 2 2 5 3" xfId="22545"/>
    <cellStyle name="40% - akcent 4 2 3 2 2 6" xfId="22546"/>
    <cellStyle name="40% - akcent 4 2 3 2 2 6 2" xfId="22547"/>
    <cellStyle name="40% - akcent 4 2 3 2 2 7" xfId="22548"/>
    <cellStyle name="40% - akcent 4 2 3 2 3" xfId="22549"/>
    <cellStyle name="40% - akcent 4 2 3 2 3 2" xfId="22550"/>
    <cellStyle name="40% - akcent 4 2 3 2 3 2 2" xfId="22551"/>
    <cellStyle name="40% - akcent 4 2 3 2 3 2 2 2" xfId="22552"/>
    <cellStyle name="40% - akcent 4 2 3 2 3 2 3" xfId="22553"/>
    <cellStyle name="40% - akcent 4 2 3 2 3 3" xfId="22554"/>
    <cellStyle name="40% - akcent 4 2 3 2 3 3 2" xfId="22555"/>
    <cellStyle name="40% - akcent 4 2 3 2 3 3 2 2" xfId="22556"/>
    <cellStyle name="40% - akcent 4 2 3 2 3 3 3" xfId="22557"/>
    <cellStyle name="40% - akcent 4 2 3 2 3 4" xfId="22558"/>
    <cellStyle name="40% - akcent 4 2 3 2 3 4 2" xfId="22559"/>
    <cellStyle name="40% - akcent 4 2 3 2 3 4 2 2" xfId="22560"/>
    <cellStyle name="40% - akcent 4 2 3 2 3 4 3" xfId="22561"/>
    <cellStyle name="40% - akcent 4 2 3 2 3 5" xfId="22562"/>
    <cellStyle name="40% - akcent 4 2 3 2 3 5 2" xfId="22563"/>
    <cellStyle name="40% - akcent 4 2 3 2 3 6" xfId="22564"/>
    <cellStyle name="40% - akcent 4 2 3 2 4" xfId="22565"/>
    <cellStyle name="40% - akcent 4 2 3 2 4 2" xfId="22566"/>
    <cellStyle name="40% - akcent 4 2 3 2 4 2 2" xfId="22567"/>
    <cellStyle name="40% - akcent 4 2 3 2 4 2 2 2" xfId="22568"/>
    <cellStyle name="40% - akcent 4 2 3 2 4 2 3" xfId="22569"/>
    <cellStyle name="40% - akcent 4 2 3 2 4 3" xfId="22570"/>
    <cellStyle name="40% - akcent 4 2 3 2 4 3 2" xfId="22571"/>
    <cellStyle name="40% - akcent 4 2 3 2 4 3 2 2" xfId="22572"/>
    <cellStyle name="40% - akcent 4 2 3 2 4 3 3" xfId="22573"/>
    <cellStyle name="40% - akcent 4 2 3 2 4 4" xfId="22574"/>
    <cellStyle name="40% - akcent 4 2 3 2 4 4 2" xfId="22575"/>
    <cellStyle name="40% - akcent 4 2 3 2 4 4 2 2" xfId="22576"/>
    <cellStyle name="40% - akcent 4 2 3 2 4 4 3" xfId="22577"/>
    <cellStyle name="40% - akcent 4 2 3 2 4 5" xfId="22578"/>
    <cellStyle name="40% - akcent 4 2 3 2 4 5 2" xfId="22579"/>
    <cellStyle name="40% - akcent 4 2 3 2 4 6" xfId="22580"/>
    <cellStyle name="40% - akcent 4 2 3 2 5" xfId="22581"/>
    <cellStyle name="40% - akcent 4 2 3 2 5 2" xfId="22582"/>
    <cellStyle name="40% - akcent 4 2 3 2 5 2 2" xfId="22583"/>
    <cellStyle name="40% - akcent 4 2 3 2 5 2 2 2" xfId="22584"/>
    <cellStyle name="40% - akcent 4 2 3 2 5 2 3" xfId="22585"/>
    <cellStyle name="40% - akcent 4 2 3 2 5 3" xfId="22586"/>
    <cellStyle name="40% - akcent 4 2 3 2 5 3 2" xfId="22587"/>
    <cellStyle name="40% - akcent 4 2 3 2 5 3 2 2" xfId="22588"/>
    <cellStyle name="40% - akcent 4 2 3 2 5 3 3" xfId="22589"/>
    <cellStyle name="40% - akcent 4 2 3 2 5 4" xfId="22590"/>
    <cellStyle name="40% - akcent 4 2 3 2 5 4 2" xfId="22591"/>
    <cellStyle name="40% - akcent 4 2 3 2 5 4 2 2" xfId="22592"/>
    <cellStyle name="40% - akcent 4 2 3 2 5 4 3" xfId="22593"/>
    <cellStyle name="40% - akcent 4 2 3 2 5 5" xfId="22594"/>
    <cellStyle name="40% - akcent 4 2 3 2 5 5 2" xfId="22595"/>
    <cellStyle name="40% - akcent 4 2 3 2 5 6" xfId="22596"/>
    <cellStyle name="40% - akcent 4 2 3 3" xfId="22597"/>
    <cellStyle name="40% - akcent 4 2 3 3 2" xfId="22598"/>
    <cellStyle name="40% - akcent 4 2 3 3 2 2" xfId="22599"/>
    <cellStyle name="40% - akcent 4 2 3 3 2 2 2" xfId="22600"/>
    <cellStyle name="40% - akcent 4 2 3 3 2 2 2 2" xfId="22601"/>
    <cellStyle name="40% - akcent 4 2 3 3 2 2 3" xfId="22602"/>
    <cellStyle name="40% - akcent 4 2 3 3 2 3" xfId="22603"/>
    <cellStyle name="40% - akcent 4 2 3 3 2 3 2" xfId="22604"/>
    <cellStyle name="40% - akcent 4 2 3 3 2 3 2 2" xfId="22605"/>
    <cellStyle name="40% - akcent 4 2 3 3 2 3 3" xfId="22606"/>
    <cellStyle name="40% - akcent 4 2 3 3 2 4" xfId="22607"/>
    <cellStyle name="40% - akcent 4 2 3 3 2 4 2" xfId="22608"/>
    <cellStyle name="40% - akcent 4 2 3 3 2 4 2 2" xfId="22609"/>
    <cellStyle name="40% - akcent 4 2 3 3 2 4 3" xfId="22610"/>
    <cellStyle name="40% - akcent 4 2 3 3 2 5" xfId="22611"/>
    <cellStyle name="40% - akcent 4 2 3 3 2 5 2" xfId="22612"/>
    <cellStyle name="40% - akcent 4 2 3 3 2 6" xfId="22613"/>
    <cellStyle name="40% - akcent 4 2 3 3 3" xfId="22614"/>
    <cellStyle name="40% - akcent 4 2 3 3 3 2" xfId="22615"/>
    <cellStyle name="40% - akcent 4 2 3 3 3 2 2" xfId="22616"/>
    <cellStyle name="40% - akcent 4 2 3 3 3 3" xfId="22617"/>
    <cellStyle name="40% - akcent 4 2 3 3 4" xfId="22618"/>
    <cellStyle name="40% - akcent 4 2 3 3 4 2" xfId="22619"/>
    <cellStyle name="40% - akcent 4 2 3 3 4 2 2" xfId="22620"/>
    <cellStyle name="40% - akcent 4 2 3 3 4 3" xfId="22621"/>
    <cellStyle name="40% - akcent 4 2 3 3 5" xfId="22622"/>
    <cellStyle name="40% - akcent 4 2 3 3 5 2" xfId="22623"/>
    <cellStyle name="40% - akcent 4 2 3 3 5 2 2" xfId="22624"/>
    <cellStyle name="40% - akcent 4 2 3 3 5 3" xfId="22625"/>
    <cellStyle name="40% - akcent 4 2 3 3 6" xfId="22626"/>
    <cellStyle name="40% - akcent 4 2 3 3 6 2" xfId="22627"/>
    <cellStyle name="40% - akcent 4 2 3 3 7" xfId="22628"/>
    <cellStyle name="40% - akcent 4 2 3 4" xfId="22629"/>
    <cellStyle name="40% - akcent 4 2 3 4 2" xfId="22630"/>
    <cellStyle name="40% - akcent 4 2 3 4 2 2" xfId="22631"/>
    <cellStyle name="40% - akcent 4 2 3 4 2 2 2" xfId="22632"/>
    <cellStyle name="40% - akcent 4 2 3 4 2 3" xfId="22633"/>
    <cellStyle name="40% - akcent 4 2 3 4 3" xfId="22634"/>
    <cellStyle name="40% - akcent 4 2 3 4 3 2" xfId="22635"/>
    <cellStyle name="40% - akcent 4 2 3 4 3 2 2" xfId="22636"/>
    <cellStyle name="40% - akcent 4 2 3 4 3 3" xfId="22637"/>
    <cellStyle name="40% - akcent 4 2 3 4 4" xfId="22638"/>
    <cellStyle name="40% - akcent 4 2 3 4 4 2" xfId="22639"/>
    <cellStyle name="40% - akcent 4 2 3 4 4 2 2" xfId="22640"/>
    <cellStyle name="40% - akcent 4 2 3 4 4 3" xfId="22641"/>
    <cellStyle name="40% - akcent 4 2 3 4 5" xfId="22642"/>
    <cellStyle name="40% - akcent 4 2 3 4 5 2" xfId="22643"/>
    <cellStyle name="40% - akcent 4 2 3 4 6" xfId="22644"/>
    <cellStyle name="40% - akcent 4 2 3 5" xfId="22645"/>
    <cellStyle name="40% - akcent 4 2 3 5 2" xfId="22646"/>
    <cellStyle name="40% - akcent 4 2 3 5 2 2" xfId="22647"/>
    <cellStyle name="40% - akcent 4 2 3 5 2 2 2" xfId="22648"/>
    <cellStyle name="40% - akcent 4 2 3 5 2 3" xfId="22649"/>
    <cellStyle name="40% - akcent 4 2 3 5 3" xfId="22650"/>
    <cellStyle name="40% - akcent 4 2 3 5 3 2" xfId="22651"/>
    <cellStyle name="40% - akcent 4 2 3 5 3 2 2" xfId="22652"/>
    <cellStyle name="40% - akcent 4 2 3 5 3 3" xfId="22653"/>
    <cellStyle name="40% - akcent 4 2 3 5 4" xfId="22654"/>
    <cellStyle name="40% - akcent 4 2 3 5 4 2" xfId="22655"/>
    <cellStyle name="40% - akcent 4 2 3 5 4 2 2" xfId="22656"/>
    <cellStyle name="40% - akcent 4 2 3 5 4 3" xfId="22657"/>
    <cellStyle name="40% - akcent 4 2 3 5 5" xfId="22658"/>
    <cellStyle name="40% - akcent 4 2 3 5 5 2" xfId="22659"/>
    <cellStyle name="40% - akcent 4 2 3 5 6" xfId="22660"/>
    <cellStyle name="40% - akcent 4 2 3 6" xfId="22661"/>
    <cellStyle name="40% - akcent 4 2 3 6 2" xfId="22662"/>
    <cellStyle name="40% - akcent 4 2 3 6 2 2" xfId="22663"/>
    <cellStyle name="40% - akcent 4 2 3 6 2 2 2" xfId="22664"/>
    <cellStyle name="40% - akcent 4 2 3 6 2 3" xfId="22665"/>
    <cellStyle name="40% - akcent 4 2 3 6 3" xfId="22666"/>
    <cellStyle name="40% - akcent 4 2 3 6 3 2" xfId="22667"/>
    <cellStyle name="40% - akcent 4 2 3 6 3 2 2" xfId="22668"/>
    <cellStyle name="40% - akcent 4 2 3 6 3 3" xfId="22669"/>
    <cellStyle name="40% - akcent 4 2 3 6 4" xfId="22670"/>
    <cellStyle name="40% - akcent 4 2 3 6 4 2" xfId="22671"/>
    <cellStyle name="40% - akcent 4 2 3 6 4 2 2" xfId="22672"/>
    <cellStyle name="40% - akcent 4 2 3 6 4 3" xfId="22673"/>
    <cellStyle name="40% - akcent 4 2 3 6 5" xfId="22674"/>
    <cellStyle name="40% - akcent 4 2 3 6 5 2" xfId="22675"/>
    <cellStyle name="40% - akcent 4 2 3 6 6" xfId="22676"/>
    <cellStyle name="40% - akcent 4 2 3_2011'05 Raport PGE_DO-CO2" xfId="22677"/>
    <cellStyle name="40% - akcent 4 2 4" xfId="22678"/>
    <cellStyle name="40% - akcent 4 2 4 2" xfId="22679"/>
    <cellStyle name="40% - akcent 4 2 4 2 2" xfId="22680"/>
    <cellStyle name="40% - akcent 4 2 4 2 2 2" xfId="22681"/>
    <cellStyle name="40% - akcent 4 2 4 2 2 2 2" xfId="22682"/>
    <cellStyle name="40% - akcent 4 2 4 2 2 2 2 2" xfId="22683"/>
    <cellStyle name="40% - akcent 4 2 4 2 2 2 2 2 2" xfId="22684"/>
    <cellStyle name="40% - akcent 4 2 4 2 2 2 2 3" xfId="22685"/>
    <cellStyle name="40% - akcent 4 2 4 2 2 2 3" xfId="22686"/>
    <cellStyle name="40% - akcent 4 2 4 2 2 2 3 2" xfId="22687"/>
    <cellStyle name="40% - akcent 4 2 4 2 2 2 3 2 2" xfId="22688"/>
    <cellStyle name="40% - akcent 4 2 4 2 2 2 3 3" xfId="22689"/>
    <cellStyle name="40% - akcent 4 2 4 2 2 2 4" xfId="22690"/>
    <cellStyle name="40% - akcent 4 2 4 2 2 2 4 2" xfId="22691"/>
    <cellStyle name="40% - akcent 4 2 4 2 2 2 4 2 2" xfId="22692"/>
    <cellStyle name="40% - akcent 4 2 4 2 2 2 4 3" xfId="22693"/>
    <cellStyle name="40% - akcent 4 2 4 2 2 2 5" xfId="22694"/>
    <cellStyle name="40% - akcent 4 2 4 2 2 2 5 2" xfId="22695"/>
    <cellStyle name="40% - akcent 4 2 4 2 2 2 6" xfId="22696"/>
    <cellStyle name="40% - akcent 4 2 4 2 2 3" xfId="22697"/>
    <cellStyle name="40% - akcent 4 2 4 2 2 3 2" xfId="22698"/>
    <cellStyle name="40% - akcent 4 2 4 2 2 3 2 2" xfId="22699"/>
    <cellStyle name="40% - akcent 4 2 4 2 2 3 3" xfId="22700"/>
    <cellStyle name="40% - akcent 4 2 4 2 2 4" xfId="22701"/>
    <cellStyle name="40% - akcent 4 2 4 2 2 4 2" xfId="22702"/>
    <cellStyle name="40% - akcent 4 2 4 2 2 4 2 2" xfId="22703"/>
    <cellStyle name="40% - akcent 4 2 4 2 2 4 3" xfId="22704"/>
    <cellStyle name="40% - akcent 4 2 4 2 2 5" xfId="22705"/>
    <cellStyle name="40% - akcent 4 2 4 2 2 5 2" xfId="22706"/>
    <cellStyle name="40% - akcent 4 2 4 2 2 5 2 2" xfId="22707"/>
    <cellStyle name="40% - akcent 4 2 4 2 2 5 3" xfId="22708"/>
    <cellStyle name="40% - akcent 4 2 4 2 2 6" xfId="22709"/>
    <cellStyle name="40% - akcent 4 2 4 2 2 6 2" xfId="22710"/>
    <cellStyle name="40% - akcent 4 2 4 2 2 7" xfId="22711"/>
    <cellStyle name="40% - akcent 4 2 4 2 3" xfId="22712"/>
    <cellStyle name="40% - akcent 4 2 4 2 3 2" xfId="22713"/>
    <cellStyle name="40% - akcent 4 2 4 2 3 2 2" xfId="22714"/>
    <cellStyle name="40% - akcent 4 2 4 2 3 2 2 2" xfId="22715"/>
    <cellStyle name="40% - akcent 4 2 4 2 3 2 3" xfId="22716"/>
    <cellStyle name="40% - akcent 4 2 4 2 3 3" xfId="22717"/>
    <cellStyle name="40% - akcent 4 2 4 2 3 3 2" xfId="22718"/>
    <cellStyle name="40% - akcent 4 2 4 2 3 3 2 2" xfId="22719"/>
    <cellStyle name="40% - akcent 4 2 4 2 3 3 3" xfId="22720"/>
    <cellStyle name="40% - akcent 4 2 4 2 3 4" xfId="22721"/>
    <cellStyle name="40% - akcent 4 2 4 2 3 4 2" xfId="22722"/>
    <cellStyle name="40% - akcent 4 2 4 2 3 4 2 2" xfId="22723"/>
    <cellStyle name="40% - akcent 4 2 4 2 3 4 3" xfId="22724"/>
    <cellStyle name="40% - akcent 4 2 4 2 3 5" xfId="22725"/>
    <cellStyle name="40% - akcent 4 2 4 2 3 5 2" xfId="22726"/>
    <cellStyle name="40% - akcent 4 2 4 2 3 6" xfId="22727"/>
    <cellStyle name="40% - akcent 4 2 4 2 4" xfId="22728"/>
    <cellStyle name="40% - akcent 4 2 4 2 4 2" xfId="22729"/>
    <cellStyle name="40% - akcent 4 2 4 2 4 2 2" xfId="22730"/>
    <cellStyle name="40% - akcent 4 2 4 2 4 2 2 2" xfId="22731"/>
    <cellStyle name="40% - akcent 4 2 4 2 4 2 3" xfId="22732"/>
    <cellStyle name="40% - akcent 4 2 4 2 4 3" xfId="22733"/>
    <cellStyle name="40% - akcent 4 2 4 2 4 3 2" xfId="22734"/>
    <cellStyle name="40% - akcent 4 2 4 2 4 3 2 2" xfId="22735"/>
    <cellStyle name="40% - akcent 4 2 4 2 4 3 3" xfId="22736"/>
    <cellStyle name="40% - akcent 4 2 4 2 4 4" xfId="22737"/>
    <cellStyle name="40% - akcent 4 2 4 2 4 4 2" xfId="22738"/>
    <cellStyle name="40% - akcent 4 2 4 2 4 4 2 2" xfId="22739"/>
    <cellStyle name="40% - akcent 4 2 4 2 4 4 3" xfId="22740"/>
    <cellStyle name="40% - akcent 4 2 4 2 4 5" xfId="22741"/>
    <cellStyle name="40% - akcent 4 2 4 2 4 5 2" xfId="22742"/>
    <cellStyle name="40% - akcent 4 2 4 2 4 6" xfId="22743"/>
    <cellStyle name="40% - akcent 4 2 4 2 5" xfId="22744"/>
    <cellStyle name="40% - akcent 4 2 4 2 5 2" xfId="22745"/>
    <cellStyle name="40% - akcent 4 2 4 2 5 2 2" xfId="22746"/>
    <cellStyle name="40% - akcent 4 2 4 2 5 3" xfId="22747"/>
    <cellStyle name="40% - akcent 4 2 4 2 6" xfId="22748"/>
    <cellStyle name="40% - akcent 4 2 4 2 6 2" xfId="22749"/>
    <cellStyle name="40% - akcent 4 2 4 2 6 2 2" xfId="22750"/>
    <cellStyle name="40% - akcent 4 2 4 2 6 3" xfId="22751"/>
    <cellStyle name="40% - akcent 4 2 4 2 7" xfId="22752"/>
    <cellStyle name="40% - akcent 4 2 4 2 7 2" xfId="22753"/>
    <cellStyle name="40% - akcent 4 2 4 2 7 2 2" xfId="22754"/>
    <cellStyle name="40% - akcent 4 2 4 2 7 3" xfId="22755"/>
    <cellStyle name="40% - akcent 4 2 4 2 8" xfId="22756"/>
    <cellStyle name="40% - akcent 4 2 4 2 8 2" xfId="22757"/>
    <cellStyle name="40% - akcent 4 2 4 2 9" xfId="22758"/>
    <cellStyle name="40% - akcent 4 2 4 3" xfId="22759"/>
    <cellStyle name="40% - akcent 4 2 4 3 2" xfId="22760"/>
    <cellStyle name="40% - akcent 4 2 4 3 2 2" xfId="22761"/>
    <cellStyle name="40% - akcent 4 2 4 3 2 2 2" xfId="22762"/>
    <cellStyle name="40% - akcent 4 2 4 3 2 2 2 2" xfId="22763"/>
    <cellStyle name="40% - akcent 4 2 4 3 2 2 3" xfId="22764"/>
    <cellStyle name="40% - akcent 4 2 4 3 2 3" xfId="22765"/>
    <cellStyle name="40% - akcent 4 2 4 3 2 3 2" xfId="22766"/>
    <cellStyle name="40% - akcent 4 2 4 3 2 3 2 2" xfId="22767"/>
    <cellStyle name="40% - akcent 4 2 4 3 2 3 3" xfId="22768"/>
    <cellStyle name="40% - akcent 4 2 4 3 2 4" xfId="22769"/>
    <cellStyle name="40% - akcent 4 2 4 3 2 4 2" xfId="22770"/>
    <cellStyle name="40% - akcent 4 2 4 3 2 4 2 2" xfId="22771"/>
    <cellStyle name="40% - akcent 4 2 4 3 2 4 3" xfId="22772"/>
    <cellStyle name="40% - akcent 4 2 4 3 2 5" xfId="22773"/>
    <cellStyle name="40% - akcent 4 2 4 3 2 5 2" xfId="22774"/>
    <cellStyle name="40% - akcent 4 2 4 3 2 6" xfId="22775"/>
    <cellStyle name="40% - akcent 4 2 4 3 3" xfId="22776"/>
    <cellStyle name="40% - akcent 4 2 4 3 3 2" xfId="22777"/>
    <cellStyle name="40% - akcent 4 2 4 3 3 2 2" xfId="22778"/>
    <cellStyle name="40% - akcent 4 2 4 3 3 3" xfId="22779"/>
    <cellStyle name="40% - akcent 4 2 4 3 4" xfId="22780"/>
    <cellStyle name="40% - akcent 4 2 4 3 4 2" xfId="22781"/>
    <cellStyle name="40% - akcent 4 2 4 3 4 2 2" xfId="22782"/>
    <cellStyle name="40% - akcent 4 2 4 3 4 3" xfId="22783"/>
    <cellStyle name="40% - akcent 4 2 4 3 5" xfId="22784"/>
    <cellStyle name="40% - akcent 4 2 4 3 5 2" xfId="22785"/>
    <cellStyle name="40% - akcent 4 2 4 3 5 2 2" xfId="22786"/>
    <cellStyle name="40% - akcent 4 2 4 3 5 3" xfId="22787"/>
    <cellStyle name="40% - akcent 4 2 4 3 6" xfId="22788"/>
    <cellStyle name="40% - akcent 4 2 4 3 6 2" xfId="22789"/>
    <cellStyle name="40% - akcent 4 2 4 3 7" xfId="22790"/>
    <cellStyle name="40% - akcent 4 2 4 4" xfId="22791"/>
    <cellStyle name="40% - akcent 4 2 4 4 2" xfId="22792"/>
    <cellStyle name="40% - akcent 4 2 4 4 2 2" xfId="22793"/>
    <cellStyle name="40% - akcent 4 2 4 4 2 2 2" xfId="22794"/>
    <cellStyle name="40% - akcent 4 2 4 4 2 3" xfId="22795"/>
    <cellStyle name="40% - akcent 4 2 4 4 3" xfId="22796"/>
    <cellStyle name="40% - akcent 4 2 4 4 3 2" xfId="22797"/>
    <cellStyle name="40% - akcent 4 2 4 4 3 2 2" xfId="22798"/>
    <cellStyle name="40% - akcent 4 2 4 4 3 3" xfId="22799"/>
    <cellStyle name="40% - akcent 4 2 4 4 4" xfId="22800"/>
    <cellStyle name="40% - akcent 4 2 4 4 4 2" xfId="22801"/>
    <cellStyle name="40% - akcent 4 2 4 4 4 2 2" xfId="22802"/>
    <cellStyle name="40% - akcent 4 2 4 4 4 3" xfId="22803"/>
    <cellStyle name="40% - akcent 4 2 4 4 5" xfId="22804"/>
    <cellStyle name="40% - akcent 4 2 4 4 5 2" xfId="22805"/>
    <cellStyle name="40% - akcent 4 2 4 4 6" xfId="22806"/>
    <cellStyle name="40% - akcent 4 2 4 5" xfId="22807"/>
    <cellStyle name="40% - akcent 4 2 4 5 2" xfId="22808"/>
    <cellStyle name="40% - akcent 4 2 4 5 2 2" xfId="22809"/>
    <cellStyle name="40% - akcent 4 2 4 5 2 2 2" xfId="22810"/>
    <cellStyle name="40% - akcent 4 2 4 5 2 3" xfId="22811"/>
    <cellStyle name="40% - akcent 4 2 4 5 3" xfId="22812"/>
    <cellStyle name="40% - akcent 4 2 4 5 3 2" xfId="22813"/>
    <cellStyle name="40% - akcent 4 2 4 5 3 2 2" xfId="22814"/>
    <cellStyle name="40% - akcent 4 2 4 5 3 3" xfId="22815"/>
    <cellStyle name="40% - akcent 4 2 4 5 4" xfId="22816"/>
    <cellStyle name="40% - akcent 4 2 4 5 4 2" xfId="22817"/>
    <cellStyle name="40% - akcent 4 2 4 5 4 2 2" xfId="22818"/>
    <cellStyle name="40% - akcent 4 2 4 5 4 3" xfId="22819"/>
    <cellStyle name="40% - akcent 4 2 4 5 5" xfId="22820"/>
    <cellStyle name="40% - akcent 4 2 4 5 5 2" xfId="22821"/>
    <cellStyle name="40% - akcent 4 2 4 5 6" xfId="22822"/>
    <cellStyle name="40% - akcent 4 2 4 6" xfId="22823"/>
    <cellStyle name="40% - akcent 4 2 4 6 2" xfId="22824"/>
    <cellStyle name="40% - akcent 4 2 4 6 2 2" xfId="22825"/>
    <cellStyle name="40% - akcent 4 2 4 6 2 2 2" xfId="22826"/>
    <cellStyle name="40% - akcent 4 2 4 6 2 3" xfId="22827"/>
    <cellStyle name="40% - akcent 4 2 4 6 3" xfId="22828"/>
    <cellStyle name="40% - akcent 4 2 4 6 3 2" xfId="22829"/>
    <cellStyle name="40% - akcent 4 2 4 6 3 2 2" xfId="22830"/>
    <cellStyle name="40% - akcent 4 2 4 6 3 3" xfId="22831"/>
    <cellStyle name="40% - akcent 4 2 4 6 4" xfId="22832"/>
    <cellStyle name="40% - akcent 4 2 4 6 4 2" xfId="22833"/>
    <cellStyle name="40% - akcent 4 2 4 6 4 2 2" xfId="22834"/>
    <cellStyle name="40% - akcent 4 2 4 6 4 3" xfId="22835"/>
    <cellStyle name="40% - akcent 4 2 4 6 5" xfId="22836"/>
    <cellStyle name="40% - akcent 4 2 4 6 5 2" xfId="22837"/>
    <cellStyle name="40% - akcent 4 2 4 6 6" xfId="22838"/>
    <cellStyle name="40% - akcent 4 2 5" xfId="22839"/>
    <cellStyle name="40% - akcent 4 2 5 2" xfId="22840"/>
    <cellStyle name="40% - akcent 4 2 6" xfId="22841"/>
    <cellStyle name="40% - akcent 4 2 7" xfId="22842"/>
    <cellStyle name="40% - akcent 4 2 8" xfId="22843"/>
    <cellStyle name="40% - akcent 4 2 9" xfId="22844"/>
    <cellStyle name="40% - akcent 4 2_2011'05 Raport PGE_DO-CO2" xfId="22845"/>
    <cellStyle name="40% - akcent 4 3" xfId="22846"/>
    <cellStyle name="40% - akcent 4 3 10" xfId="22847"/>
    <cellStyle name="40% - akcent 4 3 10 2" xfId="22848"/>
    <cellStyle name="40% - akcent 4 3 10 2 2" xfId="22849"/>
    <cellStyle name="40% - akcent 4 3 10 2 2 2" xfId="22850"/>
    <cellStyle name="40% - akcent 4 3 10 2 3" xfId="22851"/>
    <cellStyle name="40% - akcent 4 3 10 3" xfId="22852"/>
    <cellStyle name="40% - akcent 4 3 10 3 2" xfId="22853"/>
    <cellStyle name="40% - akcent 4 3 10 3 2 2" xfId="22854"/>
    <cellStyle name="40% - akcent 4 3 10 3 3" xfId="22855"/>
    <cellStyle name="40% - akcent 4 3 10 4" xfId="22856"/>
    <cellStyle name="40% - akcent 4 3 10 4 2" xfId="22857"/>
    <cellStyle name="40% - akcent 4 3 10 4 2 2" xfId="22858"/>
    <cellStyle name="40% - akcent 4 3 10 4 3" xfId="22859"/>
    <cellStyle name="40% - akcent 4 3 10 5" xfId="22860"/>
    <cellStyle name="40% - akcent 4 3 10 5 2" xfId="22861"/>
    <cellStyle name="40% - akcent 4 3 10 6" xfId="22862"/>
    <cellStyle name="40% - akcent 4 3 2" xfId="22863"/>
    <cellStyle name="40% - akcent 4 3 2 2" xfId="22864"/>
    <cellStyle name="40% - akcent 4 3 2 2 10" xfId="22865"/>
    <cellStyle name="40% - akcent 4 3 2 2 2" xfId="22866"/>
    <cellStyle name="40% - akcent 4 3 2 2 2 2" xfId="22867"/>
    <cellStyle name="40% - akcent 4 3 2 2 2 2 2" xfId="22868"/>
    <cellStyle name="40% - akcent 4 3 2 2 2 2 2 2" xfId="22869"/>
    <cellStyle name="40% - akcent 4 3 2 2 2 2 2 2 2" xfId="22870"/>
    <cellStyle name="40% - akcent 4 3 2 2 2 2 2 2 2 2" xfId="22871"/>
    <cellStyle name="40% - akcent 4 3 2 2 2 2 2 2 3" xfId="22872"/>
    <cellStyle name="40% - akcent 4 3 2 2 2 2 2 3" xfId="22873"/>
    <cellStyle name="40% - akcent 4 3 2 2 2 2 2 3 2" xfId="22874"/>
    <cellStyle name="40% - akcent 4 3 2 2 2 2 2 3 2 2" xfId="22875"/>
    <cellStyle name="40% - akcent 4 3 2 2 2 2 2 3 3" xfId="22876"/>
    <cellStyle name="40% - akcent 4 3 2 2 2 2 2 4" xfId="22877"/>
    <cellStyle name="40% - akcent 4 3 2 2 2 2 2 4 2" xfId="22878"/>
    <cellStyle name="40% - akcent 4 3 2 2 2 2 2 4 2 2" xfId="22879"/>
    <cellStyle name="40% - akcent 4 3 2 2 2 2 2 4 3" xfId="22880"/>
    <cellStyle name="40% - akcent 4 3 2 2 2 2 2 5" xfId="22881"/>
    <cellStyle name="40% - akcent 4 3 2 2 2 2 2 5 2" xfId="22882"/>
    <cellStyle name="40% - akcent 4 3 2 2 2 2 2 6" xfId="22883"/>
    <cellStyle name="40% - akcent 4 3 2 2 2 2 3" xfId="22884"/>
    <cellStyle name="40% - akcent 4 3 2 2 2 2 3 2" xfId="22885"/>
    <cellStyle name="40% - akcent 4 3 2 2 2 2 3 2 2" xfId="22886"/>
    <cellStyle name="40% - akcent 4 3 2 2 2 2 3 3" xfId="22887"/>
    <cellStyle name="40% - akcent 4 3 2 2 2 2 4" xfId="22888"/>
    <cellStyle name="40% - akcent 4 3 2 2 2 2 4 2" xfId="22889"/>
    <cellStyle name="40% - akcent 4 3 2 2 2 2 4 2 2" xfId="22890"/>
    <cellStyle name="40% - akcent 4 3 2 2 2 2 4 3" xfId="22891"/>
    <cellStyle name="40% - akcent 4 3 2 2 2 2 5" xfId="22892"/>
    <cellStyle name="40% - akcent 4 3 2 2 2 2 5 2" xfId="22893"/>
    <cellStyle name="40% - akcent 4 3 2 2 2 2 5 2 2" xfId="22894"/>
    <cellStyle name="40% - akcent 4 3 2 2 2 2 5 3" xfId="22895"/>
    <cellStyle name="40% - akcent 4 3 2 2 2 2 6" xfId="22896"/>
    <cellStyle name="40% - akcent 4 3 2 2 2 2 6 2" xfId="22897"/>
    <cellStyle name="40% - akcent 4 3 2 2 2 2 7" xfId="22898"/>
    <cellStyle name="40% - akcent 4 3 2 2 2 3" xfId="22899"/>
    <cellStyle name="40% - akcent 4 3 2 2 2 3 2" xfId="22900"/>
    <cellStyle name="40% - akcent 4 3 2 2 2 3 2 2" xfId="22901"/>
    <cellStyle name="40% - akcent 4 3 2 2 2 3 2 2 2" xfId="22902"/>
    <cellStyle name="40% - akcent 4 3 2 2 2 3 2 3" xfId="22903"/>
    <cellStyle name="40% - akcent 4 3 2 2 2 3 3" xfId="22904"/>
    <cellStyle name="40% - akcent 4 3 2 2 2 3 3 2" xfId="22905"/>
    <cellStyle name="40% - akcent 4 3 2 2 2 3 3 2 2" xfId="22906"/>
    <cellStyle name="40% - akcent 4 3 2 2 2 3 3 3" xfId="22907"/>
    <cellStyle name="40% - akcent 4 3 2 2 2 3 4" xfId="22908"/>
    <cellStyle name="40% - akcent 4 3 2 2 2 3 4 2" xfId="22909"/>
    <cellStyle name="40% - akcent 4 3 2 2 2 3 4 2 2" xfId="22910"/>
    <cellStyle name="40% - akcent 4 3 2 2 2 3 4 3" xfId="22911"/>
    <cellStyle name="40% - akcent 4 3 2 2 2 3 5" xfId="22912"/>
    <cellStyle name="40% - akcent 4 3 2 2 2 3 5 2" xfId="22913"/>
    <cellStyle name="40% - akcent 4 3 2 2 2 3 6" xfId="22914"/>
    <cellStyle name="40% - akcent 4 3 2 2 2 4" xfId="22915"/>
    <cellStyle name="40% - akcent 4 3 2 2 2 4 2" xfId="22916"/>
    <cellStyle name="40% - akcent 4 3 2 2 2 4 2 2" xfId="22917"/>
    <cellStyle name="40% - akcent 4 3 2 2 2 4 2 2 2" xfId="22918"/>
    <cellStyle name="40% - akcent 4 3 2 2 2 4 2 3" xfId="22919"/>
    <cellStyle name="40% - akcent 4 3 2 2 2 4 3" xfId="22920"/>
    <cellStyle name="40% - akcent 4 3 2 2 2 4 3 2" xfId="22921"/>
    <cellStyle name="40% - akcent 4 3 2 2 2 4 3 2 2" xfId="22922"/>
    <cellStyle name="40% - akcent 4 3 2 2 2 4 3 3" xfId="22923"/>
    <cellStyle name="40% - akcent 4 3 2 2 2 4 4" xfId="22924"/>
    <cellStyle name="40% - akcent 4 3 2 2 2 4 4 2" xfId="22925"/>
    <cellStyle name="40% - akcent 4 3 2 2 2 4 4 2 2" xfId="22926"/>
    <cellStyle name="40% - akcent 4 3 2 2 2 4 4 3" xfId="22927"/>
    <cellStyle name="40% - akcent 4 3 2 2 2 4 5" xfId="22928"/>
    <cellStyle name="40% - akcent 4 3 2 2 2 4 5 2" xfId="22929"/>
    <cellStyle name="40% - akcent 4 3 2 2 2 4 6" xfId="22930"/>
    <cellStyle name="40% - akcent 4 3 2 2 2 5" xfId="22931"/>
    <cellStyle name="40% - akcent 4 3 2 2 2 5 2" xfId="22932"/>
    <cellStyle name="40% - akcent 4 3 2 2 2 5 2 2" xfId="22933"/>
    <cellStyle name="40% - akcent 4 3 2 2 2 5 3" xfId="22934"/>
    <cellStyle name="40% - akcent 4 3 2 2 2 6" xfId="22935"/>
    <cellStyle name="40% - akcent 4 3 2 2 2 6 2" xfId="22936"/>
    <cellStyle name="40% - akcent 4 3 2 2 2 6 2 2" xfId="22937"/>
    <cellStyle name="40% - akcent 4 3 2 2 2 6 3" xfId="22938"/>
    <cellStyle name="40% - akcent 4 3 2 2 2 7" xfId="22939"/>
    <cellStyle name="40% - akcent 4 3 2 2 2 7 2" xfId="22940"/>
    <cellStyle name="40% - akcent 4 3 2 2 2 7 2 2" xfId="22941"/>
    <cellStyle name="40% - akcent 4 3 2 2 2 7 3" xfId="22942"/>
    <cellStyle name="40% - akcent 4 3 2 2 2 8" xfId="22943"/>
    <cellStyle name="40% - akcent 4 3 2 2 2 8 2" xfId="22944"/>
    <cellStyle name="40% - akcent 4 3 2 2 2 9" xfId="22945"/>
    <cellStyle name="40% - akcent 4 3 2 2 3" xfId="22946"/>
    <cellStyle name="40% - akcent 4 3 2 2 3 2" xfId="22947"/>
    <cellStyle name="40% - akcent 4 3 2 2 3 2 2" xfId="22948"/>
    <cellStyle name="40% - akcent 4 3 2 2 3 2 2 2" xfId="22949"/>
    <cellStyle name="40% - akcent 4 3 2 2 3 2 2 2 2" xfId="22950"/>
    <cellStyle name="40% - akcent 4 3 2 2 3 2 2 3" xfId="22951"/>
    <cellStyle name="40% - akcent 4 3 2 2 3 2 3" xfId="22952"/>
    <cellStyle name="40% - akcent 4 3 2 2 3 2 3 2" xfId="22953"/>
    <cellStyle name="40% - akcent 4 3 2 2 3 2 3 2 2" xfId="22954"/>
    <cellStyle name="40% - akcent 4 3 2 2 3 2 3 3" xfId="22955"/>
    <cellStyle name="40% - akcent 4 3 2 2 3 2 4" xfId="22956"/>
    <cellStyle name="40% - akcent 4 3 2 2 3 2 4 2" xfId="22957"/>
    <cellStyle name="40% - akcent 4 3 2 2 3 2 4 2 2" xfId="22958"/>
    <cellStyle name="40% - akcent 4 3 2 2 3 2 4 3" xfId="22959"/>
    <cellStyle name="40% - akcent 4 3 2 2 3 2 5" xfId="22960"/>
    <cellStyle name="40% - akcent 4 3 2 2 3 2 5 2" xfId="22961"/>
    <cellStyle name="40% - akcent 4 3 2 2 3 2 6" xfId="22962"/>
    <cellStyle name="40% - akcent 4 3 2 2 3 3" xfId="22963"/>
    <cellStyle name="40% - akcent 4 3 2 2 3 3 2" xfId="22964"/>
    <cellStyle name="40% - akcent 4 3 2 2 3 3 2 2" xfId="22965"/>
    <cellStyle name="40% - akcent 4 3 2 2 3 3 3" xfId="22966"/>
    <cellStyle name="40% - akcent 4 3 2 2 3 4" xfId="22967"/>
    <cellStyle name="40% - akcent 4 3 2 2 3 4 2" xfId="22968"/>
    <cellStyle name="40% - akcent 4 3 2 2 3 4 2 2" xfId="22969"/>
    <cellStyle name="40% - akcent 4 3 2 2 3 4 3" xfId="22970"/>
    <cellStyle name="40% - akcent 4 3 2 2 3 5" xfId="22971"/>
    <cellStyle name="40% - akcent 4 3 2 2 3 5 2" xfId="22972"/>
    <cellStyle name="40% - akcent 4 3 2 2 3 5 2 2" xfId="22973"/>
    <cellStyle name="40% - akcent 4 3 2 2 3 5 3" xfId="22974"/>
    <cellStyle name="40% - akcent 4 3 2 2 3 6" xfId="22975"/>
    <cellStyle name="40% - akcent 4 3 2 2 3 6 2" xfId="22976"/>
    <cellStyle name="40% - akcent 4 3 2 2 3 7" xfId="22977"/>
    <cellStyle name="40% - akcent 4 3 2 2 4" xfId="22978"/>
    <cellStyle name="40% - akcent 4 3 2 2 4 2" xfId="22979"/>
    <cellStyle name="40% - akcent 4 3 2 2 4 2 2" xfId="22980"/>
    <cellStyle name="40% - akcent 4 3 2 2 4 2 2 2" xfId="22981"/>
    <cellStyle name="40% - akcent 4 3 2 2 4 2 3" xfId="22982"/>
    <cellStyle name="40% - akcent 4 3 2 2 4 3" xfId="22983"/>
    <cellStyle name="40% - akcent 4 3 2 2 4 3 2" xfId="22984"/>
    <cellStyle name="40% - akcent 4 3 2 2 4 3 2 2" xfId="22985"/>
    <cellStyle name="40% - akcent 4 3 2 2 4 3 3" xfId="22986"/>
    <cellStyle name="40% - akcent 4 3 2 2 4 4" xfId="22987"/>
    <cellStyle name="40% - akcent 4 3 2 2 4 4 2" xfId="22988"/>
    <cellStyle name="40% - akcent 4 3 2 2 4 4 2 2" xfId="22989"/>
    <cellStyle name="40% - akcent 4 3 2 2 4 4 3" xfId="22990"/>
    <cellStyle name="40% - akcent 4 3 2 2 4 5" xfId="22991"/>
    <cellStyle name="40% - akcent 4 3 2 2 4 5 2" xfId="22992"/>
    <cellStyle name="40% - akcent 4 3 2 2 4 6" xfId="22993"/>
    <cellStyle name="40% - akcent 4 3 2 2 5" xfId="22994"/>
    <cellStyle name="40% - akcent 4 3 2 2 5 2" xfId="22995"/>
    <cellStyle name="40% - akcent 4 3 2 2 5 2 2" xfId="22996"/>
    <cellStyle name="40% - akcent 4 3 2 2 5 2 2 2" xfId="22997"/>
    <cellStyle name="40% - akcent 4 3 2 2 5 2 3" xfId="22998"/>
    <cellStyle name="40% - akcent 4 3 2 2 5 3" xfId="22999"/>
    <cellStyle name="40% - akcent 4 3 2 2 5 3 2" xfId="23000"/>
    <cellStyle name="40% - akcent 4 3 2 2 5 3 2 2" xfId="23001"/>
    <cellStyle name="40% - akcent 4 3 2 2 5 3 3" xfId="23002"/>
    <cellStyle name="40% - akcent 4 3 2 2 5 4" xfId="23003"/>
    <cellStyle name="40% - akcent 4 3 2 2 5 4 2" xfId="23004"/>
    <cellStyle name="40% - akcent 4 3 2 2 5 4 2 2" xfId="23005"/>
    <cellStyle name="40% - akcent 4 3 2 2 5 4 3" xfId="23006"/>
    <cellStyle name="40% - akcent 4 3 2 2 5 5" xfId="23007"/>
    <cellStyle name="40% - akcent 4 3 2 2 5 5 2" xfId="23008"/>
    <cellStyle name="40% - akcent 4 3 2 2 5 6" xfId="23009"/>
    <cellStyle name="40% - akcent 4 3 2 2 6" xfId="23010"/>
    <cellStyle name="40% - akcent 4 3 2 2 6 2" xfId="23011"/>
    <cellStyle name="40% - akcent 4 3 2 2 6 2 2" xfId="23012"/>
    <cellStyle name="40% - akcent 4 3 2 2 6 3" xfId="23013"/>
    <cellStyle name="40% - akcent 4 3 2 2 7" xfId="23014"/>
    <cellStyle name="40% - akcent 4 3 2 2 7 2" xfId="23015"/>
    <cellStyle name="40% - akcent 4 3 2 2 7 2 2" xfId="23016"/>
    <cellStyle name="40% - akcent 4 3 2 2 7 3" xfId="23017"/>
    <cellStyle name="40% - akcent 4 3 2 2 8" xfId="23018"/>
    <cellStyle name="40% - akcent 4 3 2 2 8 2" xfId="23019"/>
    <cellStyle name="40% - akcent 4 3 2 2 8 2 2" xfId="23020"/>
    <cellStyle name="40% - akcent 4 3 2 2 8 3" xfId="23021"/>
    <cellStyle name="40% - akcent 4 3 2 2 9" xfId="23022"/>
    <cellStyle name="40% - akcent 4 3 2 2 9 2" xfId="23023"/>
    <cellStyle name="40% - akcent 4 3 2 3" xfId="23024"/>
    <cellStyle name="40% - akcent 4 3 2 3 2" xfId="23025"/>
    <cellStyle name="40% - akcent 4 3 2 3 2 2" xfId="23026"/>
    <cellStyle name="40% - akcent 4 3 2 3 2 2 2" xfId="23027"/>
    <cellStyle name="40% - akcent 4 3 2 3 2 2 2 2" xfId="23028"/>
    <cellStyle name="40% - akcent 4 3 2 3 2 2 2 2 2" xfId="23029"/>
    <cellStyle name="40% - akcent 4 3 2 3 2 2 2 3" xfId="23030"/>
    <cellStyle name="40% - akcent 4 3 2 3 2 2 3" xfId="23031"/>
    <cellStyle name="40% - akcent 4 3 2 3 2 2 3 2" xfId="23032"/>
    <cellStyle name="40% - akcent 4 3 2 3 2 2 3 2 2" xfId="23033"/>
    <cellStyle name="40% - akcent 4 3 2 3 2 2 3 3" xfId="23034"/>
    <cellStyle name="40% - akcent 4 3 2 3 2 2 4" xfId="23035"/>
    <cellStyle name="40% - akcent 4 3 2 3 2 2 4 2" xfId="23036"/>
    <cellStyle name="40% - akcent 4 3 2 3 2 2 4 2 2" xfId="23037"/>
    <cellStyle name="40% - akcent 4 3 2 3 2 2 4 3" xfId="23038"/>
    <cellStyle name="40% - akcent 4 3 2 3 2 2 5" xfId="23039"/>
    <cellStyle name="40% - akcent 4 3 2 3 2 2 5 2" xfId="23040"/>
    <cellStyle name="40% - akcent 4 3 2 3 2 2 6" xfId="23041"/>
    <cellStyle name="40% - akcent 4 3 2 3 2 3" xfId="23042"/>
    <cellStyle name="40% - akcent 4 3 2 3 2 3 2" xfId="23043"/>
    <cellStyle name="40% - akcent 4 3 2 3 2 3 2 2" xfId="23044"/>
    <cellStyle name="40% - akcent 4 3 2 3 2 3 3" xfId="23045"/>
    <cellStyle name="40% - akcent 4 3 2 3 2 4" xfId="23046"/>
    <cellStyle name="40% - akcent 4 3 2 3 2 4 2" xfId="23047"/>
    <cellStyle name="40% - akcent 4 3 2 3 2 4 2 2" xfId="23048"/>
    <cellStyle name="40% - akcent 4 3 2 3 2 4 3" xfId="23049"/>
    <cellStyle name="40% - akcent 4 3 2 3 2 5" xfId="23050"/>
    <cellStyle name="40% - akcent 4 3 2 3 2 5 2" xfId="23051"/>
    <cellStyle name="40% - akcent 4 3 2 3 2 5 2 2" xfId="23052"/>
    <cellStyle name="40% - akcent 4 3 2 3 2 5 3" xfId="23053"/>
    <cellStyle name="40% - akcent 4 3 2 3 2 6" xfId="23054"/>
    <cellStyle name="40% - akcent 4 3 2 3 2 6 2" xfId="23055"/>
    <cellStyle name="40% - akcent 4 3 2 3 2 7" xfId="23056"/>
    <cellStyle name="40% - akcent 4 3 2 3 3" xfId="23057"/>
    <cellStyle name="40% - akcent 4 3 2 3 3 2" xfId="23058"/>
    <cellStyle name="40% - akcent 4 3 2 3 3 2 2" xfId="23059"/>
    <cellStyle name="40% - akcent 4 3 2 3 3 2 2 2" xfId="23060"/>
    <cellStyle name="40% - akcent 4 3 2 3 3 2 3" xfId="23061"/>
    <cellStyle name="40% - akcent 4 3 2 3 3 3" xfId="23062"/>
    <cellStyle name="40% - akcent 4 3 2 3 3 3 2" xfId="23063"/>
    <cellStyle name="40% - akcent 4 3 2 3 3 3 2 2" xfId="23064"/>
    <cellStyle name="40% - akcent 4 3 2 3 3 3 3" xfId="23065"/>
    <cellStyle name="40% - akcent 4 3 2 3 3 4" xfId="23066"/>
    <cellStyle name="40% - akcent 4 3 2 3 3 4 2" xfId="23067"/>
    <cellStyle name="40% - akcent 4 3 2 3 3 4 2 2" xfId="23068"/>
    <cellStyle name="40% - akcent 4 3 2 3 3 4 3" xfId="23069"/>
    <cellStyle name="40% - akcent 4 3 2 3 3 5" xfId="23070"/>
    <cellStyle name="40% - akcent 4 3 2 3 3 5 2" xfId="23071"/>
    <cellStyle name="40% - akcent 4 3 2 3 3 6" xfId="23072"/>
    <cellStyle name="40% - akcent 4 3 2 3 4" xfId="23073"/>
    <cellStyle name="40% - akcent 4 3 2 3 4 2" xfId="23074"/>
    <cellStyle name="40% - akcent 4 3 2 3 4 2 2" xfId="23075"/>
    <cellStyle name="40% - akcent 4 3 2 3 4 2 2 2" xfId="23076"/>
    <cellStyle name="40% - akcent 4 3 2 3 4 2 3" xfId="23077"/>
    <cellStyle name="40% - akcent 4 3 2 3 4 3" xfId="23078"/>
    <cellStyle name="40% - akcent 4 3 2 3 4 3 2" xfId="23079"/>
    <cellStyle name="40% - akcent 4 3 2 3 4 3 2 2" xfId="23080"/>
    <cellStyle name="40% - akcent 4 3 2 3 4 3 3" xfId="23081"/>
    <cellStyle name="40% - akcent 4 3 2 3 4 4" xfId="23082"/>
    <cellStyle name="40% - akcent 4 3 2 3 4 4 2" xfId="23083"/>
    <cellStyle name="40% - akcent 4 3 2 3 4 4 2 2" xfId="23084"/>
    <cellStyle name="40% - akcent 4 3 2 3 4 4 3" xfId="23085"/>
    <cellStyle name="40% - akcent 4 3 2 3 4 5" xfId="23086"/>
    <cellStyle name="40% - akcent 4 3 2 3 4 5 2" xfId="23087"/>
    <cellStyle name="40% - akcent 4 3 2 3 4 6" xfId="23088"/>
    <cellStyle name="40% - akcent 4 3 2 3 5" xfId="23089"/>
    <cellStyle name="40% - akcent 4 3 2 3 5 2" xfId="23090"/>
    <cellStyle name="40% - akcent 4 3 2 3 5 2 2" xfId="23091"/>
    <cellStyle name="40% - akcent 4 3 2 3 5 3" xfId="23092"/>
    <cellStyle name="40% - akcent 4 3 2 3 6" xfId="23093"/>
    <cellStyle name="40% - akcent 4 3 2 3 6 2" xfId="23094"/>
    <cellStyle name="40% - akcent 4 3 2 3 6 2 2" xfId="23095"/>
    <cellStyle name="40% - akcent 4 3 2 3 6 3" xfId="23096"/>
    <cellStyle name="40% - akcent 4 3 2 3 7" xfId="23097"/>
    <cellStyle name="40% - akcent 4 3 2 3 7 2" xfId="23098"/>
    <cellStyle name="40% - akcent 4 3 2 3 7 2 2" xfId="23099"/>
    <cellStyle name="40% - akcent 4 3 2 3 7 3" xfId="23100"/>
    <cellStyle name="40% - akcent 4 3 2 3 8" xfId="23101"/>
    <cellStyle name="40% - akcent 4 3 2 3 8 2" xfId="23102"/>
    <cellStyle name="40% - akcent 4 3 2 3 9" xfId="23103"/>
    <cellStyle name="40% - akcent 4 3 2 4" xfId="23104"/>
    <cellStyle name="40% - akcent 4 3 2 4 2" xfId="23105"/>
    <cellStyle name="40% - akcent 4 3 2 4 2 2" xfId="23106"/>
    <cellStyle name="40% - akcent 4 3 2 4 2 2 2" xfId="23107"/>
    <cellStyle name="40% - akcent 4 3 2 4 2 2 2 2" xfId="23108"/>
    <cellStyle name="40% - akcent 4 3 2 4 2 2 3" xfId="23109"/>
    <cellStyle name="40% - akcent 4 3 2 4 2 3" xfId="23110"/>
    <cellStyle name="40% - akcent 4 3 2 4 2 3 2" xfId="23111"/>
    <cellStyle name="40% - akcent 4 3 2 4 2 3 2 2" xfId="23112"/>
    <cellStyle name="40% - akcent 4 3 2 4 2 3 3" xfId="23113"/>
    <cellStyle name="40% - akcent 4 3 2 4 2 4" xfId="23114"/>
    <cellStyle name="40% - akcent 4 3 2 4 2 4 2" xfId="23115"/>
    <cellStyle name="40% - akcent 4 3 2 4 2 4 2 2" xfId="23116"/>
    <cellStyle name="40% - akcent 4 3 2 4 2 4 3" xfId="23117"/>
    <cellStyle name="40% - akcent 4 3 2 4 2 5" xfId="23118"/>
    <cellStyle name="40% - akcent 4 3 2 4 2 5 2" xfId="23119"/>
    <cellStyle name="40% - akcent 4 3 2 4 2 6" xfId="23120"/>
    <cellStyle name="40% - akcent 4 3 2 4 3" xfId="23121"/>
    <cellStyle name="40% - akcent 4 3 2 4 3 2" xfId="23122"/>
    <cellStyle name="40% - akcent 4 3 2 4 3 2 2" xfId="23123"/>
    <cellStyle name="40% - akcent 4 3 2 4 3 3" xfId="23124"/>
    <cellStyle name="40% - akcent 4 3 2 4 4" xfId="23125"/>
    <cellStyle name="40% - akcent 4 3 2 4 4 2" xfId="23126"/>
    <cellStyle name="40% - akcent 4 3 2 4 4 2 2" xfId="23127"/>
    <cellStyle name="40% - akcent 4 3 2 4 4 3" xfId="23128"/>
    <cellStyle name="40% - akcent 4 3 2 4 5" xfId="23129"/>
    <cellStyle name="40% - akcent 4 3 2 4 5 2" xfId="23130"/>
    <cellStyle name="40% - akcent 4 3 2 4 5 2 2" xfId="23131"/>
    <cellStyle name="40% - akcent 4 3 2 4 5 3" xfId="23132"/>
    <cellStyle name="40% - akcent 4 3 2 4 6" xfId="23133"/>
    <cellStyle name="40% - akcent 4 3 2 4 6 2" xfId="23134"/>
    <cellStyle name="40% - akcent 4 3 2 4 7" xfId="23135"/>
    <cellStyle name="40% - akcent 4 3 2 5" xfId="23136"/>
    <cellStyle name="40% - akcent 4 3 2 5 2" xfId="23137"/>
    <cellStyle name="40% - akcent 4 3 2 5 2 2" xfId="23138"/>
    <cellStyle name="40% - akcent 4 3 2 5 2 2 2" xfId="23139"/>
    <cellStyle name="40% - akcent 4 3 2 5 2 3" xfId="23140"/>
    <cellStyle name="40% - akcent 4 3 2 5 3" xfId="23141"/>
    <cellStyle name="40% - akcent 4 3 2 5 3 2" xfId="23142"/>
    <cellStyle name="40% - akcent 4 3 2 5 3 2 2" xfId="23143"/>
    <cellStyle name="40% - akcent 4 3 2 5 3 3" xfId="23144"/>
    <cellStyle name="40% - akcent 4 3 2 5 4" xfId="23145"/>
    <cellStyle name="40% - akcent 4 3 2 5 4 2" xfId="23146"/>
    <cellStyle name="40% - akcent 4 3 2 5 4 2 2" xfId="23147"/>
    <cellStyle name="40% - akcent 4 3 2 5 4 3" xfId="23148"/>
    <cellStyle name="40% - akcent 4 3 2 5 5" xfId="23149"/>
    <cellStyle name="40% - akcent 4 3 2 5 5 2" xfId="23150"/>
    <cellStyle name="40% - akcent 4 3 2 5 6" xfId="23151"/>
    <cellStyle name="40% - akcent 4 3 2 6" xfId="23152"/>
    <cellStyle name="40% - akcent 4 3 2 6 2" xfId="23153"/>
    <cellStyle name="40% - akcent 4 3 2 6 2 2" xfId="23154"/>
    <cellStyle name="40% - akcent 4 3 2 6 2 2 2" xfId="23155"/>
    <cellStyle name="40% - akcent 4 3 2 6 2 3" xfId="23156"/>
    <cellStyle name="40% - akcent 4 3 2 6 3" xfId="23157"/>
    <cellStyle name="40% - akcent 4 3 2 6 3 2" xfId="23158"/>
    <cellStyle name="40% - akcent 4 3 2 6 3 2 2" xfId="23159"/>
    <cellStyle name="40% - akcent 4 3 2 6 3 3" xfId="23160"/>
    <cellStyle name="40% - akcent 4 3 2 6 4" xfId="23161"/>
    <cellStyle name="40% - akcent 4 3 2 6 4 2" xfId="23162"/>
    <cellStyle name="40% - akcent 4 3 2 6 4 2 2" xfId="23163"/>
    <cellStyle name="40% - akcent 4 3 2 6 4 3" xfId="23164"/>
    <cellStyle name="40% - akcent 4 3 2 6 5" xfId="23165"/>
    <cellStyle name="40% - akcent 4 3 2 6 5 2" xfId="23166"/>
    <cellStyle name="40% - akcent 4 3 2 6 6" xfId="23167"/>
    <cellStyle name="40% - akcent 4 3 2 7" xfId="23168"/>
    <cellStyle name="40% - akcent 4 3 2 8" xfId="23169"/>
    <cellStyle name="40% - akcent 4 3 2 8 2" xfId="23170"/>
    <cellStyle name="40% - akcent 4 3 2 8 2 2" xfId="23171"/>
    <cellStyle name="40% - akcent 4 3 2 8 2 2 2" xfId="23172"/>
    <cellStyle name="40% - akcent 4 3 2 8 2 3" xfId="23173"/>
    <cellStyle name="40% - akcent 4 3 2 8 3" xfId="23174"/>
    <cellStyle name="40% - akcent 4 3 2 8 3 2" xfId="23175"/>
    <cellStyle name="40% - akcent 4 3 2 8 3 2 2" xfId="23176"/>
    <cellStyle name="40% - akcent 4 3 2 8 3 3" xfId="23177"/>
    <cellStyle name="40% - akcent 4 3 2 8 4" xfId="23178"/>
    <cellStyle name="40% - akcent 4 3 2 8 4 2" xfId="23179"/>
    <cellStyle name="40% - akcent 4 3 2 8 4 2 2" xfId="23180"/>
    <cellStyle name="40% - akcent 4 3 2 8 4 3" xfId="23181"/>
    <cellStyle name="40% - akcent 4 3 2 8 5" xfId="23182"/>
    <cellStyle name="40% - akcent 4 3 2 8 5 2" xfId="23183"/>
    <cellStyle name="40% - akcent 4 3 2 8 6" xfId="23184"/>
    <cellStyle name="40% - akcent 4 3 3" xfId="23185"/>
    <cellStyle name="40% - akcent 4 3 3 2" xfId="23186"/>
    <cellStyle name="40% - akcent 4 3 3 2 2" xfId="23187"/>
    <cellStyle name="40% - akcent 4 3 3 2 2 2" xfId="23188"/>
    <cellStyle name="40% - akcent 4 3 3 2 2 2 2" xfId="23189"/>
    <cellStyle name="40% - akcent 4 3 3 2 2 2 2 2" xfId="23190"/>
    <cellStyle name="40% - akcent 4 3 3 2 2 2 2 2 2" xfId="23191"/>
    <cellStyle name="40% - akcent 4 3 3 2 2 2 2 3" xfId="23192"/>
    <cellStyle name="40% - akcent 4 3 3 2 2 2 3" xfId="23193"/>
    <cellStyle name="40% - akcent 4 3 3 2 2 2 3 2" xfId="23194"/>
    <cellStyle name="40% - akcent 4 3 3 2 2 2 3 2 2" xfId="23195"/>
    <cellStyle name="40% - akcent 4 3 3 2 2 2 3 3" xfId="23196"/>
    <cellStyle name="40% - akcent 4 3 3 2 2 2 4" xfId="23197"/>
    <cellStyle name="40% - akcent 4 3 3 2 2 2 4 2" xfId="23198"/>
    <cellStyle name="40% - akcent 4 3 3 2 2 2 4 2 2" xfId="23199"/>
    <cellStyle name="40% - akcent 4 3 3 2 2 2 4 3" xfId="23200"/>
    <cellStyle name="40% - akcent 4 3 3 2 2 2 5" xfId="23201"/>
    <cellStyle name="40% - akcent 4 3 3 2 2 2 5 2" xfId="23202"/>
    <cellStyle name="40% - akcent 4 3 3 2 2 2 6" xfId="23203"/>
    <cellStyle name="40% - akcent 4 3 3 2 2 3" xfId="23204"/>
    <cellStyle name="40% - akcent 4 3 3 2 2 3 2" xfId="23205"/>
    <cellStyle name="40% - akcent 4 3 3 2 2 3 2 2" xfId="23206"/>
    <cellStyle name="40% - akcent 4 3 3 2 2 3 3" xfId="23207"/>
    <cellStyle name="40% - akcent 4 3 3 2 2 4" xfId="23208"/>
    <cellStyle name="40% - akcent 4 3 3 2 2 4 2" xfId="23209"/>
    <cellStyle name="40% - akcent 4 3 3 2 2 4 2 2" xfId="23210"/>
    <cellStyle name="40% - akcent 4 3 3 2 2 4 3" xfId="23211"/>
    <cellStyle name="40% - akcent 4 3 3 2 2 5" xfId="23212"/>
    <cellStyle name="40% - akcent 4 3 3 2 2 5 2" xfId="23213"/>
    <cellStyle name="40% - akcent 4 3 3 2 2 5 2 2" xfId="23214"/>
    <cellStyle name="40% - akcent 4 3 3 2 2 5 3" xfId="23215"/>
    <cellStyle name="40% - akcent 4 3 3 2 2 6" xfId="23216"/>
    <cellStyle name="40% - akcent 4 3 3 2 2 6 2" xfId="23217"/>
    <cellStyle name="40% - akcent 4 3 3 2 2 7" xfId="23218"/>
    <cellStyle name="40% - akcent 4 3 3 2 3" xfId="23219"/>
    <cellStyle name="40% - akcent 4 3 3 2 3 2" xfId="23220"/>
    <cellStyle name="40% - akcent 4 3 3 2 3 2 2" xfId="23221"/>
    <cellStyle name="40% - akcent 4 3 3 2 3 2 2 2" xfId="23222"/>
    <cellStyle name="40% - akcent 4 3 3 2 3 2 3" xfId="23223"/>
    <cellStyle name="40% - akcent 4 3 3 2 3 3" xfId="23224"/>
    <cellStyle name="40% - akcent 4 3 3 2 3 3 2" xfId="23225"/>
    <cellStyle name="40% - akcent 4 3 3 2 3 3 2 2" xfId="23226"/>
    <cellStyle name="40% - akcent 4 3 3 2 3 3 3" xfId="23227"/>
    <cellStyle name="40% - akcent 4 3 3 2 3 4" xfId="23228"/>
    <cellStyle name="40% - akcent 4 3 3 2 3 4 2" xfId="23229"/>
    <cellStyle name="40% - akcent 4 3 3 2 3 4 2 2" xfId="23230"/>
    <cellStyle name="40% - akcent 4 3 3 2 3 4 3" xfId="23231"/>
    <cellStyle name="40% - akcent 4 3 3 2 3 5" xfId="23232"/>
    <cellStyle name="40% - akcent 4 3 3 2 3 5 2" xfId="23233"/>
    <cellStyle name="40% - akcent 4 3 3 2 3 6" xfId="23234"/>
    <cellStyle name="40% - akcent 4 3 3 2 4" xfId="23235"/>
    <cellStyle name="40% - akcent 4 3 3 2 4 2" xfId="23236"/>
    <cellStyle name="40% - akcent 4 3 3 2 4 2 2" xfId="23237"/>
    <cellStyle name="40% - akcent 4 3 3 2 4 2 2 2" xfId="23238"/>
    <cellStyle name="40% - akcent 4 3 3 2 4 2 3" xfId="23239"/>
    <cellStyle name="40% - akcent 4 3 3 2 4 3" xfId="23240"/>
    <cellStyle name="40% - akcent 4 3 3 2 4 3 2" xfId="23241"/>
    <cellStyle name="40% - akcent 4 3 3 2 4 3 2 2" xfId="23242"/>
    <cellStyle name="40% - akcent 4 3 3 2 4 3 3" xfId="23243"/>
    <cellStyle name="40% - akcent 4 3 3 2 4 4" xfId="23244"/>
    <cellStyle name="40% - akcent 4 3 3 2 4 4 2" xfId="23245"/>
    <cellStyle name="40% - akcent 4 3 3 2 4 4 2 2" xfId="23246"/>
    <cellStyle name="40% - akcent 4 3 3 2 4 4 3" xfId="23247"/>
    <cellStyle name="40% - akcent 4 3 3 2 4 5" xfId="23248"/>
    <cellStyle name="40% - akcent 4 3 3 2 4 5 2" xfId="23249"/>
    <cellStyle name="40% - akcent 4 3 3 2 4 6" xfId="23250"/>
    <cellStyle name="40% - akcent 4 3 3 2 5" xfId="23251"/>
    <cellStyle name="40% - akcent 4 3 3 2 5 2" xfId="23252"/>
    <cellStyle name="40% - akcent 4 3 3 2 5 2 2" xfId="23253"/>
    <cellStyle name="40% - akcent 4 3 3 2 5 3" xfId="23254"/>
    <cellStyle name="40% - akcent 4 3 3 2 6" xfId="23255"/>
    <cellStyle name="40% - akcent 4 3 3 2 6 2" xfId="23256"/>
    <cellStyle name="40% - akcent 4 3 3 2 6 2 2" xfId="23257"/>
    <cellStyle name="40% - akcent 4 3 3 2 6 3" xfId="23258"/>
    <cellStyle name="40% - akcent 4 3 3 2 7" xfId="23259"/>
    <cellStyle name="40% - akcent 4 3 3 2 7 2" xfId="23260"/>
    <cellStyle name="40% - akcent 4 3 3 2 7 2 2" xfId="23261"/>
    <cellStyle name="40% - akcent 4 3 3 2 7 3" xfId="23262"/>
    <cellStyle name="40% - akcent 4 3 3 2 8" xfId="23263"/>
    <cellStyle name="40% - akcent 4 3 3 2 8 2" xfId="23264"/>
    <cellStyle name="40% - akcent 4 3 3 2 9" xfId="23265"/>
    <cellStyle name="40% - akcent 4 3 3 3" xfId="23266"/>
    <cellStyle name="40% - akcent 4 3 3 3 2" xfId="23267"/>
    <cellStyle name="40% - akcent 4 3 3 3 2 2" xfId="23268"/>
    <cellStyle name="40% - akcent 4 3 3 3 2 2 2" xfId="23269"/>
    <cellStyle name="40% - akcent 4 3 3 3 2 2 2 2" xfId="23270"/>
    <cellStyle name="40% - akcent 4 3 3 3 2 2 3" xfId="23271"/>
    <cellStyle name="40% - akcent 4 3 3 3 2 3" xfId="23272"/>
    <cellStyle name="40% - akcent 4 3 3 3 2 3 2" xfId="23273"/>
    <cellStyle name="40% - akcent 4 3 3 3 2 3 2 2" xfId="23274"/>
    <cellStyle name="40% - akcent 4 3 3 3 2 3 3" xfId="23275"/>
    <cellStyle name="40% - akcent 4 3 3 3 2 4" xfId="23276"/>
    <cellStyle name="40% - akcent 4 3 3 3 2 4 2" xfId="23277"/>
    <cellStyle name="40% - akcent 4 3 3 3 2 4 2 2" xfId="23278"/>
    <cellStyle name="40% - akcent 4 3 3 3 2 4 3" xfId="23279"/>
    <cellStyle name="40% - akcent 4 3 3 3 2 5" xfId="23280"/>
    <cellStyle name="40% - akcent 4 3 3 3 2 5 2" xfId="23281"/>
    <cellStyle name="40% - akcent 4 3 3 3 2 6" xfId="23282"/>
    <cellStyle name="40% - akcent 4 3 3 3 3" xfId="23283"/>
    <cellStyle name="40% - akcent 4 3 3 3 3 2" xfId="23284"/>
    <cellStyle name="40% - akcent 4 3 3 3 3 2 2" xfId="23285"/>
    <cellStyle name="40% - akcent 4 3 3 3 3 3" xfId="23286"/>
    <cellStyle name="40% - akcent 4 3 3 3 4" xfId="23287"/>
    <cellStyle name="40% - akcent 4 3 3 3 4 2" xfId="23288"/>
    <cellStyle name="40% - akcent 4 3 3 3 4 2 2" xfId="23289"/>
    <cellStyle name="40% - akcent 4 3 3 3 4 3" xfId="23290"/>
    <cellStyle name="40% - akcent 4 3 3 3 5" xfId="23291"/>
    <cellStyle name="40% - akcent 4 3 3 3 5 2" xfId="23292"/>
    <cellStyle name="40% - akcent 4 3 3 3 5 2 2" xfId="23293"/>
    <cellStyle name="40% - akcent 4 3 3 3 5 3" xfId="23294"/>
    <cellStyle name="40% - akcent 4 3 3 3 6" xfId="23295"/>
    <cellStyle name="40% - akcent 4 3 3 3 6 2" xfId="23296"/>
    <cellStyle name="40% - akcent 4 3 3 3 7" xfId="23297"/>
    <cellStyle name="40% - akcent 4 3 3 4" xfId="23298"/>
    <cellStyle name="40% - akcent 4 3 3 4 2" xfId="23299"/>
    <cellStyle name="40% - akcent 4 3 3 4 2 2" xfId="23300"/>
    <cellStyle name="40% - akcent 4 3 3 4 2 2 2" xfId="23301"/>
    <cellStyle name="40% - akcent 4 3 3 4 2 3" xfId="23302"/>
    <cellStyle name="40% - akcent 4 3 3 4 3" xfId="23303"/>
    <cellStyle name="40% - akcent 4 3 3 4 3 2" xfId="23304"/>
    <cellStyle name="40% - akcent 4 3 3 4 3 2 2" xfId="23305"/>
    <cellStyle name="40% - akcent 4 3 3 4 3 3" xfId="23306"/>
    <cellStyle name="40% - akcent 4 3 3 4 4" xfId="23307"/>
    <cellStyle name="40% - akcent 4 3 3 4 4 2" xfId="23308"/>
    <cellStyle name="40% - akcent 4 3 3 4 4 2 2" xfId="23309"/>
    <cellStyle name="40% - akcent 4 3 3 4 4 3" xfId="23310"/>
    <cellStyle name="40% - akcent 4 3 3 4 5" xfId="23311"/>
    <cellStyle name="40% - akcent 4 3 3 4 5 2" xfId="23312"/>
    <cellStyle name="40% - akcent 4 3 3 4 6" xfId="23313"/>
    <cellStyle name="40% - akcent 4 3 3 5" xfId="23314"/>
    <cellStyle name="40% - akcent 4 3 3 5 2" xfId="23315"/>
    <cellStyle name="40% - akcent 4 3 3 5 2 2" xfId="23316"/>
    <cellStyle name="40% - akcent 4 3 3 5 2 2 2" xfId="23317"/>
    <cellStyle name="40% - akcent 4 3 3 5 2 3" xfId="23318"/>
    <cellStyle name="40% - akcent 4 3 3 5 3" xfId="23319"/>
    <cellStyle name="40% - akcent 4 3 3 5 3 2" xfId="23320"/>
    <cellStyle name="40% - akcent 4 3 3 5 3 2 2" xfId="23321"/>
    <cellStyle name="40% - akcent 4 3 3 5 3 3" xfId="23322"/>
    <cellStyle name="40% - akcent 4 3 3 5 4" xfId="23323"/>
    <cellStyle name="40% - akcent 4 3 3 5 4 2" xfId="23324"/>
    <cellStyle name="40% - akcent 4 3 3 5 4 2 2" xfId="23325"/>
    <cellStyle name="40% - akcent 4 3 3 5 4 3" xfId="23326"/>
    <cellStyle name="40% - akcent 4 3 3 5 5" xfId="23327"/>
    <cellStyle name="40% - akcent 4 3 3 5 5 2" xfId="23328"/>
    <cellStyle name="40% - akcent 4 3 3 5 6" xfId="23329"/>
    <cellStyle name="40% - akcent 4 3 3 6" xfId="23330"/>
    <cellStyle name="40% - akcent 4 3 3 6 2" xfId="23331"/>
    <cellStyle name="40% - akcent 4 3 3 6 2 2" xfId="23332"/>
    <cellStyle name="40% - akcent 4 3 3 6 2 2 2" xfId="23333"/>
    <cellStyle name="40% - akcent 4 3 3 6 2 3" xfId="23334"/>
    <cellStyle name="40% - akcent 4 3 3 6 3" xfId="23335"/>
    <cellStyle name="40% - akcent 4 3 3 6 3 2" xfId="23336"/>
    <cellStyle name="40% - akcent 4 3 3 6 3 2 2" xfId="23337"/>
    <cellStyle name="40% - akcent 4 3 3 6 3 3" xfId="23338"/>
    <cellStyle name="40% - akcent 4 3 3 6 4" xfId="23339"/>
    <cellStyle name="40% - akcent 4 3 3 6 4 2" xfId="23340"/>
    <cellStyle name="40% - akcent 4 3 3 6 4 2 2" xfId="23341"/>
    <cellStyle name="40% - akcent 4 3 3 6 4 3" xfId="23342"/>
    <cellStyle name="40% - akcent 4 3 3 6 5" xfId="23343"/>
    <cellStyle name="40% - akcent 4 3 3 6 5 2" xfId="23344"/>
    <cellStyle name="40% - akcent 4 3 3 6 6" xfId="23345"/>
    <cellStyle name="40% - akcent 4 3 4" xfId="23346"/>
    <cellStyle name="40% - akcent 4 3 4 10" xfId="23347"/>
    <cellStyle name="40% - akcent 4 3 4 2" xfId="23348"/>
    <cellStyle name="40% - akcent 4 3 4 2 2" xfId="23349"/>
    <cellStyle name="40% - akcent 4 3 4 2 2 2" xfId="23350"/>
    <cellStyle name="40% - akcent 4 3 4 2 2 2 2" xfId="23351"/>
    <cellStyle name="40% - akcent 4 3 4 2 2 2 2 2" xfId="23352"/>
    <cellStyle name="40% - akcent 4 3 4 2 2 2 2 2 2" xfId="23353"/>
    <cellStyle name="40% - akcent 4 3 4 2 2 2 2 3" xfId="23354"/>
    <cellStyle name="40% - akcent 4 3 4 2 2 2 3" xfId="23355"/>
    <cellStyle name="40% - akcent 4 3 4 2 2 2 3 2" xfId="23356"/>
    <cellStyle name="40% - akcent 4 3 4 2 2 2 3 2 2" xfId="23357"/>
    <cellStyle name="40% - akcent 4 3 4 2 2 2 3 3" xfId="23358"/>
    <cellStyle name="40% - akcent 4 3 4 2 2 2 4" xfId="23359"/>
    <cellStyle name="40% - akcent 4 3 4 2 2 2 4 2" xfId="23360"/>
    <cellStyle name="40% - akcent 4 3 4 2 2 2 4 2 2" xfId="23361"/>
    <cellStyle name="40% - akcent 4 3 4 2 2 2 4 3" xfId="23362"/>
    <cellStyle name="40% - akcent 4 3 4 2 2 2 5" xfId="23363"/>
    <cellStyle name="40% - akcent 4 3 4 2 2 2 5 2" xfId="23364"/>
    <cellStyle name="40% - akcent 4 3 4 2 2 2 6" xfId="23365"/>
    <cellStyle name="40% - akcent 4 3 4 2 2 3" xfId="23366"/>
    <cellStyle name="40% - akcent 4 3 4 2 2 3 2" xfId="23367"/>
    <cellStyle name="40% - akcent 4 3 4 2 2 3 2 2" xfId="23368"/>
    <cellStyle name="40% - akcent 4 3 4 2 2 3 3" xfId="23369"/>
    <cellStyle name="40% - akcent 4 3 4 2 2 4" xfId="23370"/>
    <cellStyle name="40% - akcent 4 3 4 2 2 4 2" xfId="23371"/>
    <cellStyle name="40% - akcent 4 3 4 2 2 4 2 2" xfId="23372"/>
    <cellStyle name="40% - akcent 4 3 4 2 2 4 3" xfId="23373"/>
    <cellStyle name="40% - akcent 4 3 4 2 2 5" xfId="23374"/>
    <cellStyle name="40% - akcent 4 3 4 2 2 5 2" xfId="23375"/>
    <cellStyle name="40% - akcent 4 3 4 2 2 5 2 2" xfId="23376"/>
    <cellStyle name="40% - akcent 4 3 4 2 2 5 3" xfId="23377"/>
    <cellStyle name="40% - akcent 4 3 4 2 2 6" xfId="23378"/>
    <cellStyle name="40% - akcent 4 3 4 2 2 6 2" xfId="23379"/>
    <cellStyle name="40% - akcent 4 3 4 2 2 7" xfId="23380"/>
    <cellStyle name="40% - akcent 4 3 4 2 3" xfId="23381"/>
    <cellStyle name="40% - akcent 4 3 4 2 3 2" xfId="23382"/>
    <cellStyle name="40% - akcent 4 3 4 2 3 2 2" xfId="23383"/>
    <cellStyle name="40% - akcent 4 3 4 2 3 2 2 2" xfId="23384"/>
    <cellStyle name="40% - akcent 4 3 4 2 3 2 3" xfId="23385"/>
    <cellStyle name="40% - akcent 4 3 4 2 3 3" xfId="23386"/>
    <cellStyle name="40% - akcent 4 3 4 2 3 3 2" xfId="23387"/>
    <cellStyle name="40% - akcent 4 3 4 2 3 3 2 2" xfId="23388"/>
    <cellStyle name="40% - akcent 4 3 4 2 3 3 3" xfId="23389"/>
    <cellStyle name="40% - akcent 4 3 4 2 3 4" xfId="23390"/>
    <cellStyle name="40% - akcent 4 3 4 2 3 4 2" xfId="23391"/>
    <cellStyle name="40% - akcent 4 3 4 2 3 4 2 2" xfId="23392"/>
    <cellStyle name="40% - akcent 4 3 4 2 3 4 3" xfId="23393"/>
    <cellStyle name="40% - akcent 4 3 4 2 3 5" xfId="23394"/>
    <cellStyle name="40% - akcent 4 3 4 2 3 5 2" xfId="23395"/>
    <cellStyle name="40% - akcent 4 3 4 2 3 6" xfId="23396"/>
    <cellStyle name="40% - akcent 4 3 4 2 4" xfId="23397"/>
    <cellStyle name="40% - akcent 4 3 4 2 4 2" xfId="23398"/>
    <cellStyle name="40% - akcent 4 3 4 2 4 2 2" xfId="23399"/>
    <cellStyle name="40% - akcent 4 3 4 2 4 2 2 2" xfId="23400"/>
    <cellStyle name="40% - akcent 4 3 4 2 4 2 3" xfId="23401"/>
    <cellStyle name="40% - akcent 4 3 4 2 4 3" xfId="23402"/>
    <cellStyle name="40% - akcent 4 3 4 2 4 3 2" xfId="23403"/>
    <cellStyle name="40% - akcent 4 3 4 2 4 3 2 2" xfId="23404"/>
    <cellStyle name="40% - akcent 4 3 4 2 4 3 3" xfId="23405"/>
    <cellStyle name="40% - akcent 4 3 4 2 4 4" xfId="23406"/>
    <cellStyle name="40% - akcent 4 3 4 2 4 4 2" xfId="23407"/>
    <cellStyle name="40% - akcent 4 3 4 2 4 4 2 2" xfId="23408"/>
    <cellStyle name="40% - akcent 4 3 4 2 4 4 3" xfId="23409"/>
    <cellStyle name="40% - akcent 4 3 4 2 4 5" xfId="23410"/>
    <cellStyle name="40% - akcent 4 3 4 2 4 5 2" xfId="23411"/>
    <cellStyle name="40% - akcent 4 3 4 2 4 6" xfId="23412"/>
    <cellStyle name="40% - akcent 4 3 4 2 5" xfId="23413"/>
    <cellStyle name="40% - akcent 4 3 4 2 5 2" xfId="23414"/>
    <cellStyle name="40% - akcent 4 3 4 2 5 2 2" xfId="23415"/>
    <cellStyle name="40% - akcent 4 3 4 2 5 3" xfId="23416"/>
    <cellStyle name="40% - akcent 4 3 4 2 6" xfId="23417"/>
    <cellStyle name="40% - akcent 4 3 4 2 6 2" xfId="23418"/>
    <cellStyle name="40% - akcent 4 3 4 2 6 2 2" xfId="23419"/>
    <cellStyle name="40% - akcent 4 3 4 2 6 3" xfId="23420"/>
    <cellStyle name="40% - akcent 4 3 4 2 7" xfId="23421"/>
    <cellStyle name="40% - akcent 4 3 4 2 7 2" xfId="23422"/>
    <cellStyle name="40% - akcent 4 3 4 2 7 2 2" xfId="23423"/>
    <cellStyle name="40% - akcent 4 3 4 2 7 3" xfId="23424"/>
    <cellStyle name="40% - akcent 4 3 4 2 8" xfId="23425"/>
    <cellStyle name="40% - akcent 4 3 4 2 8 2" xfId="23426"/>
    <cellStyle name="40% - akcent 4 3 4 2 9" xfId="23427"/>
    <cellStyle name="40% - akcent 4 3 4 3" xfId="23428"/>
    <cellStyle name="40% - akcent 4 3 4 3 2" xfId="23429"/>
    <cellStyle name="40% - akcent 4 3 4 3 2 2" xfId="23430"/>
    <cellStyle name="40% - akcent 4 3 4 3 2 2 2" xfId="23431"/>
    <cellStyle name="40% - akcent 4 3 4 3 2 2 2 2" xfId="23432"/>
    <cellStyle name="40% - akcent 4 3 4 3 2 2 3" xfId="23433"/>
    <cellStyle name="40% - akcent 4 3 4 3 2 3" xfId="23434"/>
    <cellStyle name="40% - akcent 4 3 4 3 2 3 2" xfId="23435"/>
    <cellStyle name="40% - akcent 4 3 4 3 2 3 2 2" xfId="23436"/>
    <cellStyle name="40% - akcent 4 3 4 3 2 3 3" xfId="23437"/>
    <cellStyle name="40% - akcent 4 3 4 3 2 4" xfId="23438"/>
    <cellStyle name="40% - akcent 4 3 4 3 2 4 2" xfId="23439"/>
    <cellStyle name="40% - akcent 4 3 4 3 2 4 2 2" xfId="23440"/>
    <cellStyle name="40% - akcent 4 3 4 3 2 4 3" xfId="23441"/>
    <cellStyle name="40% - akcent 4 3 4 3 2 5" xfId="23442"/>
    <cellStyle name="40% - akcent 4 3 4 3 2 5 2" xfId="23443"/>
    <cellStyle name="40% - akcent 4 3 4 3 2 6" xfId="23444"/>
    <cellStyle name="40% - akcent 4 3 4 3 3" xfId="23445"/>
    <cellStyle name="40% - akcent 4 3 4 3 3 2" xfId="23446"/>
    <cellStyle name="40% - akcent 4 3 4 3 3 2 2" xfId="23447"/>
    <cellStyle name="40% - akcent 4 3 4 3 3 3" xfId="23448"/>
    <cellStyle name="40% - akcent 4 3 4 3 4" xfId="23449"/>
    <cellStyle name="40% - akcent 4 3 4 3 4 2" xfId="23450"/>
    <cellStyle name="40% - akcent 4 3 4 3 4 2 2" xfId="23451"/>
    <cellStyle name="40% - akcent 4 3 4 3 4 3" xfId="23452"/>
    <cellStyle name="40% - akcent 4 3 4 3 5" xfId="23453"/>
    <cellStyle name="40% - akcent 4 3 4 3 5 2" xfId="23454"/>
    <cellStyle name="40% - akcent 4 3 4 3 5 2 2" xfId="23455"/>
    <cellStyle name="40% - akcent 4 3 4 3 5 3" xfId="23456"/>
    <cellStyle name="40% - akcent 4 3 4 3 6" xfId="23457"/>
    <cellStyle name="40% - akcent 4 3 4 3 6 2" xfId="23458"/>
    <cellStyle name="40% - akcent 4 3 4 3 7" xfId="23459"/>
    <cellStyle name="40% - akcent 4 3 4 4" xfId="23460"/>
    <cellStyle name="40% - akcent 4 3 4 4 2" xfId="23461"/>
    <cellStyle name="40% - akcent 4 3 4 4 2 2" xfId="23462"/>
    <cellStyle name="40% - akcent 4 3 4 4 2 2 2" xfId="23463"/>
    <cellStyle name="40% - akcent 4 3 4 4 2 3" xfId="23464"/>
    <cellStyle name="40% - akcent 4 3 4 4 3" xfId="23465"/>
    <cellStyle name="40% - akcent 4 3 4 4 3 2" xfId="23466"/>
    <cellStyle name="40% - akcent 4 3 4 4 3 2 2" xfId="23467"/>
    <cellStyle name="40% - akcent 4 3 4 4 3 3" xfId="23468"/>
    <cellStyle name="40% - akcent 4 3 4 4 4" xfId="23469"/>
    <cellStyle name="40% - akcent 4 3 4 4 4 2" xfId="23470"/>
    <cellStyle name="40% - akcent 4 3 4 4 4 2 2" xfId="23471"/>
    <cellStyle name="40% - akcent 4 3 4 4 4 3" xfId="23472"/>
    <cellStyle name="40% - akcent 4 3 4 4 5" xfId="23473"/>
    <cellStyle name="40% - akcent 4 3 4 4 5 2" xfId="23474"/>
    <cellStyle name="40% - akcent 4 3 4 4 6" xfId="23475"/>
    <cellStyle name="40% - akcent 4 3 4 5" xfId="23476"/>
    <cellStyle name="40% - akcent 4 3 4 5 2" xfId="23477"/>
    <cellStyle name="40% - akcent 4 3 4 5 2 2" xfId="23478"/>
    <cellStyle name="40% - akcent 4 3 4 5 2 2 2" xfId="23479"/>
    <cellStyle name="40% - akcent 4 3 4 5 2 3" xfId="23480"/>
    <cellStyle name="40% - akcent 4 3 4 5 3" xfId="23481"/>
    <cellStyle name="40% - akcent 4 3 4 5 3 2" xfId="23482"/>
    <cellStyle name="40% - akcent 4 3 4 5 3 2 2" xfId="23483"/>
    <cellStyle name="40% - akcent 4 3 4 5 3 3" xfId="23484"/>
    <cellStyle name="40% - akcent 4 3 4 5 4" xfId="23485"/>
    <cellStyle name="40% - akcent 4 3 4 5 4 2" xfId="23486"/>
    <cellStyle name="40% - akcent 4 3 4 5 4 2 2" xfId="23487"/>
    <cellStyle name="40% - akcent 4 3 4 5 4 3" xfId="23488"/>
    <cellStyle name="40% - akcent 4 3 4 5 5" xfId="23489"/>
    <cellStyle name="40% - akcent 4 3 4 5 5 2" xfId="23490"/>
    <cellStyle name="40% - akcent 4 3 4 5 6" xfId="23491"/>
    <cellStyle name="40% - akcent 4 3 4 6" xfId="23492"/>
    <cellStyle name="40% - akcent 4 3 4 6 2" xfId="23493"/>
    <cellStyle name="40% - akcent 4 3 4 6 2 2" xfId="23494"/>
    <cellStyle name="40% - akcent 4 3 4 6 3" xfId="23495"/>
    <cellStyle name="40% - akcent 4 3 4 7" xfId="23496"/>
    <cellStyle name="40% - akcent 4 3 4 7 2" xfId="23497"/>
    <cellStyle name="40% - akcent 4 3 4 7 2 2" xfId="23498"/>
    <cellStyle name="40% - akcent 4 3 4 7 3" xfId="23499"/>
    <cellStyle name="40% - akcent 4 3 4 8" xfId="23500"/>
    <cellStyle name="40% - akcent 4 3 4 8 2" xfId="23501"/>
    <cellStyle name="40% - akcent 4 3 4 8 2 2" xfId="23502"/>
    <cellStyle name="40% - akcent 4 3 4 8 3" xfId="23503"/>
    <cellStyle name="40% - akcent 4 3 4 9" xfId="23504"/>
    <cellStyle name="40% - akcent 4 3 4 9 2" xfId="23505"/>
    <cellStyle name="40% - akcent 4 3 5" xfId="23506"/>
    <cellStyle name="40% - akcent 4 3 5 2" xfId="23507"/>
    <cellStyle name="40% - akcent 4 3 5 2 2" xfId="23508"/>
    <cellStyle name="40% - akcent 4 3 5 2 2 2" xfId="23509"/>
    <cellStyle name="40% - akcent 4 3 5 2 2 2 2" xfId="23510"/>
    <cellStyle name="40% - akcent 4 3 5 2 2 2 2 2" xfId="23511"/>
    <cellStyle name="40% - akcent 4 3 5 2 2 2 3" xfId="23512"/>
    <cellStyle name="40% - akcent 4 3 5 2 2 3" xfId="23513"/>
    <cellStyle name="40% - akcent 4 3 5 2 2 3 2" xfId="23514"/>
    <cellStyle name="40% - akcent 4 3 5 2 2 3 2 2" xfId="23515"/>
    <cellStyle name="40% - akcent 4 3 5 2 2 3 3" xfId="23516"/>
    <cellStyle name="40% - akcent 4 3 5 2 2 4" xfId="23517"/>
    <cellStyle name="40% - akcent 4 3 5 2 2 4 2" xfId="23518"/>
    <cellStyle name="40% - akcent 4 3 5 2 2 4 2 2" xfId="23519"/>
    <cellStyle name="40% - akcent 4 3 5 2 2 4 3" xfId="23520"/>
    <cellStyle name="40% - akcent 4 3 5 2 2 5" xfId="23521"/>
    <cellStyle name="40% - akcent 4 3 5 2 2 5 2" xfId="23522"/>
    <cellStyle name="40% - akcent 4 3 5 2 2 6" xfId="23523"/>
    <cellStyle name="40% - akcent 4 3 5 2 3" xfId="23524"/>
    <cellStyle name="40% - akcent 4 3 5 2 3 2" xfId="23525"/>
    <cellStyle name="40% - akcent 4 3 5 2 3 2 2" xfId="23526"/>
    <cellStyle name="40% - akcent 4 3 5 2 3 3" xfId="23527"/>
    <cellStyle name="40% - akcent 4 3 5 2 4" xfId="23528"/>
    <cellStyle name="40% - akcent 4 3 5 2 4 2" xfId="23529"/>
    <cellStyle name="40% - akcent 4 3 5 2 4 2 2" xfId="23530"/>
    <cellStyle name="40% - akcent 4 3 5 2 4 3" xfId="23531"/>
    <cellStyle name="40% - akcent 4 3 5 2 5" xfId="23532"/>
    <cellStyle name="40% - akcent 4 3 5 2 5 2" xfId="23533"/>
    <cellStyle name="40% - akcent 4 3 5 2 5 2 2" xfId="23534"/>
    <cellStyle name="40% - akcent 4 3 5 2 5 3" xfId="23535"/>
    <cellStyle name="40% - akcent 4 3 5 2 6" xfId="23536"/>
    <cellStyle name="40% - akcent 4 3 5 2 6 2" xfId="23537"/>
    <cellStyle name="40% - akcent 4 3 5 2 7" xfId="23538"/>
    <cellStyle name="40% - akcent 4 3 5 3" xfId="23539"/>
    <cellStyle name="40% - akcent 4 3 5 3 2" xfId="23540"/>
    <cellStyle name="40% - akcent 4 3 5 3 2 2" xfId="23541"/>
    <cellStyle name="40% - akcent 4 3 5 3 2 2 2" xfId="23542"/>
    <cellStyle name="40% - akcent 4 3 5 3 2 3" xfId="23543"/>
    <cellStyle name="40% - akcent 4 3 5 3 3" xfId="23544"/>
    <cellStyle name="40% - akcent 4 3 5 3 3 2" xfId="23545"/>
    <cellStyle name="40% - akcent 4 3 5 3 3 2 2" xfId="23546"/>
    <cellStyle name="40% - akcent 4 3 5 3 3 3" xfId="23547"/>
    <cellStyle name="40% - akcent 4 3 5 3 4" xfId="23548"/>
    <cellStyle name="40% - akcent 4 3 5 3 4 2" xfId="23549"/>
    <cellStyle name="40% - akcent 4 3 5 3 4 2 2" xfId="23550"/>
    <cellStyle name="40% - akcent 4 3 5 3 4 3" xfId="23551"/>
    <cellStyle name="40% - akcent 4 3 5 3 5" xfId="23552"/>
    <cellStyle name="40% - akcent 4 3 5 3 5 2" xfId="23553"/>
    <cellStyle name="40% - akcent 4 3 5 3 6" xfId="23554"/>
    <cellStyle name="40% - akcent 4 3 5 4" xfId="23555"/>
    <cellStyle name="40% - akcent 4 3 5 4 2" xfId="23556"/>
    <cellStyle name="40% - akcent 4 3 5 4 2 2" xfId="23557"/>
    <cellStyle name="40% - akcent 4 3 5 4 2 2 2" xfId="23558"/>
    <cellStyle name="40% - akcent 4 3 5 4 2 3" xfId="23559"/>
    <cellStyle name="40% - akcent 4 3 5 4 3" xfId="23560"/>
    <cellStyle name="40% - akcent 4 3 5 4 3 2" xfId="23561"/>
    <cellStyle name="40% - akcent 4 3 5 4 3 2 2" xfId="23562"/>
    <cellStyle name="40% - akcent 4 3 5 4 3 3" xfId="23563"/>
    <cellStyle name="40% - akcent 4 3 5 4 4" xfId="23564"/>
    <cellStyle name="40% - akcent 4 3 5 4 4 2" xfId="23565"/>
    <cellStyle name="40% - akcent 4 3 5 4 4 2 2" xfId="23566"/>
    <cellStyle name="40% - akcent 4 3 5 4 4 3" xfId="23567"/>
    <cellStyle name="40% - akcent 4 3 5 4 5" xfId="23568"/>
    <cellStyle name="40% - akcent 4 3 5 4 5 2" xfId="23569"/>
    <cellStyle name="40% - akcent 4 3 5 4 6" xfId="23570"/>
    <cellStyle name="40% - akcent 4 3 5 5" xfId="23571"/>
    <cellStyle name="40% - akcent 4 3 5 5 2" xfId="23572"/>
    <cellStyle name="40% - akcent 4 3 5 5 2 2" xfId="23573"/>
    <cellStyle name="40% - akcent 4 3 5 5 3" xfId="23574"/>
    <cellStyle name="40% - akcent 4 3 5 6" xfId="23575"/>
    <cellStyle name="40% - akcent 4 3 5 6 2" xfId="23576"/>
    <cellStyle name="40% - akcent 4 3 5 6 2 2" xfId="23577"/>
    <cellStyle name="40% - akcent 4 3 5 6 3" xfId="23578"/>
    <cellStyle name="40% - akcent 4 3 5 7" xfId="23579"/>
    <cellStyle name="40% - akcent 4 3 5 7 2" xfId="23580"/>
    <cellStyle name="40% - akcent 4 3 5 7 2 2" xfId="23581"/>
    <cellStyle name="40% - akcent 4 3 5 7 3" xfId="23582"/>
    <cellStyle name="40% - akcent 4 3 5 8" xfId="23583"/>
    <cellStyle name="40% - akcent 4 3 5 8 2" xfId="23584"/>
    <cellStyle name="40% - akcent 4 3 5 9" xfId="23585"/>
    <cellStyle name="40% - akcent 4 3 6" xfId="23586"/>
    <cellStyle name="40% - akcent 4 3 6 2" xfId="23587"/>
    <cellStyle name="40% - akcent 4 3 6 2 2" xfId="23588"/>
    <cellStyle name="40% - akcent 4 3 6 2 2 2" xfId="23589"/>
    <cellStyle name="40% - akcent 4 3 6 2 2 2 2" xfId="23590"/>
    <cellStyle name="40% - akcent 4 3 6 2 2 2 2 2" xfId="23591"/>
    <cellStyle name="40% - akcent 4 3 6 2 2 2 3" xfId="23592"/>
    <cellStyle name="40% - akcent 4 3 6 2 2 3" xfId="23593"/>
    <cellStyle name="40% - akcent 4 3 6 2 2 3 2" xfId="23594"/>
    <cellStyle name="40% - akcent 4 3 6 2 2 3 2 2" xfId="23595"/>
    <cellStyle name="40% - akcent 4 3 6 2 2 3 3" xfId="23596"/>
    <cellStyle name="40% - akcent 4 3 6 2 2 4" xfId="23597"/>
    <cellStyle name="40% - akcent 4 3 6 2 2 4 2" xfId="23598"/>
    <cellStyle name="40% - akcent 4 3 6 2 2 4 2 2" xfId="23599"/>
    <cellStyle name="40% - akcent 4 3 6 2 2 4 3" xfId="23600"/>
    <cellStyle name="40% - akcent 4 3 6 2 2 5" xfId="23601"/>
    <cellStyle name="40% - akcent 4 3 6 2 2 5 2" xfId="23602"/>
    <cellStyle name="40% - akcent 4 3 6 2 2 6" xfId="23603"/>
    <cellStyle name="40% - akcent 4 3 6 2 3" xfId="23604"/>
    <cellStyle name="40% - akcent 4 3 6 2 3 2" xfId="23605"/>
    <cellStyle name="40% - akcent 4 3 6 2 3 2 2" xfId="23606"/>
    <cellStyle name="40% - akcent 4 3 6 2 3 3" xfId="23607"/>
    <cellStyle name="40% - akcent 4 3 6 2 4" xfId="23608"/>
    <cellStyle name="40% - akcent 4 3 6 2 4 2" xfId="23609"/>
    <cellStyle name="40% - akcent 4 3 6 2 4 2 2" xfId="23610"/>
    <cellStyle name="40% - akcent 4 3 6 2 4 3" xfId="23611"/>
    <cellStyle name="40% - akcent 4 3 6 2 5" xfId="23612"/>
    <cellStyle name="40% - akcent 4 3 6 2 5 2" xfId="23613"/>
    <cellStyle name="40% - akcent 4 3 6 2 5 2 2" xfId="23614"/>
    <cellStyle name="40% - akcent 4 3 6 2 5 3" xfId="23615"/>
    <cellStyle name="40% - akcent 4 3 6 2 6" xfId="23616"/>
    <cellStyle name="40% - akcent 4 3 6 2 6 2" xfId="23617"/>
    <cellStyle name="40% - akcent 4 3 6 2 7" xfId="23618"/>
    <cellStyle name="40% - akcent 4 3 6 3" xfId="23619"/>
    <cellStyle name="40% - akcent 4 3 6 3 2" xfId="23620"/>
    <cellStyle name="40% - akcent 4 3 6 3 2 2" xfId="23621"/>
    <cellStyle name="40% - akcent 4 3 6 3 2 2 2" xfId="23622"/>
    <cellStyle name="40% - akcent 4 3 6 3 2 3" xfId="23623"/>
    <cellStyle name="40% - akcent 4 3 6 3 3" xfId="23624"/>
    <cellStyle name="40% - akcent 4 3 6 3 3 2" xfId="23625"/>
    <cellStyle name="40% - akcent 4 3 6 3 3 2 2" xfId="23626"/>
    <cellStyle name="40% - akcent 4 3 6 3 3 3" xfId="23627"/>
    <cellStyle name="40% - akcent 4 3 6 3 4" xfId="23628"/>
    <cellStyle name="40% - akcent 4 3 6 3 4 2" xfId="23629"/>
    <cellStyle name="40% - akcent 4 3 6 3 4 2 2" xfId="23630"/>
    <cellStyle name="40% - akcent 4 3 6 3 4 3" xfId="23631"/>
    <cellStyle name="40% - akcent 4 3 6 3 5" xfId="23632"/>
    <cellStyle name="40% - akcent 4 3 6 3 5 2" xfId="23633"/>
    <cellStyle name="40% - akcent 4 3 6 3 6" xfId="23634"/>
    <cellStyle name="40% - akcent 4 3 6 4" xfId="23635"/>
    <cellStyle name="40% - akcent 4 3 6 4 2" xfId="23636"/>
    <cellStyle name="40% - akcent 4 3 6 4 2 2" xfId="23637"/>
    <cellStyle name="40% - akcent 4 3 6 4 2 2 2" xfId="23638"/>
    <cellStyle name="40% - akcent 4 3 6 4 2 3" xfId="23639"/>
    <cellStyle name="40% - akcent 4 3 6 4 3" xfId="23640"/>
    <cellStyle name="40% - akcent 4 3 6 4 3 2" xfId="23641"/>
    <cellStyle name="40% - akcent 4 3 6 4 3 2 2" xfId="23642"/>
    <cellStyle name="40% - akcent 4 3 6 4 3 3" xfId="23643"/>
    <cellStyle name="40% - akcent 4 3 6 4 4" xfId="23644"/>
    <cellStyle name="40% - akcent 4 3 6 4 4 2" xfId="23645"/>
    <cellStyle name="40% - akcent 4 3 6 4 4 2 2" xfId="23646"/>
    <cellStyle name="40% - akcent 4 3 6 4 4 3" xfId="23647"/>
    <cellStyle name="40% - akcent 4 3 6 4 5" xfId="23648"/>
    <cellStyle name="40% - akcent 4 3 6 4 5 2" xfId="23649"/>
    <cellStyle name="40% - akcent 4 3 6 4 6" xfId="23650"/>
    <cellStyle name="40% - akcent 4 3 6 5" xfId="23651"/>
    <cellStyle name="40% - akcent 4 3 6 5 2" xfId="23652"/>
    <cellStyle name="40% - akcent 4 3 6 5 2 2" xfId="23653"/>
    <cellStyle name="40% - akcent 4 3 6 5 3" xfId="23654"/>
    <cellStyle name="40% - akcent 4 3 6 6" xfId="23655"/>
    <cellStyle name="40% - akcent 4 3 6 6 2" xfId="23656"/>
    <cellStyle name="40% - akcent 4 3 6 6 2 2" xfId="23657"/>
    <cellStyle name="40% - akcent 4 3 6 6 3" xfId="23658"/>
    <cellStyle name="40% - akcent 4 3 6 7" xfId="23659"/>
    <cellStyle name="40% - akcent 4 3 6 7 2" xfId="23660"/>
    <cellStyle name="40% - akcent 4 3 6 7 2 2" xfId="23661"/>
    <cellStyle name="40% - akcent 4 3 6 7 3" xfId="23662"/>
    <cellStyle name="40% - akcent 4 3 6 8" xfId="23663"/>
    <cellStyle name="40% - akcent 4 3 6 8 2" xfId="23664"/>
    <cellStyle name="40% - akcent 4 3 6 9" xfId="23665"/>
    <cellStyle name="40% - akcent 4 3 7" xfId="23666"/>
    <cellStyle name="40% - akcent 4 3 7 2" xfId="23667"/>
    <cellStyle name="40% - akcent 4 3 7 2 2" xfId="23668"/>
    <cellStyle name="40% - akcent 4 3 7 2 2 2" xfId="23669"/>
    <cellStyle name="40% - akcent 4 3 7 2 2 2 2" xfId="23670"/>
    <cellStyle name="40% - akcent 4 3 7 2 2 3" xfId="23671"/>
    <cellStyle name="40% - akcent 4 3 7 2 3" xfId="23672"/>
    <cellStyle name="40% - akcent 4 3 7 2 3 2" xfId="23673"/>
    <cellStyle name="40% - akcent 4 3 7 2 3 2 2" xfId="23674"/>
    <cellStyle name="40% - akcent 4 3 7 2 3 3" xfId="23675"/>
    <cellStyle name="40% - akcent 4 3 7 2 4" xfId="23676"/>
    <cellStyle name="40% - akcent 4 3 7 2 4 2" xfId="23677"/>
    <cellStyle name="40% - akcent 4 3 7 2 4 2 2" xfId="23678"/>
    <cellStyle name="40% - akcent 4 3 7 2 4 3" xfId="23679"/>
    <cellStyle name="40% - akcent 4 3 7 2 5" xfId="23680"/>
    <cellStyle name="40% - akcent 4 3 7 2 5 2" xfId="23681"/>
    <cellStyle name="40% - akcent 4 3 7 2 6" xfId="23682"/>
    <cellStyle name="40% - akcent 4 3 7 3" xfId="23683"/>
    <cellStyle name="40% - akcent 4 3 7 3 2" xfId="23684"/>
    <cellStyle name="40% - akcent 4 3 7 3 2 2" xfId="23685"/>
    <cellStyle name="40% - akcent 4 3 7 3 3" xfId="23686"/>
    <cellStyle name="40% - akcent 4 3 7 4" xfId="23687"/>
    <cellStyle name="40% - akcent 4 3 7 4 2" xfId="23688"/>
    <cellStyle name="40% - akcent 4 3 7 4 2 2" xfId="23689"/>
    <cellStyle name="40% - akcent 4 3 7 4 3" xfId="23690"/>
    <cellStyle name="40% - akcent 4 3 7 5" xfId="23691"/>
    <cellStyle name="40% - akcent 4 3 7 5 2" xfId="23692"/>
    <cellStyle name="40% - akcent 4 3 7 5 2 2" xfId="23693"/>
    <cellStyle name="40% - akcent 4 3 7 5 3" xfId="23694"/>
    <cellStyle name="40% - akcent 4 3 7 6" xfId="23695"/>
    <cellStyle name="40% - akcent 4 3 7 6 2" xfId="23696"/>
    <cellStyle name="40% - akcent 4 3 7 7" xfId="23697"/>
    <cellStyle name="40% - akcent 4 3 8" xfId="23698"/>
    <cellStyle name="40% - akcent 4 3 8 2" xfId="23699"/>
    <cellStyle name="40% - akcent 4 3 8 2 2" xfId="23700"/>
    <cellStyle name="40% - akcent 4 3 8 2 2 2" xfId="23701"/>
    <cellStyle name="40% - akcent 4 3 8 2 3" xfId="23702"/>
    <cellStyle name="40% - akcent 4 3 8 3" xfId="23703"/>
    <cellStyle name="40% - akcent 4 3 8 3 2" xfId="23704"/>
    <cellStyle name="40% - akcent 4 3 8 3 2 2" xfId="23705"/>
    <cellStyle name="40% - akcent 4 3 8 3 3" xfId="23706"/>
    <cellStyle name="40% - akcent 4 3 8 4" xfId="23707"/>
    <cellStyle name="40% - akcent 4 3 8 4 2" xfId="23708"/>
    <cellStyle name="40% - akcent 4 3 8 4 2 2" xfId="23709"/>
    <cellStyle name="40% - akcent 4 3 8 4 3" xfId="23710"/>
    <cellStyle name="40% - akcent 4 3 8 5" xfId="23711"/>
    <cellStyle name="40% - akcent 4 3 8 5 2" xfId="23712"/>
    <cellStyle name="40% - akcent 4 3 8 6" xfId="23713"/>
    <cellStyle name="40% - akcent 4 3 9" xfId="23714"/>
    <cellStyle name="40% - akcent 4 3 9 2" xfId="23715"/>
    <cellStyle name="40% - akcent 4 3 9 2 2" xfId="23716"/>
    <cellStyle name="40% - akcent 4 3 9 2 2 2" xfId="23717"/>
    <cellStyle name="40% - akcent 4 3 9 2 3" xfId="23718"/>
    <cellStyle name="40% - akcent 4 3 9 3" xfId="23719"/>
    <cellStyle name="40% - akcent 4 3 9 3 2" xfId="23720"/>
    <cellStyle name="40% - akcent 4 3 9 3 2 2" xfId="23721"/>
    <cellStyle name="40% - akcent 4 3 9 3 3" xfId="23722"/>
    <cellStyle name="40% - akcent 4 3 9 4" xfId="23723"/>
    <cellStyle name="40% - akcent 4 3 9 4 2" xfId="23724"/>
    <cellStyle name="40% - akcent 4 3 9 4 2 2" xfId="23725"/>
    <cellStyle name="40% - akcent 4 3 9 4 3" xfId="23726"/>
    <cellStyle name="40% - akcent 4 3 9 5" xfId="23727"/>
    <cellStyle name="40% - akcent 4 3 9 5 2" xfId="23728"/>
    <cellStyle name="40% - akcent 4 3 9 6" xfId="23729"/>
    <cellStyle name="40% - akcent 4 3_2011'05 Raport PGE_DO-CO2" xfId="23730"/>
    <cellStyle name="40% - akcent 4 4" xfId="23731"/>
    <cellStyle name="40% - akcent 4 4 2" xfId="23732"/>
    <cellStyle name="40% - akcent 4 4 2 2" xfId="23733"/>
    <cellStyle name="40% - akcent 4 4 2 2 2" xfId="23734"/>
    <cellStyle name="40% - akcent 4 4 2 2 2 2" xfId="23735"/>
    <cellStyle name="40% - akcent 4 4 2 2 2 2 2" xfId="23736"/>
    <cellStyle name="40% - akcent 4 4 2 2 2 2 2 2" xfId="23737"/>
    <cellStyle name="40% - akcent 4 4 2 2 2 2 2 2 2" xfId="23738"/>
    <cellStyle name="40% - akcent 4 4 2 2 2 2 2 3" xfId="23739"/>
    <cellStyle name="40% - akcent 4 4 2 2 2 2 3" xfId="23740"/>
    <cellStyle name="40% - akcent 4 4 2 2 2 2 3 2" xfId="23741"/>
    <cellStyle name="40% - akcent 4 4 2 2 2 2 3 2 2" xfId="23742"/>
    <cellStyle name="40% - akcent 4 4 2 2 2 2 3 3" xfId="23743"/>
    <cellStyle name="40% - akcent 4 4 2 2 2 2 4" xfId="23744"/>
    <cellStyle name="40% - akcent 4 4 2 2 2 2 4 2" xfId="23745"/>
    <cellStyle name="40% - akcent 4 4 2 2 2 2 4 2 2" xfId="23746"/>
    <cellStyle name="40% - akcent 4 4 2 2 2 2 4 3" xfId="23747"/>
    <cellStyle name="40% - akcent 4 4 2 2 2 2 5" xfId="23748"/>
    <cellStyle name="40% - akcent 4 4 2 2 2 2 5 2" xfId="23749"/>
    <cellStyle name="40% - akcent 4 4 2 2 2 2 6" xfId="23750"/>
    <cellStyle name="40% - akcent 4 4 2 2 2 3" xfId="23751"/>
    <cellStyle name="40% - akcent 4 4 2 2 2 3 2" xfId="23752"/>
    <cellStyle name="40% - akcent 4 4 2 2 2 3 2 2" xfId="23753"/>
    <cellStyle name="40% - akcent 4 4 2 2 2 3 3" xfId="23754"/>
    <cellStyle name="40% - akcent 4 4 2 2 2 4" xfId="23755"/>
    <cellStyle name="40% - akcent 4 4 2 2 2 4 2" xfId="23756"/>
    <cellStyle name="40% - akcent 4 4 2 2 2 4 2 2" xfId="23757"/>
    <cellStyle name="40% - akcent 4 4 2 2 2 4 3" xfId="23758"/>
    <cellStyle name="40% - akcent 4 4 2 2 2 5" xfId="23759"/>
    <cellStyle name="40% - akcent 4 4 2 2 2 5 2" xfId="23760"/>
    <cellStyle name="40% - akcent 4 4 2 2 2 5 2 2" xfId="23761"/>
    <cellStyle name="40% - akcent 4 4 2 2 2 5 3" xfId="23762"/>
    <cellStyle name="40% - akcent 4 4 2 2 2 6" xfId="23763"/>
    <cellStyle name="40% - akcent 4 4 2 2 2 6 2" xfId="23764"/>
    <cellStyle name="40% - akcent 4 4 2 2 2 7" xfId="23765"/>
    <cellStyle name="40% - akcent 4 4 2 2 3" xfId="23766"/>
    <cellStyle name="40% - akcent 4 4 2 2 3 2" xfId="23767"/>
    <cellStyle name="40% - akcent 4 4 2 2 3 2 2" xfId="23768"/>
    <cellStyle name="40% - akcent 4 4 2 2 3 2 2 2" xfId="23769"/>
    <cellStyle name="40% - akcent 4 4 2 2 3 2 3" xfId="23770"/>
    <cellStyle name="40% - akcent 4 4 2 2 3 3" xfId="23771"/>
    <cellStyle name="40% - akcent 4 4 2 2 3 3 2" xfId="23772"/>
    <cellStyle name="40% - akcent 4 4 2 2 3 3 2 2" xfId="23773"/>
    <cellStyle name="40% - akcent 4 4 2 2 3 3 3" xfId="23774"/>
    <cellStyle name="40% - akcent 4 4 2 2 3 4" xfId="23775"/>
    <cellStyle name="40% - akcent 4 4 2 2 3 4 2" xfId="23776"/>
    <cellStyle name="40% - akcent 4 4 2 2 3 4 2 2" xfId="23777"/>
    <cellStyle name="40% - akcent 4 4 2 2 3 4 3" xfId="23778"/>
    <cellStyle name="40% - akcent 4 4 2 2 3 5" xfId="23779"/>
    <cellStyle name="40% - akcent 4 4 2 2 3 5 2" xfId="23780"/>
    <cellStyle name="40% - akcent 4 4 2 2 3 6" xfId="23781"/>
    <cellStyle name="40% - akcent 4 4 2 2 4" xfId="23782"/>
    <cellStyle name="40% - akcent 4 4 2 2 4 2" xfId="23783"/>
    <cellStyle name="40% - akcent 4 4 2 2 4 2 2" xfId="23784"/>
    <cellStyle name="40% - akcent 4 4 2 2 4 2 2 2" xfId="23785"/>
    <cellStyle name="40% - akcent 4 4 2 2 4 2 3" xfId="23786"/>
    <cellStyle name="40% - akcent 4 4 2 2 4 3" xfId="23787"/>
    <cellStyle name="40% - akcent 4 4 2 2 4 3 2" xfId="23788"/>
    <cellStyle name="40% - akcent 4 4 2 2 4 3 2 2" xfId="23789"/>
    <cellStyle name="40% - akcent 4 4 2 2 4 3 3" xfId="23790"/>
    <cellStyle name="40% - akcent 4 4 2 2 4 4" xfId="23791"/>
    <cellStyle name="40% - akcent 4 4 2 2 4 4 2" xfId="23792"/>
    <cellStyle name="40% - akcent 4 4 2 2 4 4 2 2" xfId="23793"/>
    <cellStyle name="40% - akcent 4 4 2 2 4 4 3" xfId="23794"/>
    <cellStyle name="40% - akcent 4 4 2 2 4 5" xfId="23795"/>
    <cellStyle name="40% - akcent 4 4 2 2 4 5 2" xfId="23796"/>
    <cellStyle name="40% - akcent 4 4 2 2 4 6" xfId="23797"/>
    <cellStyle name="40% - akcent 4 4 2 2 5" xfId="23798"/>
    <cellStyle name="40% - akcent 4 4 2 2 5 2" xfId="23799"/>
    <cellStyle name="40% - akcent 4 4 2 2 5 2 2" xfId="23800"/>
    <cellStyle name="40% - akcent 4 4 2 2 5 3" xfId="23801"/>
    <cellStyle name="40% - akcent 4 4 2 2 6" xfId="23802"/>
    <cellStyle name="40% - akcent 4 4 2 2 6 2" xfId="23803"/>
    <cellStyle name="40% - akcent 4 4 2 2 6 2 2" xfId="23804"/>
    <cellStyle name="40% - akcent 4 4 2 2 6 3" xfId="23805"/>
    <cellStyle name="40% - akcent 4 4 2 2 7" xfId="23806"/>
    <cellStyle name="40% - akcent 4 4 2 2 7 2" xfId="23807"/>
    <cellStyle name="40% - akcent 4 4 2 2 7 2 2" xfId="23808"/>
    <cellStyle name="40% - akcent 4 4 2 2 7 3" xfId="23809"/>
    <cellStyle name="40% - akcent 4 4 2 2 8" xfId="23810"/>
    <cellStyle name="40% - akcent 4 4 2 2 8 2" xfId="23811"/>
    <cellStyle name="40% - akcent 4 4 2 2 9" xfId="23812"/>
    <cellStyle name="40% - akcent 4 4 2 3" xfId="23813"/>
    <cellStyle name="40% - akcent 4 4 2 3 2" xfId="23814"/>
    <cellStyle name="40% - akcent 4 4 2 3 2 2" xfId="23815"/>
    <cellStyle name="40% - akcent 4 4 2 3 2 2 2" xfId="23816"/>
    <cellStyle name="40% - akcent 4 4 2 3 2 2 2 2" xfId="23817"/>
    <cellStyle name="40% - akcent 4 4 2 3 2 2 3" xfId="23818"/>
    <cellStyle name="40% - akcent 4 4 2 3 2 3" xfId="23819"/>
    <cellStyle name="40% - akcent 4 4 2 3 2 3 2" xfId="23820"/>
    <cellStyle name="40% - akcent 4 4 2 3 2 3 2 2" xfId="23821"/>
    <cellStyle name="40% - akcent 4 4 2 3 2 3 3" xfId="23822"/>
    <cellStyle name="40% - akcent 4 4 2 3 2 4" xfId="23823"/>
    <cellStyle name="40% - akcent 4 4 2 3 2 4 2" xfId="23824"/>
    <cellStyle name="40% - akcent 4 4 2 3 2 4 2 2" xfId="23825"/>
    <cellStyle name="40% - akcent 4 4 2 3 2 4 3" xfId="23826"/>
    <cellStyle name="40% - akcent 4 4 2 3 2 5" xfId="23827"/>
    <cellStyle name="40% - akcent 4 4 2 3 2 5 2" xfId="23828"/>
    <cellStyle name="40% - akcent 4 4 2 3 2 6" xfId="23829"/>
    <cellStyle name="40% - akcent 4 4 2 3 3" xfId="23830"/>
    <cellStyle name="40% - akcent 4 4 2 3 3 2" xfId="23831"/>
    <cellStyle name="40% - akcent 4 4 2 3 3 2 2" xfId="23832"/>
    <cellStyle name="40% - akcent 4 4 2 3 3 3" xfId="23833"/>
    <cellStyle name="40% - akcent 4 4 2 3 4" xfId="23834"/>
    <cellStyle name="40% - akcent 4 4 2 3 4 2" xfId="23835"/>
    <cellStyle name="40% - akcent 4 4 2 3 4 2 2" xfId="23836"/>
    <cellStyle name="40% - akcent 4 4 2 3 4 3" xfId="23837"/>
    <cellStyle name="40% - akcent 4 4 2 3 5" xfId="23838"/>
    <cellStyle name="40% - akcent 4 4 2 3 5 2" xfId="23839"/>
    <cellStyle name="40% - akcent 4 4 2 3 5 2 2" xfId="23840"/>
    <cellStyle name="40% - akcent 4 4 2 3 5 3" xfId="23841"/>
    <cellStyle name="40% - akcent 4 4 2 3 6" xfId="23842"/>
    <cellStyle name="40% - akcent 4 4 2 3 6 2" xfId="23843"/>
    <cellStyle name="40% - akcent 4 4 2 3 7" xfId="23844"/>
    <cellStyle name="40% - akcent 4 4 2 4" xfId="23845"/>
    <cellStyle name="40% - akcent 4 4 2 4 2" xfId="23846"/>
    <cellStyle name="40% - akcent 4 4 2 4 2 2" xfId="23847"/>
    <cellStyle name="40% - akcent 4 4 2 4 2 2 2" xfId="23848"/>
    <cellStyle name="40% - akcent 4 4 2 4 2 3" xfId="23849"/>
    <cellStyle name="40% - akcent 4 4 2 4 3" xfId="23850"/>
    <cellStyle name="40% - akcent 4 4 2 4 3 2" xfId="23851"/>
    <cellStyle name="40% - akcent 4 4 2 4 3 2 2" xfId="23852"/>
    <cellStyle name="40% - akcent 4 4 2 4 3 3" xfId="23853"/>
    <cellStyle name="40% - akcent 4 4 2 4 4" xfId="23854"/>
    <cellStyle name="40% - akcent 4 4 2 4 4 2" xfId="23855"/>
    <cellStyle name="40% - akcent 4 4 2 4 4 2 2" xfId="23856"/>
    <cellStyle name="40% - akcent 4 4 2 4 4 3" xfId="23857"/>
    <cellStyle name="40% - akcent 4 4 2 4 5" xfId="23858"/>
    <cellStyle name="40% - akcent 4 4 2 4 5 2" xfId="23859"/>
    <cellStyle name="40% - akcent 4 4 2 4 6" xfId="23860"/>
    <cellStyle name="40% - akcent 4 4 2 5" xfId="23861"/>
    <cellStyle name="40% - akcent 4 4 2 5 2" xfId="23862"/>
    <cellStyle name="40% - akcent 4 4 2 5 2 2" xfId="23863"/>
    <cellStyle name="40% - akcent 4 4 2 5 2 2 2" xfId="23864"/>
    <cellStyle name="40% - akcent 4 4 2 5 2 3" xfId="23865"/>
    <cellStyle name="40% - akcent 4 4 2 5 3" xfId="23866"/>
    <cellStyle name="40% - akcent 4 4 2 5 3 2" xfId="23867"/>
    <cellStyle name="40% - akcent 4 4 2 5 3 2 2" xfId="23868"/>
    <cellStyle name="40% - akcent 4 4 2 5 3 3" xfId="23869"/>
    <cellStyle name="40% - akcent 4 4 2 5 4" xfId="23870"/>
    <cellStyle name="40% - akcent 4 4 2 5 4 2" xfId="23871"/>
    <cellStyle name="40% - akcent 4 4 2 5 4 2 2" xfId="23872"/>
    <cellStyle name="40% - akcent 4 4 2 5 4 3" xfId="23873"/>
    <cellStyle name="40% - akcent 4 4 2 5 5" xfId="23874"/>
    <cellStyle name="40% - akcent 4 4 2 5 5 2" xfId="23875"/>
    <cellStyle name="40% - akcent 4 4 2 5 6" xfId="23876"/>
    <cellStyle name="40% - akcent 4 4 2 6" xfId="23877"/>
    <cellStyle name="40% - akcent 4 4 2 7" xfId="23878"/>
    <cellStyle name="40% - akcent 4 4 2 7 2" xfId="23879"/>
    <cellStyle name="40% - akcent 4 4 2 7 2 2" xfId="23880"/>
    <cellStyle name="40% - akcent 4 4 2 7 2 2 2" xfId="23881"/>
    <cellStyle name="40% - akcent 4 4 2 7 2 3" xfId="23882"/>
    <cellStyle name="40% - akcent 4 4 2 7 3" xfId="23883"/>
    <cellStyle name="40% - akcent 4 4 2 7 3 2" xfId="23884"/>
    <cellStyle name="40% - akcent 4 4 2 7 3 2 2" xfId="23885"/>
    <cellStyle name="40% - akcent 4 4 2 7 3 3" xfId="23886"/>
    <cellStyle name="40% - akcent 4 4 2 7 4" xfId="23887"/>
    <cellStyle name="40% - akcent 4 4 2 7 4 2" xfId="23888"/>
    <cellStyle name="40% - akcent 4 4 2 7 4 2 2" xfId="23889"/>
    <cellStyle name="40% - akcent 4 4 2 7 4 3" xfId="23890"/>
    <cellStyle name="40% - akcent 4 4 2 7 5" xfId="23891"/>
    <cellStyle name="40% - akcent 4 4 2 7 5 2" xfId="23892"/>
    <cellStyle name="40% - akcent 4 4 2 7 6" xfId="23893"/>
    <cellStyle name="40% - akcent 4 4 3" xfId="23894"/>
    <cellStyle name="40% - akcent 4 4 3 2" xfId="23895"/>
    <cellStyle name="40% - akcent 4 4 3 2 2" xfId="23896"/>
    <cellStyle name="40% - akcent 4 4 3 2 2 2" xfId="23897"/>
    <cellStyle name="40% - akcent 4 4 3 2 2 2 2" xfId="23898"/>
    <cellStyle name="40% - akcent 4 4 3 2 2 2 2 2" xfId="23899"/>
    <cellStyle name="40% - akcent 4 4 3 2 2 2 3" xfId="23900"/>
    <cellStyle name="40% - akcent 4 4 3 2 2 3" xfId="23901"/>
    <cellStyle name="40% - akcent 4 4 3 2 2 3 2" xfId="23902"/>
    <cellStyle name="40% - akcent 4 4 3 2 2 3 2 2" xfId="23903"/>
    <cellStyle name="40% - akcent 4 4 3 2 2 3 3" xfId="23904"/>
    <cellStyle name="40% - akcent 4 4 3 2 2 4" xfId="23905"/>
    <cellStyle name="40% - akcent 4 4 3 2 2 4 2" xfId="23906"/>
    <cellStyle name="40% - akcent 4 4 3 2 2 4 2 2" xfId="23907"/>
    <cellStyle name="40% - akcent 4 4 3 2 2 4 3" xfId="23908"/>
    <cellStyle name="40% - akcent 4 4 3 2 2 5" xfId="23909"/>
    <cellStyle name="40% - akcent 4 4 3 2 2 5 2" xfId="23910"/>
    <cellStyle name="40% - akcent 4 4 3 2 2 6" xfId="23911"/>
    <cellStyle name="40% - akcent 4 4 3 2 3" xfId="23912"/>
    <cellStyle name="40% - akcent 4 4 3 2 3 2" xfId="23913"/>
    <cellStyle name="40% - akcent 4 4 3 2 3 2 2" xfId="23914"/>
    <cellStyle name="40% - akcent 4 4 3 2 3 3" xfId="23915"/>
    <cellStyle name="40% - akcent 4 4 3 2 4" xfId="23916"/>
    <cellStyle name="40% - akcent 4 4 3 2 4 2" xfId="23917"/>
    <cellStyle name="40% - akcent 4 4 3 2 4 2 2" xfId="23918"/>
    <cellStyle name="40% - akcent 4 4 3 2 4 3" xfId="23919"/>
    <cellStyle name="40% - akcent 4 4 3 2 5" xfId="23920"/>
    <cellStyle name="40% - akcent 4 4 3 2 5 2" xfId="23921"/>
    <cellStyle name="40% - akcent 4 4 3 2 5 2 2" xfId="23922"/>
    <cellStyle name="40% - akcent 4 4 3 2 5 3" xfId="23923"/>
    <cellStyle name="40% - akcent 4 4 3 2 6" xfId="23924"/>
    <cellStyle name="40% - akcent 4 4 3 2 6 2" xfId="23925"/>
    <cellStyle name="40% - akcent 4 4 3 2 7" xfId="23926"/>
    <cellStyle name="40% - akcent 4 4 3 3" xfId="23927"/>
    <cellStyle name="40% - akcent 4 4 3 3 2" xfId="23928"/>
    <cellStyle name="40% - akcent 4 4 3 3 2 2" xfId="23929"/>
    <cellStyle name="40% - akcent 4 4 3 3 2 2 2" xfId="23930"/>
    <cellStyle name="40% - akcent 4 4 3 3 2 3" xfId="23931"/>
    <cellStyle name="40% - akcent 4 4 3 3 3" xfId="23932"/>
    <cellStyle name="40% - akcent 4 4 3 3 3 2" xfId="23933"/>
    <cellStyle name="40% - akcent 4 4 3 3 3 2 2" xfId="23934"/>
    <cellStyle name="40% - akcent 4 4 3 3 3 3" xfId="23935"/>
    <cellStyle name="40% - akcent 4 4 3 3 4" xfId="23936"/>
    <cellStyle name="40% - akcent 4 4 3 3 4 2" xfId="23937"/>
    <cellStyle name="40% - akcent 4 4 3 3 4 2 2" xfId="23938"/>
    <cellStyle name="40% - akcent 4 4 3 3 4 3" xfId="23939"/>
    <cellStyle name="40% - akcent 4 4 3 3 5" xfId="23940"/>
    <cellStyle name="40% - akcent 4 4 3 3 5 2" xfId="23941"/>
    <cellStyle name="40% - akcent 4 4 3 3 6" xfId="23942"/>
    <cellStyle name="40% - akcent 4 4 3 4" xfId="23943"/>
    <cellStyle name="40% - akcent 4 4 3 4 2" xfId="23944"/>
    <cellStyle name="40% - akcent 4 4 3 4 2 2" xfId="23945"/>
    <cellStyle name="40% - akcent 4 4 3 4 2 2 2" xfId="23946"/>
    <cellStyle name="40% - akcent 4 4 3 4 2 3" xfId="23947"/>
    <cellStyle name="40% - akcent 4 4 3 4 3" xfId="23948"/>
    <cellStyle name="40% - akcent 4 4 3 4 3 2" xfId="23949"/>
    <cellStyle name="40% - akcent 4 4 3 4 3 2 2" xfId="23950"/>
    <cellStyle name="40% - akcent 4 4 3 4 3 3" xfId="23951"/>
    <cellStyle name="40% - akcent 4 4 3 4 4" xfId="23952"/>
    <cellStyle name="40% - akcent 4 4 3 4 4 2" xfId="23953"/>
    <cellStyle name="40% - akcent 4 4 3 4 4 2 2" xfId="23954"/>
    <cellStyle name="40% - akcent 4 4 3 4 4 3" xfId="23955"/>
    <cellStyle name="40% - akcent 4 4 3 4 5" xfId="23956"/>
    <cellStyle name="40% - akcent 4 4 3 4 5 2" xfId="23957"/>
    <cellStyle name="40% - akcent 4 4 3 4 6" xfId="23958"/>
    <cellStyle name="40% - akcent 4 4 3 5" xfId="23959"/>
    <cellStyle name="40% - akcent 4 4 3 5 2" xfId="23960"/>
    <cellStyle name="40% - akcent 4 4 3 5 2 2" xfId="23961"/>
    <cellStyle name="40% - akcent 4 4 3 5 2 2 2" xfId="23962"/>
    <cellStyle name="40% - akcent 4 4 3 5 2 3" xfId="23963"/>
    <cellStyle name="40% - akcent 4 4 3 5 3" xfId="23964"/>
    <cellStyle name="40% - akcent 4 4 3 5 3 2" xfId="23965"/>
    <cellStyle name="40% - akcent 4 4 3 5 3 2 2" xfId="23966"/>
    <cellStyle name="40% - akcent 4 4 3 5 3 3" xfId="23967"/>
    <cellStyle name="40% - akcent 4 4 3 5 4" xfId="23968"/>
    <cellStyle name="40% - akcent 4 4 3 5 4 2" xfId="23969"/>
    <cellStyle name="40% - akcent 4 4 3 5 4 2 2" xfId="23970"/>
    <cellStyle name="40% - akcent 4 4 3 5 4 3" xfId="23971"/>
    <cellStyle name="40% - akcent 4 4 3 5 5" xfId="23972"/>
    <cellStyle name="40% - akcent 4 4 3 5 5 2" xfId="23973"/>
    <cellStyle name="40% - akcent 4 4 3 5 6" xfId="23974"/>
    <cellStyle name="40% - akcent 4 4 4" xfId="23975"/>
    <cellStyle name="40% - akcent 4 4 4 2" xfId="23976"/>
    <cellStyle name="40% - akcent 4 4 4 2 2" xfId="23977"/>
    <cellStyle name="40% - akcent 4 4 4 2 2 2" xfId="23978"/>
    <cellStyle name="40% - akcent 4 4 4 2 2 2 2" xfId="23979"/>
    <cellStyle name="40% - akcent 4 4 4 2 2 3" xfId="23980"/>
    <cellStyle name="40% - akcent 4 4 4 2 3" xfId="23981"/>
    <cellStyle name="40% - akcent 4 4 4 2 3 2" xfId="23982"/>
    <cellStyle name="40% - akcent 4 4 4 2 3 2 2" xfId="23983"/>
    <cellStyle name="40% - akcent 4 4 4 2 3 3" xfId="23984"/>
    <cellStyle name="40% - akcent 4 4 4 2 4" xfId="23985"/>
    <cellStyle name="40% - akcent 4 4 4 2 4 2" xfId="23986"/>
    <cellStyle name="40% - akcent 4 4 4 2 4 2 2" xfId="23987"/>
    <cellStyle name="40% - akcent 4 4 4 2 4 3" xfId="23988"/>
    <cellStyle name="40% - akcent 4 4 4 2 5" xfId="23989"/>
    <cellStyle name="40% - akcent 4 4 4 2 5 2" xfId="23990"/>
    <cellStyle name="40% - akcent 4 4 4 2 6" xfId="23991"/>
    <cellStyle name="40% - akcent 4 4 4 3" xfId="23992"/>
    <cellStyle name="40% - akcent 4 4 4 3 2" xfId="23993"/>
    <cellStyle name="40% - akcent 4 4 4 3 2 2" xfId="23994"/>
    <cellStyle name="40% - akcent 4 4 4 3 2 2 2" xfId="23995"/>
    <cellStyle name="40% - akcent 4 4 4 3 2 3" xfId="23996"/>
    <cellStyle name="40% - akcent 4 4 4 3 3" xfId="23997"/>
    <cellStyle name="40% - akcent 4 4 4 3 3 2" xfId="23998"/>
    <cellStyle name="40% - akcent 4 4 4 3 3 2 2" xfId="23999"/>
    <cellStyle name="40% - akcent 4 4 4 3 3 3" xfId="24000"/>
    <cellStyle name="40% - akcent 4 4 4 3 4" xfId="24001"/>
    <cellStyle name="40% - akcent 4 4 4 3 4 2" xfId="24002"/>
    <cellStyle name="40% - akcent 4 4 4 3 4 2 2" xfId="24003"/>
    <cellStyle name="40% - akcent 4 4 4 3 4 3" xfId="24004"/>
    <cellStyle name="40% - akcent 4 4 4 3 5" xfId="24005"/>
    <cellStyle name="40% - akcent 4 4 4 3 5 2" xfId="24006"/>
    <cellStyle name="40% - akcent 4 4 4 3 6" xfId="24007"/>
    <cellStyle name="40% - akcent 4 4 5" xfId="24008"/>
    <cellStyle name="40% - akcent 4 4 5 2" xfId="24009"/>
    <cellStyle name="40% - akcent 4 4 5 2 2" xfId="24010"/>
    <cellStyle name="40% - akcent 4 4 5 2 2 2" xfId="24011"/>
    <cellStyle name="40% - akcent 4 4 5 2 3" xfId="24012"/>
    <cellStyle name="40% - akcent 4 4 5 3" xfId="24013"/>
    <cellStyle name="40% - akcent 4 4 5 3 2" xfId="24014"/>
    <cellStyle name="40% - akcent 4 4 5 3 2 2" xfId="24015"/>
    <cellStyle name="40% - akcent 4 4 5 3 3" xfId="24016"/>
    <cellStyle name="40% - akcent 4 4 5 4" xfId="24017"/>
    <cellStyle name="40% - akcent 4 4 5 4 2" xfId="24018"/>
    <cellStyle name="40% - akcent 4 4 5 4 2 2" xfId="24019"/>
    <cellStyle name="40% - akcent 4 4 5 4 3" xfId="24020"/>
    <cellStyle name="40% - akcent 4 4 5 5" xfId="24021"/>
    <cellStyle name="40% - akcent 4 4 5 5 2" xfId="24022"/>
    <cellStyle name="40% - akcent 4 4 5 6" xfId="24023"/>
    <cellStyle name="40% - akcent 4 4 6" xfId="24024"/>
    <cellStyle name="40% - akcent 4 4 6 2" xfId="24025"/>
    <cellStyle name="40% - akcent 4 4 6 2 2" xfId="24026"/>
    <cellStyle name="40% - akcent 4 4 6 2 2 2" xfId="24027"/>
    <cellStyle name="40% - akcent 4 4 6 2 3" xfId="24028"/>
    <cellStyle name="40% - akcent 4 4 6 3" xfId="24029"/>
    <cellStyle name="40% - akcent 4 4 6 3 2" xfId="24030"/>
    <cellStyle name="40% - akcent 4 4 6 3 2 2" xfId="24031"/>
    <cellStyle name="40% - akcent 4 4 6 3 3" xfId="24032"/>
    <cellStyle name="40% - akcent 4 4 6 4" xfId="24033"/>
    <cellStyle name="40% - akcent 4 4 6 4 2" xfId="24034"/>
    <cellStyle name="40% - akcent 4 4 6 4 2 2" xfId="24035"/>
    <cellStyle name="40% - akcent 4 4 6 4 3" xfId="24036"/>
    <cellStyle name="40% - akcent 4 4 6 5" xfId="24037"/>
    <cellStyle name="40% - akcent 4 4 6 5 2" xfId="24038"/>
    <cellStyle name="40% - akcent 4 4 6 6" xfId="24039"/>
    <cellStyle name="40% - akcent 4 4 7" xfId="24040"/>
    <cellStyle name="40% - akcent 4 4 7 2" xfId="24041"/>
    <cellStyle name="40% - akcent 4 4 7 2 2" xfId="24042"/>
    <cellStyle name="40% - akcent 4 4 7 2 2 2" xfId="24043"/>
    <cellStyle name="40% - akcent 4 4 7 2 3" xfId="24044"/>
    <cellStyle name="40% - akcent 4 4 7 3" xfId="24045"/>
    <cellStyle name="40% - akcent 4 4 7 3 2" xfId="24046"/>
    <cellStyle name="40% - akcent 4 4 7 3 2 2" xfId="24047"/>
    <cellStyle name="40% - akcent 4 4 7 3 3" xfId="24048"/>
    <cellStyle name="40% - akcent 4 4 7 4" xfId="24049"/>
    <cellStyle name="40% - akcent 4 4 7 4 2" xfId="24050"/>
    <cellStyle name="40% - akcent 4 4 7 4 2 2" xfId="24051"/>
    <cellStyle name="40% - akcent 4 4 7 4 3" xfId="24052"/>
    <cellStyle name="40% - akcent 4 4 7 5" xfId="24053"/>
    <cellStyle name="40% - akcent 4 4 7 5 2" xfId="24054"/>
    <cellStyle name="40% - akcent 4 4 7 6" xfId="24055"/>
    <cellStyle name="40% - akcent 4 4_2011'05 Raport PGE_DO-CO2" xfId="24056"/>
    <cellStyle name="40% - akcent 4 5" xfId="24057"/>
    <cellStyle name="40% - akcent 4 5 2" xfId="24058"/>
    <cellStyle name="40% - akcent 4 5 2 2" xfId="24059"/>
    <cellStyle name="40% - akcent 4 5 2 2 2" xfId="24060"/>
    <cellStyle name="40% - akcent 4 5 2 2 2 2" xfId="24061"/>
    <cellStyle name="40% - akcent 4 5 2 2 2 2 2" xfId="24062"/>
    <cellStyle name="40% - akcent 4 5 2 2 2 2 2 2" xfId="24063"/>
    <cellStyle name="40% - akcent 4 5 2 2 2 2 3" xfId="24064"/>
    <cellStyle name="40% - akcent 4 5 2 2 2 3" xfId="24065"/>
    <cellStyle name="40% - akcent 4 5 2 2 2 3 2" xfId="24066"/>
    <cellStyle name="40% - akcent 4 5 2 2 2 3 2 2" xfId="24067"/>
    <cellStyle name="40% - akcent 4 5 2 2 2 3 3" xfId="24068"/>
    <cellStyle name="40% - akcent 4 5 2 2 2 4" xfId="24069"/>
    <cellStyle name="40% - akcent 4 5 2 2 2 4 2" xfId="24070"/>
    <cellStyle name="40% - akcent 4 5 2 2 2 4 2 2" xfId="24071"/>
    <cellStyle name="40% - akcent 4 5 2 2 2 4 3" xfId="24072"/>
    <cellStyle name="40% - akcent 4 5 2 2 2 5" xfId="24073"/>
    <cellStyle name="40% - akcent 4 5 2 2 2 5 2" xfId="24074"/>
    <cellStyle name="40% - akcent 4 5 2 2 2 6" xfId="24075"/>
    <cellStyle name="40% - akcent 4 5 2 2 3" xfId="24076"/>
    <cellStyle name="40% - akcent 4 5 2 2 3 2" xfId="24077"/>
    <cellStyle name="40% - akcent 4 5 2 2 3 2 2" xfId="24078"/>
    <cellStyle name="40% - akcent 4 5 2 2 3 3" xfId="24079"/>
    <cellStyle name="40% - akcent 4 5 2 2 4" xfId="24080"/>
    <cellStyle name="40% - akcent 4 5 2 2 4 2" xfId="24081"/>
    <cellStyle name="40% - akcent 4 5 2 2 4 2 2" xfId="24082"/>
    <cellStyle name="40% - akcent 4 5 2 2 4 3" xfId="24083"/>
    <cellStyle name="40% - akcent 4 5 2 2 5" xfId="24084"/>
    <cellStyle name="40% - akcent 4 5 2 2 5 2" xfId="24085"/>
    <cellStyle name="40% - akcent 4 5 2 2 5 2 2" xfId="24086"/>
    <cellStyle name="40% - akcent 4 5 2 2 5 3" xfId="24087"/>
    <cellStyle name="40% - akcent 4 5 2 2 6" xfId="24088"/>
    <cellStyle name="40% - akcent 4 5 2 2 6 2" xfId="24089"/>
    <cellStyle name="40% - akcent 4 5 2 2 7" xfId="24090"/>
    <cellStyle name="40% - akcent 4 5 2 3" xfId="24091"/>
    <cellStyle name="40% - akcent 4 5 2 3 2" xfId="24092"/>
    <cellStyle name="40% - akcent 4 5 2 3 2 2" xfId="24093"/>
    <cellStyle name="40% - akcent 4 5 2 3 2 2 2" xfId="24094"/>
    <cellStyle name="40% - akcent 4 5 2 3 2 3" xfId="24095"/>
    <cellStyle name="40% - akcent 4 5 2 3 3" xfId="24096"/>
    <cellStyle name="40% - akcent 4 5 2 3 3 2" xfId="24097"/>
    <cellStyle name="40% - akcent 4 5 2 3 3 2 2" xfId="24098"/>
    <cellStyle name="40% - akcent 4 5 2 3 3 3" xfId="24099"/>
    <cellStyle name="40% - akcent 4 5 2 3 4" xfId="24100"/>
    <cellStyle name="40% - akcent 4 5 2 3 4 2" xfId="24101"/>
    <cellStyle name="40% - akcent 4 5 2 3 4 2 2" xfId="24102"/>
    <cellStyle name="40% - akcent 4 5 2 3 4 3" xfId="24103"/>
    <cellStyle name="40% - akcent 4 5 2 3 5" xfId="24104"/>
    <cellStyle name="40% - akcent 4 5 2 3 5 2" xfId="24105"/>
    <cellStyle name="40% - akcent 4 5 2 3 6" xfId="24106"/>
    <cellStyle name="40% - akcent 4 5 2 4" xfId="24107"/>
    <cellStyle name="40% - akcent 4 5 2 4 2" xfId="24108"/>
    <cellStyle name="40% - akcent 4 5 2 4 2 2" xfId="24109"/>
    <cellStyle name="40% - akcent 4 5 2 4 2 2 2" xfId="24110"/>
    <cellStyle name="40% - akcent 4 5 2 4 2 3" xfId="24111"/>
    <cellStyle name="40% - akcent 4 5 2 4 3" xfId="24112"/>
    <cellStyle name="40% - akcent 4 5 2 4 3 2" xfId="24113"/>
    <cellStyle name="40% - akcent 4 5 2 4 3 2 2" xfId="24114"/>
    <cellStyle name="40% - akcent 4 5 2 4 3 3" xfId="24115"/>
    <cellStyle name="40% - akcent 4 5 2 4 4" xfId="24116"/>
    <cellStyle name="40% - akcent 4 5 2 4 4 2" xfId="24117"/>
    <cellStyle name="40% - akcent 4 5 2 4 4 2 2" xfId="24118"/>
    <cellStyle name="40% - akcent 4 5 2 4 4 3" xfId="24119"/>
    <cellStyle name="40% - akcent 4 5 2 4 5" xfId="24120"/>
    <cellStyle name="40% - akcent 4 5 2 4 5 2" xfId="24121"/>
    <cellStyle name="40% - akcent 4 5 2 4 6" xfId="24122"/>
    <cellStyle name="40% - akcent 4 5 2 5" xfId="24123"/>
    <cellStyle name="40% - akcent 4 5 2 6" xfId="24124"/>
    <cellStyle name="40% - akcent 4 5 2 6 2" xfId="24125"/>
    <cellStyle name="40% - akcent 4 5 2 6 2 2" xfId="24126"/>
    <cellStyle name="40% - akcent 4 5 2 6 2 2 2" xfId="24127"/>
    <cellStyle name="40% - akcent 4 5 2 6 2 3" xfId="24128"/>
    <cellStyle name="40% - akcent 4 5 2 6 3" xfId="24129"/>
    <cellStyle name="40% - akcent 4 5 2 6 3 2" xfId="24130"/>
    <cellStyle name="40% - akcent 4 5 2 6 3 2 2" xfId="24131"/>
    <cellStyle name="40% - akcent 4 5 2 6 3 3" xfId="24132"/>
    <cellStyle name="40% - akcent 4 5 2 6 4" xfId="24133"/>
    <cellStyle name="40% - akcent 4 5 2 6 4 2" xfId="24134"/>
    <cellStyle name="40% - akcent 4 5 2 6 4 2 2" xfId="24135"/>
    <cellStyle name="40% - akcent 4 5 2 6 4 3" xfId="24136"/>
    <cellStyle name="40% - akcent 4 5 2 6 5" xfId="24137"/>
    <cellStyle name="40% - akcent 4 5 2 6 5 2" xfId="24138"/>
    <cellStyle name="40% - akcent 4 5 2 6 6" xfId="24139"/>
    <cellStyle name="40% - akcent 4 5 3" xfId="24140"/>
    <cellStyle name="40% - akcent 4 5 3 2" xfId="24141"/>
    <cellStyle name="40% - akcent 4 5 3 2 2" xfId="24142"/>
    <cellStyle name="40% - akcent 4 5 3 2 2 2" xfId="24143"/>
    <cellStyle name="40% - akcent 4 5 3 2 2 2 2" xfId="24144"/>
    <cellStyle name="40% - akcent 4 5 3 2 2 3" xfId="24145"/>
    <cellStyle name="40% - akcent 4 5 3 2 3" xfId="24146"/>
    <cellStyle name="40% - akcent 4 5 3 2 3 2" xfId="24147"/>
    <cellStyle name="40% - akcent 4 5 3 2 3 2 2" xfId="24148"/>
    <cellStyle name="40% - akcent 4 5 3 2 3 3" xfId="24149"/>
    <cellStyle name="40% - akcent 4 5 3 2 4" xfId="24150"/>
    <cellStyle name="40% - akcent 4 5 3 2 4 2" xfId="24151"/>
    <cellStyle name="40% - akcent 4 5 3 2 4 2 2" xfId="24152"/>
    <cellStyle name="40% - akcent 4 5 3 2 4 3" xfId="24153"/>
    <cellStyle name="40% - akcent 4 5 3 2 5" xfId="24154"/>
    <cellStyle name="40% - akcent 4 5 3 2 5 2" xfId="24155"/>
    <cellStyle name="40% - akcent 4 5 3 2 6" xfId="24156"/>
    <cellStyle name="40% - akcent 4 5 3 3" xfId="24157"/>
    <cellStyle name="40% - akcent 4 5 3 3 2" xfId="24158"/>
    <cellStyle name="40% - akcent 4 5 3 3 2 2" xfId="24159"/>
    <cellStyle name="40% - akcent 4 5 3 3 3" xfId="24160"/>
    <cellStyle name="40% - akcent 4 5 3 4" xfId="24161"/>
    <cellStyle name="40% - akcent 4 5 3 4 2" xfId="24162"/>
    <cellStyle name="40% - akcent 4 5 3 4 2 2" xfId="24163"/>
    <cellStyle name="40% - akcent 4 5 3 4 3" xfId="24164"/>
    <cellStyle name="40% - akcent 4 5 3 5" xfId="24165"/>
    <cellStyle name="40% - akcent 4 5 3 5 2" xfId="24166"/>
    <cellStyle name="40% - akcent 4 5 3 5 2 2" xfId="24167"/>
    <cellStyle name="40% - akcent 4 5 3 5 3" xfId="24168"/>
    <cellStyle name="40% - akcent 4 5 3 6" xfId="24169"/>
    <cellStyle name="40% - akcent 4 5 3 6 2" xfId="24170"/>
    <cellStyle name="40% - akcent 4 5 3 7" xfId="24171"/>
    <cellStyle name="40% - akcent 4 5 4" xfId="24172"/>
    <cellStyle name="40% - akcent 4 5 4 2" xfId="24173"/>
    <cellStyle name="40% - akcent 4 5 4 2 2" xfId="24174"/>
    <cellStyle name="40% - akcent 4 5 4 2 2 2" xfId="24175"/>
    <cellStyle name="40% - akcent 4 5 4 2 3" xfId="24176"/>
    <cellStyle name="40% - akcent 4 5 4 3" xfId="24177"/>
    <cellStyle name="40% - akcent 4 5 4 3 2" xfId="24178"/>
    <cellStyle name="40% - akcent 4 5 4 3 2 2" xfId="24179"/>
    <cellStyle name="40% - akcent 4 5 4 3 3" xfId="24180"/>
    <cellStyle name="40% - akcent 4 5 4 4" xfId="24181"/>
    <cellStyle name="40% - akcent 4 5 4 4 2" xfId="24182"/>
    <cellStyle name="40% - akcent 4 5 4 4 2 2" xfId="24183"/>
    <cellStyle name="40% - akcent 4 5 4 4 3" xfId="24184"/>
    <cellStyle name="40% - akcent 4 5 4 5" xfId="24185"/>
    <cellStyle name="40% - akcent 4 5 4 5 2" xfId="24186"/>
    <cellStyle name="40% - akcent 4 5 4 6" xfId="24187"/>
    <cellStyle name="40% - akcent 4 5 5" xfId="24188"/>
    <cellStyle name="40% - akcent 4 5 5 2" xfId="24189"/>
    <cellStyle name="40% - akcent 4 5 5 2 2" xfId="24190"/>
    <cellStyle name="40% - akcent 4 5 5 2 2 2" xfId="24191"/>
    <cellStyle name="40% - akcent 4 5 5 2 3" xfId="24192"/>
    <cellStyle name="40% - akcent 4 5 5 3" xfId="24193"/>
    <cellStyle name="40% - akcent 4 5 5 3 2" xfId="24194"/>
    <cellStyle name="40% - akcent 4 5 5 3 2 2" xfId="24195"/>
    <cellStyle name="40% - akcent 4 5 5 3 3" xfId="24196"/>
    <cellStyle name="40% - akcent 4 5 5 4" xfId="24197"/>
    <cellStyle name="40% - akcent 4 5 5 4 2" xfId="24198"/>
    <cellStyle name="40% - akcent 4 5 5 4 2 2" xfId="24199"/>
    <cellStyle name="40% - akcent 4 5 5 4 3" xfId="24200"/>
    <cellStyle name="40% - akcent 4 5 5 5" xfId="24201"/>
    <cellStyle name="40% - akcent 4 5 5 5 2" xfId="24202"/>
    <cellStyle name="40% - akcent 4 5 5 6" xfId="24203"/>
    <cellStyle name="40% - akcent 4 5 6" xfId="24204"/>
    <cellStyle name="40% - akcent 4 5 6 2" xfId="24205"/>
    <cellStyle name="40% - akcent 4 5 6 2 2" xfId="24206"/>
    <cellStyle name="40% - akcent 4 5 6 2 2 2" xfId="24207"/>
    <cellStyle name="40% - akcent 4 5 6 2 3" xfId="24208"/>
    <cellStyle name="40% - akcent 4 5 6 3" xfId="24209"/>
    <cellStyle name="40% - akcent 4 5 6 3 2" xfId="24210"/>
    <cellStyle name="40% - akcent 4 5 6 3 2 2" xfId="24211"/>
    <cellStyle name="40% - akcent 4 5 6 3 3" xfId="24212"/>
    <cellStyle name="40% - akcent 4 5 6 4" xfId="24213"/>
    <cellStyle name="40% - akcent 4 5 6 4 2" xfId="24214"/>
    <cellStyle name="40% - akcent 4 5 6 4 2 2" xfId="24215"/>
    <cellStyle name="40% - akcent 4 5 6 4 3" xfId="24216"/>
    <cellStyle name="40% - akcent 4 5 6 5" xfId="24217"/>
    <cellStyle name="40% - akcent 4 5 6 5 2" xfId="24218"/>
    <cellStyle name="40% - akcent 4 5 6 6" xfId="24219"/>
    <cellStyle name="40% - akcent 4 5 7" xfId="24220"/>
    <cellStyle name="40% - akcent 4 5 8" xfId="24221"/>
    <cellStyle name="40% - akcent 4 5_2011'05 Raport PGE_DO-CO2" xfId="24222"/>
    <cellStyle name="40% - akcent 4 6" xfId="24223"/>
    <cellStyle name="40% - akcent 4 6 2" xfId="24224"/>
    <cellStyle name="40% - akcent 4 6 2 10" xfId="24225"/>
    <cellStyle name="40% - akcent 4 6 2 2" xfId="24226"/>
    <cellStyle name="40% - akcent 4 6 2 2 2" xfId="24227"/>
    <cellStyle name="40% - akcent 4 6 2 2 2 2" xfId="24228"/>
    <cellStyle name="40% - akcent 4 6 2 2 2 2 2" xfId="24229"/>
    <cellStyle name="40% - akcent 4 6 2 2 2 2 2 2" xfId="24230"/>
    <cellStyle name="40% - akcent 4 6 2 2 2 2 3" xfId="24231"/>
    <cellStyle name="40% - akcent 4 6 2 2 2 3" xfId="24232"/>
    <cellStyle name="40% - akcent 4 6 2 2 2 3 2" xfId="24233"/>
    <cellStyle name="40% - akcent 4 6 2 2 2 3 2 2" xfId="24234"/>
    <cellStyle name="40% - akcent 4 6 2 2 2 3 3" xfId="24235"/>
    <cellStyle name="40% - akcent 4 6 2 2 2 4" xfId="24236"/>
    <cellStyle name="40% - akcent 4 6 2 2 2 4 2" xfId="24237"/>
    <cellStyle name="40% - akcent 4 6 2 2 2 4 2 2" xfId="24238"/>
    <cellStyle name="40% - akcent 4 6 2 2 2 4 3" xfId="24239"/>
    <cellStyle name="40% - akcent 4 6 2 2 2 5" xfId="24240"/>
    <cellStyle name="40% - akcent 4 6 2 2 2 5 2" xfId="24241"/>
    <cellStyle name="40% - akcent 4 6 2 2 2 6" xfId="24242"/>
    <cellStyle name="40% - akcent 4 6 2 2 3" xfId="24243"/>
    <cellStyle name="40% - akcent 4 6 2 2 3 2" xfId="24244"/>
    <cellStyle name="40% - akcent 4 6 2 2 3 2 2" xfId="24245"/>
    <cellStyle name="40% - akcent 4 6 2 2 3 3" xfId="24246"/>
    <cellStyle name="40% - akcent 4 6 2 2 4" xfId="24247"/>
    <cellStyle name="40% - akcent 4 6 2 2 4 2" xfId="24248"/>
    <cellStyle name="40% - akcent 4 6 2 2 4 2 2" xfId="24249"/>
    <cellStyle name="40% - akcent 4 6 2 2 4 3" xfId="24250"/>
    <cellStyle name="40% - akcent 4 6 2 2 5" xfId="24251"/>
    <cellStyle name="40% - akcent 4 6 2 2 5 2" xfId="24252"/>
    <cellStyle name="40% - akcent 4 6 2 2 5 2 2" xfId="24253"/>
    <cellStyle name="40% - akcent 4 6 2 2 5 3" xfId="24254"/>
    <cellStyle name="40% - akcent 4 6 2 2 6" xfId="24255"/>
    <cellStyle name="40% - akcent 4 6 2 2 6 2" xfId="24256"/>
    <cellStyle name="40% - akcent 4 6 2 2 7" xfId="24257"/>
    <cellStyle name="40% - akcent 4 6 2 3" xfId="24258"/>
    <cellStyle name="40% - akcent 4 6 2 3 2" xfId="24259"/>
    <cellStyle name="40% - akcent 4 6 2 3 2 2" xfId="24260"/>
    <cellStyle name="40% - akcent 4 6 2 3 2 2 2" xfId="24261"/>
    <cellStyle name="40% - akcent 4 6 2 3 2 3" xfId="24262"/>
    <cellStyle name="40% - akcent 4 6 2 3 3" xfId="24263"/>
    <cellStyle name="40% - akcent 4 6 2 3 3 2" xfId="24264"/>
    <cellStyle name="40% - akcent 4 6 2 3 3 2 2" xfId="24265"/>
    <cellStyle name="40% - akcent 4 6 2 3 3 3" xfId="24266"/>
    <cellStyle name="40% - akcent 4 6 2 3 4" xfId="24267"/>
    <cellStyle name="40% - akcent 4 6 2 3 4 2" xfId="24268"/>
    <cellStyle name="40% - akcent 4 6 2 3 4 2 2" xfId="24269"/>
    <cellStyle name="40% - akcent 4 6 2 3 4 3" xfId="24270"/>
    <cellStyle name="40% - akcent 4 6 2 3 5" xfId="24271"/>
    <cellStyle name="40% - akcent 4 6 2 3 5 2" xfId="24272"/>
    <cellStyle name="40% - akcent 4 6 2 3 6" xfId="24273"/>
    <cellStyle name="40% - akcent 4 6 2 4" xfId="24274"/>
    <cellStyle name="40% - akcent 4 6 2 4 2" xfId="24275"/>
    <cellStyle name="40% - akcent 4 6 2 4 2 2" xfId="24276"/>
    <cellStyle name="40% - akcent 4 6 2 4 2 2 2" xfId="24277"/>
    <cellStyle name="40% - akcent 4 6 2 4 2 3" xfId="24278"/>
    <cellStyle name="40% - akcent 4 6 2 4 3" xfId="24279"/>
    <cellStyle name="40% - akcent 4 6 2 4 3 2" xfId="24280"/>
    <cellStyle name="40% - akcent 4 6 2 4 3 2 2" xfId="24281"/>
    <cellStyle name="40% - akcent 4 6 2 4 3 3" xfId="24282"/>
    <cellStyle name="40% - akcent 4 6 2 4 4" xfId="24283"/>
    <cellStyle name="40% - akcent 4 6 2 4 4 2" xfId="24284"/>
    <cellStyle name="40% - akcent 4 6 2 4 4 2 2" xfId="24285"/>
    <cellStyle name="40% - akcent 4 6 2 4 4 3" xfId="24286"/>
    <cellStyle name="40% - akcent 4 6 2 4 5" xfId="24287"/>
    <cellStyle name="40% - akcent 4 6 2 4 5 2" xfId="24288"/>
    <cellStyle name="40% - akcent 4 6 2 4 6" xfId="24289"/>
    <cellStyle name="40% - akcent 4 6 2 5" xfId="24290"/>
    <cellStyle name="40% - akcent 4 6 2 6" xfId="24291"/>
    <cellStyle name="40% - akcent 4 6 2 6 2" xfId="24292"/>
    <cellStyle name="40% - akcent 4 6 2 6 2 2" xfId="24293"/>
    <cellStyle name="40% - akcent 4 6 2 6 3" xfId="24294"/>
    <cellStyle name="40% - akcent 4 6 2 7" xfId="24295"/>
    <cellStyle name="40% - akcent 4 6 2 7 2" xfId="24296"/>
    <cellStyle name="40% - akcent 4 6 2 7 2 2" xfId="24297"/>
    <cellStyle name="40% - akcent 4 6 2 7 3" xfId="24298"/>
    <cellStyle name="40% - akcent 4 6 2 8" xfId="24299"/>
    <cellStyle name="40% - akcent 4 6 2 8 2" xfId="24300"/>
    <cellStyle name="40% - akcent 4 6 2 8 2 2" xfId="24301"/>
    <cellStyle name="40% - akcent 4 6 2 8 3" xfId="24302"/>
    <cellStyle name="40% - akcent 4 6 2 9" xfId="24303"/>
    <cellStyle name="40% - akcent 4 6 2 9 2" xfId="24304"/>
    <cellStyle name="40% - akcent 4 6 3" xfId="24305"/>
    <cellStyle name="40% - akcent 4 6 3 2" xfId="24306"/>
    <cellStyle name="40% - akcent 4 6 3 2 2" xfId="24307"/>
    <cellStyle name="40% - akcent 4 6 3 2 2 2" xfId="24308"/>
    <cellStyle name="40% - akcent 4 6 3 2 2 2 2" xfId="24309"/>
    <cellStyle name="40% - akcent 4 6 3 2 2 3" xfId="24310"/>
    <cellStyle name="40% - akcent 4 6 3 2 3" xfId="24311"/>
    <cellStyle name="40% - akcent 4 6 3 2 3 2" xfId="24312"/>
    <cellStyle name="40% - akcent 4 6 3 2 3 2 2" xfId="24313"/>
    <cellStyle name="40% - akcent 4 6 3 2 3 3" xfId="24314"/>
    <cellStyle name="40% - akcent 4 6 3 2 4" xfId="24315"/>
    <cellStyle name="40% - akcent 4 6 3 2 4 2" xfId="24316"/>
    <cellStyle name="40% - akcent 4 6 3 2 4 2 2" xfId="24317"/>
    <cellStyle name="40% - akcent 4 6 3 2 4 3" xfId="24318"/>
    <cellStyle name="40% - akcent 4 6 3 2 5" xfId="24319"/>
    <cellStyle name="40% - akcent 4 6 3 2 5 2" xfId="24320"/>
    <cellStyle name="40% - akcent 4 6 3 2 6" xfId="24321"/>
    <cellStyle name="40% - akcent 4 6 3 3" xfId="24322"/>
    <cellStyle name="40% - akcent 4 6 3 3 2" xfId="24323"/>
    <cellStyle name="40% - akcent 4 6 3 3 2 2" xfId="24324"/>
    <cellStyle name="40% - akcent 4 6 3 3 3" xfId="24325"/>
    <cellStyle name="40% - akcent 4 6 3 4" xfId="24326"/>
    <cellStyle name="40% - akcent 4 6 3 4 2" xfId="24327"/>
    <cellStyle name="40% - akcent 4 6 3 4 2 2" xfId="24328"/>
    <cellStyle name="40% - akcent 4 6 3 4 3" xfId="24329"/>
    <cellStyle name="40% - akcent 4 6 3 5" xfId="24330"/>
    <cellStyle name="40% - akcent 4 6 3 5 2" xfId="24331"/>
    <cellStyle name="40% - akcent 4 6 3 5 2 2" xfId="24332"/>
    <cellStyle name="40% - akcent 4 6 3 5 3" xfId="24333"/>
    <cellStyle name="40% - akcent 4 6 3 6" xfId="24334"/>
    <cellStyle name="40% - akcent 4 6 3 6 2" xfId="24335"/>
    <cellStyle name="40% - akcent 4 6 3 7" xfId="24336"/>
    <cellStyle name="40% - akcent 4 6 4" xfId="24337"/>
    <cellStyle name="40% - akcent 4 6 4 2" xfId="24338"/>
    <cellStyle name="40% - akcent 4 6 4 2 2" xfId="24339"/>
    <cellStyle name="40% - akcent 4 6 4 2 2 2" xfId="24340"/>
    <cellStyle name="40% - akcent 4 6 4 2 3" xfId="24341"/>
    <cellStyle name="40% - akcent 4 6 4 3" xfId="24342"/>
    <cellStyle name="40% - akcent 4 6 4 3 2" xfId="24343"/>
    <cellStyle name="40% - akcent 4 6 4 3 2 2" xfId="24344"/>
    <cellStyle name="40% - akcent 4 6 4 3 3" xfId="24345"/>
    <cellStyle name="40% - akcent 4 6 4 4" xfId="24346"/>
    <cellStyle name="40% - akcent 4 6 4 4 2" xfId="24347"/>
    <cellStyle name="40% - akcent 4 6 4 4 2 2" xfId="24348"/>
    <cellStyle name="40% - akcent 4 6 4 4 3" xfId="24349"/>
    <cellStyle name="40% - akcent 4 6 4 5" xfId="24350"/>
    <cellStyle name="40% - akcent 4 6 4 5 2" xfId="24351"/>
    <cellStyle name="40% - akcent 4 6 4 6" xfId="24352"/>
    <cellStyle name="40% - akcent 4 6 5" xfId="24353"/>
    <cellStyle name="40% - akcent 4 6 5 2" xfId="24354"/>
    <cellStyle name="40% - akcent 4 6 5 2 2" xfId="24355"/>
    <cellStyle name="40% - akcent 4 6 5 2 2 2" xfId="24356"/>
    <cellStyle name="40% - akcent 4 6 5 2 3" xfId="24357"/>
    <cellStyle name="40% - akcent 4 6 5 3" xfId="24358"/>
    <cellStyle name="40% - akcent 4 6 5 3 2" xfId="24359"/>
    <cellStyle name="40% - akcent 4 6 5 3 2 2" xfId="24360"/>
    <cellStyle name="40% - akcent 4 6 5 3 3" xfId="24361"/>
    <cellStyle name="40% - akcent 4 6 5 4" xfId="24362"/>
    <cellStyle name="40% - akcent 4 6 5 4 2" xfId="24363"/>
    <cellStyle name="40% - akcent 4 6 5 4 2 2" xfId="24364"/>
    <cellStyle name="40% - akcent 4 6 5 4 3" xfId="24365"/>
    <cellStyle name="40% - akcent 4 6 5 5" xfId="24366"/>
    <cellStyle name="40% - akcent 4 6 5 5 2" xfId="24367"/>
    <cellStyle name="40% - akcent 4 6 5 6" xfId="24368"/>
    <cellStyle name="40% - akcent 4 6 6" xfId="24369"/>
    <cellStyle name="40% - akcent 4 6 7" xfId="24370"/>
    <cellStyle name="40% - akcent 4 6 7 2" xfId="24371"/>
    <cellStyle name="40% - akcent 4 6 7 2 2" xfId="24372"/>
    <cellStyle name="40% - akcent 4 6 7 2 2 2" xfId="24373"/>
    <cellStyle name="40% - akcent 4 6 7 2 3" xfId="24374"/>
    <cellStyle name="40% - akcent 4 6 7 3" xfId="24375"/>
    <cellStyle name="40% - akcent 4 6 7 3 2" xfId="24376"/>
    <cellStyle name="40% - akcent 4 6 7 3 2 2" xfId="24377"/>
    <cellStyle name="40% - akcent 4 6 7 3 3" xfId="24378"/>
    <cellStyle name="40% - akcent 4 6 7 4" xfId="24379"/>
    <cellStyle name="40% - akcent 4 6 7 4 2" xfId="24380"/>
    <cellStyle name="40% - akcent 4 6 7 4 2 2" xfId="24381"/>
    <cellStyle name="40% - akcent 4 6 7 4 3" xfId="24382"/>
    <cellStyle name="40% - akcent 4 6 7 5" xfId="24383"/>
    <cellStyle name="40% - akcent 4 6 7 5 2" xfId="24384"/>
    <cellStyle name="40% - akcent 4 6 7 6" xfId="24385"/>
    <cellStyle name="40% - akcent 4 6_Arkusz1" xfId="24386"/>
    <cellStyle name="40% - akcent 4 7" xfId="24387"/>
    <cellStyle name="40% - akcent 4 7 2" xfId="24388"/>
    <cellStyle name="40% - akcent 4 7 2 10" xfId="24389"/>
    <cellStyle name="40% - akcent 4 7 2 2" xfId="24390"/>
    <cellStyle name="40% - akcent 4 7 2 2 2" xfId="24391"/>
    <cellStyle name="40% - akcent 4 7 2 2 2 2" xfId="24392"/>
    <cellStyle name="40% - akcent 4 7 2 2 2 2 2" xfId="24393"/>
    <cellStyle name="40% - akcent 4 7 2 2 2 2 2 2" xfId="24394"/>
    <cellStyle name="40% - akcent 4 7 2 2 2 2 3" xfId="24395"/>
    <cellStyle name="40% - akcent 4 7 2 2 2 3" xfId="24396"/>
    <cellStyle name="40% - akcent 4 7 2 2 2 3 2" xfId="24397"/>
    <cellStyle name="40% - akcent 4 7 2 2 2 3 2 2" xfId="24398"/>
    <cellStyle name="40% - akcent 4 7 2 2 2 3 3" xfId="24399"/>
    <cellStyle name="40% - akcent 4 7 2 2 2 4" xfId="24400"/>
    <cellStyle name="40% - akcent 4 7 2 2 2 4 2" xfId="24401"/>
    <cellStyle name="40% - akcent 4 7 2 2 2 4 2 2" xfId="24402"/>
    <cellStyle name="40% - akcent 4 7 2 2 2 4 3" xfId="24403"/>
    <cellStyle name="40% - akcent 4 7 2 2 2 5" xfId="24404"/>
    <cellStyle name="40% - akcent 4 7 2 2 2 5 2" xfId="24405"/>
    <cellStyle name="40% - akcent 4 7 2 2 2 6" xfId="24406"/>
    <cellStyle name="40% - akcent 4 7 2 2 3" xfId="24407"/>
    <cellStyle name="40% - akcent 4 7 2 2 3 2" xfId="24408"/>
    <cellStyle name="40% - akcent 4 7 2 2 3 2 2" xfId="24409"/>
    <cellStyle name="40% - akcent 4 7 2 2 3 3" xfId="24410"/>
    <cellStyle name="40% - akcent 4 7 2 2 4" xfId="24411"/>
    <cellStyle name="40% - akcent 4 7 2 2 4 2" xfId="24412"/>
    <cellStyle name="40% - akcent 4 7 2 2 4 2 2" xfId="24413"/>
    <cellStyle name="40% - akcent 4 7 2 2 4 3" xfId="24414"/>
    <cellStyle name="40% - akcent 4 7 2 2 5" xfId="24415"/>
    <cellStyle name="40% - akcent 4 7 2 2 5 2" xfId="24416"/>
    <cellStyle name="40% - akcent 4 7 2 2 5 2 2" xfId="24417"/>
    <cellStyle name="40% - akcent 4 7 2 2 5 3" xfId="24418"/>
    <cellStyle name="40% - akcent 4 7 2 2 6" xfId="24419"/>
    <cellStyle name="40% - akcent 4 7 2 2 6 2" xfId="24420"/>
    <cellStyle name="40% - akcent 4 7 2 2 7" xfId="24421"/>
    <cellStyle name="40% - akcent 4 7 2 3" xfId="24422"/>
    <cellStyle name="40% - akcent 4 7 2 3 2" xfId="24423"/>
    <cellStyle name="40% - akcent 4 7 2 3 2 2" xfId="24424"/>
    <cellStyle name="40% - akcent 4 7 2 3 2 2 2" xfId="24425"/>
    <cellStyle name="40% - akcent 4 7 2 3 2 3" xfId="24426"/>
    <cellStyle name="40% - akcent 4 7 2 3 3" xfId="24427"/>
    <cellStyle name="40% - akcent 4 7 2 3 3 2" xfId="24428"/>
    <cellStyle name="40% - akcent 4 7 2 3 3 2 2" xfId="24429"/>
    <cellStyle name="40% - akcent 4 7 2 3 3 3" xfId="24430"/>
    <cellStyle name="40% - akcent 4 7 2 3 4" xfId="24431"/>
    <cellStyle name="40% - akcent 4 7 2 3 4 2" xfId="24432"/>
    <cellStyle name="40% - akcent 4 7 2 3 4 2 2" xfId="24433"/>
    <cellStyle name="40% - akcent 4 7 2 3 4 3" xfId="24434"/>
    <cellStyle name="40% - akcent 4 7 2 3 5" xfId="24435"/>
    <cellStyle name="40% - akcent 4 7 2 3 5 2" xfId="24436"/>
    <cellStyle name="40% - akcent 4 7 2 3 6" xfId="24437"/>
    <cellStyle name="40% - akcent 4 7 2 4" xfId="24438"/>
    <cellStyle name="40% - akcent 4 7 2 4 2" xfId="24439"/>
    <cellStyle name="40% - akcent 4 7 2 4 2 2" xfId="24440"/>
    <cellStyle name="40% - akcent 4 7 2 4 2 2 2" xfId="24441"/>
    <cellStyle name="40% - akcent 4 7 2 4 2 3" xfId="24442"/>
    <cellStyle name="40% - akcent 4 7 2 4 3" xfId="24443"/>
    <cellStyle name="40% - akcent 4 7 2 4 3 2" xfId="24444"/>
    <cellStyle name="40% - akcent 4 7 2 4 3 2 2" xfId="24445"/>
    <cellStyle name="40% - akcent 4 7 2 4 3 3" xfId="24446"/>
    <cellStyle name="40% - akcent 4 7 2 4 4" xfId="24447"/>
    <cellStyle name="40% - akcent 4 7 2 4 4 2" xfId="24448"/>
    <cellStyle name="40% - akcent 4 7 2 4 4 2 2" xfId="24449"/>
    <cellStyle name="40% - akcent 4 7 2 4 4 3" xfId="24450"/>
    <cellStyle name="40% - akcent 4 7 2 4 5" xfId="24451"/>
    <cellStyle name="40% - akcent 4 7 2 4 5 2" xfId="24452"/>
    <cellStyle name="40% - akcent 4 7 2 4 6" xfId="24453"/>
    <cellStyle name="40% - akcent 4 7 2 5" xfId="24454"/>
    <cellStyle name="40% - akcent 4 7 2 6" xfId="24455"/>
    <cellStyle name="40% - akcent 4 7 2 6 2" xfId="24456"/>
    <cellStyle name="40% - akcent 4 7 2 6 2 2" xfId="24457"/>
    <cellStyle name="40% - akcent 4 7 2 6 3" xfId="24458"/>
    <cellStyle name="40% - akcent 4 7 2 7" xfId="24459"/>
    <cellStyle name="40% - akcent 4 7 2 7 2" xfId="24460"/>
    <cellStyle name="40% - akcent 4 7 2 7 2 2" xfId="24461"/>
    <cellStyle name="40% - akcent 4 7 2 7 3" xfId="24462"/>
    <cellStyle name="40% - akcent 4 7 2 8" xfId="24463"/>
    <cellStyle name="40% - akcent 4 7 2 8 2" xfId="24464"/>
    <cellStyle name="40% - akcent 4 7 2 8 2 2" xfId="24465"/>
    <cellStyle name="40% - akcent 4 7 2 8 3" xfId="24466"/>
    <cellStyle name="40% - akcent 4 7 2 9" xfId="24467"/>
    <cellStyle name="40% - akcent 4 7 2 9 2" xfId="24468"/>
    <cellStyle name="40% - akcent 4 7 3" xfId="24469"/>
    <cellStyle name="40% - akcent 4 7 3 2" xfId="24470"/>
    <cellStyle name="40% - akcent 4 7 3 2 2" xfId="24471"/>
    <cellStyle name="40% - akcent 4 7 3 2 2 2" xfId="24472"/>
    <cellStyle name="40% - akcent 4 7 3 2 2 2 2" xfId="24473"/>
    <cellStyle name="40% - akcent 4 7 3 2 2 3" xfId="24474"/>
    <cellStyle name="40% - akcent 4 7 3 2 3" xfId="24475"/>
    <cellStyle name="40% - akcent 4 7 3 2 3 2" xfId="24476"/>
    <cellStyle name="40% - akcent 4 7 3 2 3 2 2" xfId="24477"/>
    <cellStyle name="40% - akcent 4 7 3 2 3 3" xfId="24478"/>
    <cellStyle name="40% - akcent 4 7 3 2 4" xfId="24479"/>
    <cellStyle name="40% - akcent 4 7 3 2 4 2" xfId="24480"/>
    <cellStyle name="40% - akcent 4 7 3 2 4 2 2" xfId="24481"/>
    <cellStyle name="40% - akcent 4 7 3 2 4 3" xfId="24482"/>
    <cellStyle name="40% - akcent 4 7 3 2 5" xfId="24483"/>
    <cellStyle name="40% - akcent 4 7 3 2 5 2" xfId="24484"/>
    <cellStyle name="40% - akcent 4 7 3 2 6" xfId="24485"/>
    <cellStyle name="40% - akcent 4 7 3 3" xfId="24486"/>
    <cellStyle name="40% - akcent 4 7 3 3 2" xfId="24487"/>
    <cellStyle name="40% - akcent 4 7 3 3 2 2" xfId="24488"/>
    <cellStyle name="40% - akcent 4 7 3 3 3" xfId="24489"/>
    <cellStyle name="40% - akcent 4 7 3 4" xfId="24490"/>
    <cellStyle name="40% - akcent 4 7 3 4 2" xfId="24491"/>
    <cellStyle name="40% - akcent 4 7 3 4 2 2" xfId="24492"/>
    <cellStyle name="40% - akcent 4 7 3 4 3" xfId="24493"/>
    <cellStyle name="40% - akcent 4 7 3 5" xfId="24494"/>
    <cellStyle name="40% - akcent 4 7 3 5 2" xfId="24495"/>
    <cellStyle name="40% - akcent 4 7 3 5 2 2" xfId="24496"/>
    <cellStyle name="40% - akcent 4 7 3 5 3" xfId="24497"/>
    <cellStyle name="40% - akcent 4 7 3 6" xfId="24498"/>
    <cellStyle name="40% - akcent 4 7 3 6 2" xfId="24499"/>
    <cellStyle name="40% - akcent 4 7 3 7" xfId="24500"/>
    <cellStyle name="40% - akcent 4 7 4" xfId="24501"/>
    <cellStyle name="40% - akcent 4 7 4 2" xfId="24502"/>
    <cellStyle name="40% - akcent 4 7 4 2 2" xfId="24503"/>
    <cellStyle name="40% - akcent 4 7 4 2 2 2" xfId="24504"/>
    <cellStyle name="40% - akcent 4 7 4 2 3" xfId="24505"/>
    <cellStyle name="40% - akcent 4 7 4 3" xfId="24506"/>
    <cellStyle name="40% - akcent 4 7 4 3 2" xfId="24507"/>
    <cellStyle name="40% - akcent 4 7 4 3 2 2" xfId="24508"/>
    <cellStyle name="40% - akcent 4 7 4 3 3" xfId="24509"/>
    <cellStyle name="40% - akcent 4 7 4 4" xfId="24510"/>
    <cellStyle name="40% - akcent 4 7 4 4 2" xfId="24511"/>
    <cellStyle name="40% - akcent 4 7 4 4 2 2" xfId="24512"/>
    <cellStyle name="40% - akcent 4 7 4 4 3" xfId="24513"/>
    <cellStyle name="40% - akcent 4 7 4 5" xfId="24514"/>
    <cellStyle name="40% - akcent 4 7 4 5 2" xfId="24515"/>
    <cellStyle name="40% - akcent 4 7 4 6" xfId="24516"/>
    <cellStyle name="40% - akcent 4 7 5" xfId="24517"/>
    <cellStyle name="40% - akcent 4 7 5 2" xfId="24518"/>
    <cellStyle name="40% - akcent 4 7 5 2 2" xfId="24519"/>
    <cellStyle name="40% - akcent 4 7 5 2 2 2" xfId="24520"/>
    <cellStyle name="40% - akcent 4 7 5 2 3" xfId="24521"/>
    <cellStyle name="40% - akcent 4 7 5 3" xfId="24522"/>
    <cellStyle name="40% - akcent 4 7 5 3 2" xfId="24523"/>
    <cellStyle name="40% - akcent 4 7 5 3 2 2" xfId="24524"/>
    <cellStyle name="40% - akcent 4 7 5 3 3" xfId="24525"/>
    <cellStyle name="40% - akcent 4 7 5 4" xfId="24526"/>
    <cellStyle name="40% - akcent 4 7 5 4 2" xfId="24527"/>
    <cellStyle name="40% - akcent 4 7 5 4 2 2" xfId="24528"/>
    <cellStyle name="40% - akcent 4 7 5 4 3" xfId="24529"/>
    <cellStyle name="40% - akcent 4 7 5 5" xfId="24530"/>
    <cellStyle name="40% - akcent 4 7 5 5 2" xfId="24531"/>
    <cellStyle name="40% - akcent 4 7 5 6" xfId="24532"/>
    <cellStyle name="40% - akcent 4 7 6" xfId="24533"/>
    <cellStyle name="40% - akcent 4 7 7" xfId="24534"/>
    <cellStyle name="40% - akcent 4 7 7 2" xfId="24535"/>
    <cellStyle name="40% - akcent 4 7 7 2 2" xfId="24536"/>
    <cellStyle name="40% - akcent 4 7 7 2 2 2" xfId="24537"/>
    <cellStyle name="40% - akcent 4 7 7 2 3" xfId="24538"/>
    <cellStyle name="40% - akcent 4 7 7 3" xfId="24539"/>
    <cellStyle name="40% - akcent 4 7 7 3 2" xfId="24540"/>
    <cellStyle name="40% - akcent 4 7 7 3 2 2" xfId="24541"/>
    <cellStyle name="40% - akcent 4 7 7 3 3" xfId="24542"/>
    <cellStyle name="40% - akcent 4 7 7 4" xfId="24543"/>
    <cellStyle name="40% - akcent 4 7 7 4 2" xfId="24544"/>
    <cellStyle name="40% - akcent 4 7 7 4 2 2" xfId="24545"/>
    <cellStyle name="40% - akcent 4 7 7 4 3" xfId="24546"/>
    <cellStyle name="40% - akcent 4 7 7 5" xfId="24547"/>
    <cellStyle name="40% - akcent 4 7 7 5 2" xfId="24548"/>
    <cellStyle name="40% - akcent 4 7 7 6" xfId="24549"/>
    <cellStyle name="40% - akcent 4 7_Arkusz1" xfId="24550"/>
    <cellStyle name="40% - akcent 4 8" xfId="24551"/>
    <cellStyle name="40% - akcent 4 8 2" xfId="24552"/>
    <cellStyle name="40% - akcent 4 8 3" xfId="24553"/>
    <cellStyle name="40% - akcent 4 8_Arkusz1" xfId="24554"/>
    <cellStyle name="40% - akcent 4 9" xfId="24555"/>
    <cellStyle name="40% - akcent 4 9 2" xfId="24556"/>
    <cellStyle name="40% - akcent 4 9_Arkusz1" xfId="24557"/>
    <cellStyle name="40% - akcent 5 10" xfId="24558"/>
    <cellStyle name="40% - akcent 5 10 2" xfId="24559"/>
    <cellStyle name="40% - akcent 5 10_Arkusz1" xfId="24560"/>
    <cellStyle name="40% - akcent 5 11" xfId="24561"/>
    <cellStyle name="40% - akcent 5 12" xfId="24562"/>
    <cellStyle name="40% - akcent 5 13" xfId="24563"/>
    <cellStyle name="40% - akcent 5 2" xfId="24564"/>
    <cellStyle name="40% - akcent 5 2 10" xfId="24565"/>
    <cellStyle name="40% - akcent 5 2 11" xfId="24566"/>
    <cellStyle name="40% - akcent 5 2 11 2" xfId="24567"/>
    <cellStyle name="40% - akcent 5 2 2" xfId="24568"/>
    <cellStyle name="40% - akcent 5 2 2 2" xfId="24569"/>
    <cellStyle name="40% - akcent 5 2 2 2 2" xfId="24570"/>
    <cellStyle name="40% - akcent 5 2 2 2 2 2" xfId="24571"/>
    <cellStyle name="40% - akcent 5 2 2 2 2 2 2" xfId="24572"/>
    <cellStyle name="40% - akcent 5 2 2 2 2 2 2 2" xfId="24573"/>
    <cellStyle name="40% - akcent 5 2 2 2 2 2 2 2 2" xfId="24574"/>
    <cellStyle name="40% - akcent 5 2 2 2 2 2 2 2 2 2" xfId="24575"/>
    <cellStyle name="40% - akcent 5 2 2 2 2 2 2 2 3" xfId="24576"/>
    <cellStyle name="40% - akcent 5 2 2 2 2 2 2 3" xfId="24577"/>
    <cellStyle name="40% - akcent 5 2 2 2 2 2 2 3 2" xfId="24578"/>
    <cellStyle name="40% - akcent 5 2 2 2 2 2 2 3 2 2" xfId="24579"/>
    <cellStyle name="40% - akcent 5 2 2 2 2 2 2 3 3" xfId="24580"/>
    <cellStyle name="40% - akcent 5 2 2 2 2 2 2 4" xfId="24581"/>
    <cellStyle name="40% - akcent 5 2 2 2 2 2 2 4 2" xfId="24582"/>
    <cellStyle name="40% - akcent 5 2 2 2 2 2 2 4 2 2" xfId="24583"/>
    <cellStyle name="40% - akcent 5 2 2 2 2 2 2 4 3" xfId="24584"/>
    <cellStyle name="40% - akcent 5 2 2 2 2 2 2 5" xfId="24585"/>
    <cellStyle name="40% - akcent 5 2 2 2 2 2 2 5 2" xfId="24586"/>
    <cellStyle name="40% - akcent 5 2 2 2 2 2 2 6" xfId="24587"/>
    <cellStyle name="40% - akcent 5 2 2 2 2 2 3" xfId="24588"/>
    <cellStyle name="40% - akcent 5 2 2 2 2 2 3 2" xfId="24589"/>
    <cellStyle name="40% - akcent 5 2 2 2 2 2 3 2 2" xfId="24590"/>
    <cellStyle name="40% - akcent 5 2 2 2 2 2 3 3" xfId="24591"/>
    <cellStyle name="40% - akcent 5 2 2 2 2 2 4" xfId="24592"/>
    <cellStyle name="40% - akcent 5 2 2 2 2 2 4 2" xfId="24593"/>
    <cellStyle name="40% - akcent 5 2 2 2 2 2 4 2 2" xfId="24594"/>
    <cellStyle name="40% - akcent 5 2 2 2 2 2 4 3" xfId="24595"/>
    <cellStyle name="40% - akcent 5 2 2 2 2 2 5" xfId="24596"/>
    <cellStyle name="40% - akcent 5 2 2 2 2 2 5 2" xfId="24597"/>
    <cellStyle name="40% - akcent 5 2 2 2 2 2 5 2 2" xfId="24598"/>
    <cellStyle name="40% - akcent 5 2 2 2 2 2 5 3" xfId="24599"/>
    <cellStyle name="40% - akcent 5 2 2 2 2 2 6" xfId="24600"/>
    <cellStyle name="40% - akcent 5 2 2 2 2 2 6 2" xfId="24601"/>
    <cellStyle name="40% - akcent 5 2 2 2 2 2 7" xfId="24602"/>
    <cellStyle name="40% - akcent 5 2 2 2 2 3" xfId="24603"/>
    <cellStyle name="40% - akcent 5 2 2 2 2 3 2" xfId="24604"/>
    <cellStyle name="40% - akcent 5 2 2 2 2 3 2 2" xfId="24605"/>
    <cellStyle name="40% - akcent 5 2 2 2 2 3 2 2 2" xfId="24606"/>
    <cellStyle name="40% - akcent 5 2 2 2 2 3 2 3" xfId="24607"/>
    <cellStyle name="40% - akcent 5 2 2 2 2 3 3" xfId="24608"/>
    <cellStyle name="40% - akcent 5 2 2 2 2 3 3 2" xfId="24609"/>
    <cellStyle name="40% - akcent 5 2 2 2 2 3 3 2 2" xfId="24610"/>
    <cellStyle name="40% - akcent 5 2 2 2 2 3 3 3" xfId="24611"/>
    <cellStyle name="40% - akcent 5 2 2 2 2 3 4" xfId="24612"/>
    <cellStyle name="40% - akcent 5 2 2 2 2 3 4 2" xfId="24613"/>
    <cellStyle name="40% - akcent 5 2 2 2 2 3 4 2 2" xfId="24614"/>
    <cellStyle name="40% - akcent 5 2 2 2 2 3 4 3" xfId="24615"/>
    <cellStyle name="40% - akcent 5 2 2 2 2 3 5" xfId="24616"/>
    <cellStyle name="40% - akcent 5 2 2 2 2 3 5 2" xfId="24617"/>
    <cellStyle name="40% - akcent 5 2 2 2 2 3 6" xfId="24618"/>
    <cellStyle name="40% - akcent 5 2 2 2 2 4" xfId="24619"/>
    <cellStyle name="40% - akcent 5 2 2 2 2 4 2" xfId="24620"/>
    <cellStyle name="40% - akcent 5 2 2 2 2 4 2 2" xfId="24621"/>
    <cellStyle name="40% - akcent 5 2 2 2 2 4 2 2 2" xfId="24622"/>
    <cellStyle name="40% - akcent 5 2 2 2 2 4 2 3" xfId="24623"/>
    <cellStyle name="40% - akcent 5 2 2 2 2 4 3" xfId="24624"/>
    <cellStyle name="40% - akcent 5 2 2 2 2 4 3 2" xfId="24625"/>
    <cellStyle name="40% - akcent 5 2 2 2 2 4 3 2 2" xfId="24626"/>
    <cellStyle name="40% - akcent 5 2 2 2 2 4 3 3" xfId="24627"/>
    <cellStyle name="40% - akcent 5 2 2 2 2 4 4" xfId="24628"/>
    <cellStyle name="40% - akcent 5 2 2 2 2 4 4 2" xfId="24629"/>
    <cellStyle name="40% - akcent 5 2 2 2 2 4 4 2 2" xfId="24630"/>
    <cellStyle name="40% - akcent 5 2 2 2 2 4 4 3" xfId="24631"/>
    <cellStyle name="40% - akcent 5 2 2 2 2 4 5" xfId="24632"/>
    <cellStyle name="40% - akcent 5 2 2 2 2 4 5 2" xfId="24633"/>
    <cellStyle name="40% - akcent 5 2 2 2 2 4 6" xfId="24634"/>
    <cellStyle name="40% - akcent 5 2 2 2 2 5" xfId="24635"/>
    <cellStyle name="40% - akcent 5 2 2 2 2 5 2" xfId="24636"/>
    <cellStyle name="40% - akcent 5 2 2 2 2 5 2 2" xfId="24637"/>
    <cellStyle name="40% - akcent 5 2 2 2 2 5 3" xfId="24638"/>
    <cellStyle name="40% - akcent 5 2 2 2 2 6" xfId="24639"/>
    <cellStyle name="40% - akcent 5 2 2 2 2 6 2" xfId="24640"/>
    <cellStyle name="40% - akcent 5 2 2 2 2 6 2 2" xfId="24641"/>
    <cellStyle name="40% - akcent 5 2 2 2 2 6 3" xfId="24642"/>
    <cellStyle name="40% - akcent 5 2 2 2 2 7" xfId="24643"/>
    <cellStyle name="40% - akcent 5 2 2 2 2 7 2" xfId="24644"/>
    <cellStyle name="40% - akcent 5 2 2 2 2 7 2 2" xfId="24645"/>
    <cellStyle name="40% - akcent 5 2 2 2 2 7 3" xfId="24646"/>
    <cellStyle name="40% - akcent 5 2 2 2 2 8" xfId="24647"/>
    <cellStyle name="40% - akcent 5 2 2 2 2 8 2" xfId="24648"/>
    <cellStyle name="40% - akcent 5 2 2 2 2 9" xfId="24649"/>
    <cellStyle name="40% - akcent 5 2 2 2 3" xfId="24650"/>
    <cellStyle name="40% - akcent 5 2 2 2 3 2" xfId="24651"/>
    <cellStyle name="40% - akcent 5 2 2 2 3 2 2" xfId="24652"/>
    <cellStyle name="40% - akcent 5 2 2 2 3 2 2 2" xfId="24653"/>
    <cellStyle name="40% - akcent 5 2 2 2 3 2 2 2 2" xfId="24654"/>
    <cellStyle name="40% - akcent 5 2 2 2 3 2 2 3" xfId="24655"/>
    <cellStyle name="40% - akcent 5 2 2 2 3 2 3" xfId="24656"/>
    <cellStyle name="40% - akcent 5 2 2 2 3 2 3 2" xfId="24657"/>
    <cellStyle name="40% - akcent 5 2 2 2 3 2 3 2 2" xfId="24658"/>
    <cellStyle name="40% - akcent 5 2 2 2 3 2 3 3" xfId="24659"/>
    <cellStyle name="40% - akcent 5 2 2 2 3 2 4" xfId="24660"/>
    <cellStyle name="40% - akcent 5 2 2 2 3 2 4 2" xfId="24661"/>
    <cellStyle name="40% - akcent 5 2 2 2 3 2 4 2 2" xfId="24662"/>
    <cellStyle name="40% - akcent 5 2 2 2 3 2 4 3" xfId="24663"/>
    <cellStyle name="40% - akcent 5 2 2 2 3 2 5" xfId="24664"/>
    <cellStyle name="40% - akcent 5 2 2 2 3 2 5 2" xfId="24665"/>
    <cellStyle name="40% - akcent 5 2 2 2 3 2 6" xfId="24666"/>
    <cellStyle name="40% - akcent 5 2 2 2 3 3" xfId="24667"/>
    <cellStyle name="40% - akcent 5 2 2 2 3 3 2" xfId="24668"/>
    <cellStyle name="40% - akcent 5 2 2 2 3 3 2 2" xfId="24669"/>
    <cellStyle name="40% - akcent 5 2 2 2 3 3 3" xfId="24670"/>
    <cellStyle name="40% - akcent 5 2 2 2 3 4" xfId="24671"/>
    <cellStyle name="40% - akcent 5 2 2 2 3 4 2" xfId="24672"/>
    <cellStyle name="40% - akcent 5 2 2 2 3 4 2 2" xfId="24673"/>
    <cellStyle name="40% - akcent 5 2 2 2 3 4 3" xfId="24674"/>
    <cellStyle name="40% - akcent 5 2 2 2 3 5" xfId="24675"/>
    <cellStyle name="40% - akcent 5 2 2 2 3 5 2" xfId="24676"/>
    <cellStyle name="40% - akcent 5 2 2 2 3 5 2 2" xfId="24677"/>
    <cellStyle name="40% - akcent 5 2 2 2 3 5 3" xfId="24678"/>
    <cellStyle name="40% - akcent 5 2 2 2 3 6" xfId="24679"/>
    <cellStyle name="40% - akcent 5 2 2 2 3 6 2" xfId="24680"/>
    <cellStyle name="40% - akcent 5 2 2 2 3 7" xfId="24681"/>
    <cellStyle name="40% - akcent 5 2 2 2 4" xfId="24682"/>
    <cellStyle name="40% - akcent 5 2 2 2 4 2" xfId="24683"/>
    <cellStyle name="40% - akcent 5 2 2 2 4 2 2" xfId="24684"/>
    <cellStyle name="40% - akcent 5 2 2 2 4 2 2 2" xfId="24685"/>
    <cellStyle name="40% - akcent 5 2 2 2 4 2 3" xfId="24686"/>
    <cellStyle name="40% - akcent 5 2 2 2 4 3" xfId="24687"/>
    <cellStyle name="40% - akcent 5 2 2 2 4 3 2" xfId="24688"/>
    <cellStyle name="40% - akcent 5 2 2 2 4 3 2 2" xfId="24689"/>
    <cellStyle name="40% - akcent 5 2 2 2 4 3 3" xfId="24690"/>
    <cellStyle name="40% - akcent 5 2 2 2 4 4" xfId="24691"/>
    <cellStyle name="40% - akcent 5 2 2 2 4 4 2" xfId="24692"/>
    <cellStyle name="40% - akcent 5 2 2 2 4 4 2 2" xfId="24693"/>
    <cellStyle name="40% - akcent 5 2 2 2 4 4 3" xfId="24694"/>
    <cellStyle name="40% - akcent 5 2 2 2 4 5" xfId="24695"/>
    <cellStyle name="40% - akcent 5 2 2 2 4 5 2" xfId="24696"/>
    <cellStyle name="40% - akcent 5 2 2 2 4 6" xfId="24697"/>
    <cellStyle name="40% - akcent 5 2 2 2 5" xfId="24698"/>
    <cellStyle name="40% - akcent 5 2 2 2 5 2" xfId="24699"/>
    <cellStyle name="40% - akcent 5 2 2 2 5 2 2" xfId="24700"/>
    <cellStyle name="40% - akcent 5 2 2 2 5 2 2 2" xfId="24701"/>
    <cellStyle name="40% - akcent 5 2 2 2 5 2 3" xfId="24702"/>
    <cellStyle name="40% - akcent 5 2 2 2 5 3" xfId="24703"/>
    <cellStyle name="40% - akcent 5 2 2 2 5 3 2" xfId="24704"/>
    <cellStyle name="40% - akcent 5 2 2 2 5 3 2 2" xfId="24705"/>
    <cellStyle name="40% - akcent 5 2 2 2 5 3 3" xfId="24706"/>
    <cellStyle name="40% - akcent 5 2 2 2 5 4" xfId="24707"/>
    <cellStyle name="40% - akcent 5 2 2 2 5 4 2" xfId="24708"/>
    <cellStyle name="40% - akcent 5 2 2 2 5 4 2 2" xfId="24709"/>
    <cellStyle name="40% - akcent 5 2 2 2 5 4 3" xfId="24710"/>
    <cellStyle name="40% - akcent 5 2 2 2 5 5" xfId="24711"/>
    <cellStyle name="40% - akcent 5 2 2 2 5 5 2" xfId="24712"/>
    <cellStyle name="40% - akcent 5 2 2 2 5 6" xfId="24713"/>
    <cellStyle name="40% - akcent 5 2 2 2 6" xfId="24714"/>
    <cellStyle name="40% - akcent 5 2 2 2 6 2" xfId="24715"/>
    <cellStyle name="40% - akcent 5 2 2 2 6 2 2" xfId="24716"/>
    <cellStyle name="40% - akcent 5 2 2 2 6 2 2 2" xfId="24717"/>
    <cellStyle name="40% - akcent 5 2 2 2 6 2 3" xfId="24718"/>
    <cellStyle name="40% - akcent 5 2 2 2 6 3" xfId="24719"/>
    <cellStyle name="40% - akcent 5 2 2 2 6 3 2" xfId="24720"/>
    <cellStyle name="40% - akcent 5 2 2 2 6 3 2 2" xfId="24721"/>
    <cellStyle name="40% - akcent 5 2 2 2 6 3 3" xfId="24722"/>
    <cellStyle name="40% - akcent 5 2 2 2 6 4" xfId="24723"/>
    <cellStyle name="40% - akcent 5 2 2 2 6 4 2" xfId="24724"/>
    <cellStyle name="40% - akcent 5 2 2 2 6 4 2 2" xfId="24725"/>
    <cellStyle name="40% - akcent 5 2 2 2 6 4 3" xfId="24726"/>
    <cellStyle name="40% - akcent 5 2 2 2 6 5" xfId="24727"/>
    <cellStyle name="40% - akcent 5 2 2 2 6 5 2" xfId="24728"/>
    <cellStyle name="40% - akcent 5 2 2 2 6 6" xfId="24729"/>
    <cellStyle name="40% - akcent 5 2 2 3" xfId="24730"/>
    <cellStyle name="40% - akcent 5 2 2 3 2" xfId="24731"/>
    <cellStyle name="40% - akcent 5 2 2 3 2 2" xfId="24732"/>
    <cellStyle name="40% - akcent 5 2 2 3 2 2 2" xfId="24733"/>
    <cellStyle name="40% - akcent 5 2 2 3 2 2 2 2" xfId="24734"/>
    <cellStyle name="40% - akcent 5 2 2 3 2 2 2 2 2" xfId="24735"/>
    <cellStyle name="40% - akcent 5 2 2 3 2 2 2 3" xfId="24736"/>
    <cellStyle name="40% - akcent 5 2 2 3 2 2 3" xfId="24737"/>
    <cellStyle name="40% - akcent 5 2 2 3 2 2 3 2" xfId="24738"/>
    <cellStyle name="40% - akcent 5 2 2 3 2 2 3 2 2" xfId="24739"/>
    <cellStyle name="40% - akcent 5 2 2 3 2 2 3 3" xfId="24740"/>
    <cellStyle name="40% - akcent 5 2 2 3 2 2 4" xfId="24741"/>
    <cellStyle name="40% - akcent 5 2 2 3 2 2 4 2" xfId="24742"/>
    <cellStyle name="40% - akcent 5 2 2 3 2 2 4 2 2" xfId="24743"/>
    <cellStyle name="40% - akcent 5 2 2 3 2 2 4 3" xfId="24744"/>
    <cellStyle name="40% - akcent 5 2 2 3 2 2 5" xfId="24745"/>
    <cellStyle name="40% - akcent 5 2 2 3 2 2 5 2" xfId="24746"/>
    <cellStyle name="40% - akcent 5 2 2 3 2 2 6" xfId="24747"/>
    <cellStyle name="40% - akcent 5 2 2 3 2 3" xfId="24748"/>
    <cellStyle name="40% - akcent 5 2 2 3 2 3 2" xfId="24749"/>
    <cellStyle name="40% - akcent 5 2 2 3 2 3 2 2" xfId="24750"/>
    <cellStyle name="40% - akcent 5 2 2 3 2 3 3" xfId="24751"/>
    <cellStyle name="40% - akcent 5 2 2 3 2 4" xfId="24752"/>
    <cellStyle name="40% - akcent 5 2 2 3 2 4 2" xfId="24753"/>
    <cellStyle name="40% - akcent 5 2 2 3 2 4 2 2" xfId="24754"/>
    <cellStyle name="40% - akcent 5 2 2 3 2 4 3" xfId="24755"/>
    <cellStyle name="40% - akcent 5 2 2 3 2 5" xfId="24756"/>
    <cellStyle name="40% - akcent 5 2 2 3 2 5 2" xfId="24757"/>
    <cellStyle name="40% - akcent 5 2 2 3 2 5 2 2" xfId="24758"/>
    <cellStyle name="40% - akcent 5 2 2 3 2 5 3" xfId="24759"/>
    <cellStyle name="40% - akcent 5 2 2 3 2 6" xfId="24760"/>
    <cellStyle name="40% - akcent 5 2 2 3 2 6 2" xfId="24761"/>
    <cellStyle name="40% - akcent 5 2 2 3 2 7" xfId="24762"/>
    <cellStyle name="40% - akcent 5 2 2 3 3" xfId="24763"/>
    <cellStyle name="40% - akcent 5 2 2 3 3 2" xfId="24764"/>
    <cellStyle name="40% - akcent 5 2 2 3 3 2 2" xfId="24765"/>
    <cellStyle name="40% - akcent 5 2 2 3 3 2 2 2" xfId="24766"/>
    <cellStyle name="40% - akcent 5 2 2 3 3 2 3" xfId="24767"/>
    <cellStyle name="40% - akcent 5 2 2 3 3 3" xfId="24768"/>
    <cellStyle name="40% - akcent 5 2 2 3 3 3 2" xfId="24769"/>
    <cellStyle name="40% - akcent 5 2 2 3 3 3 2 2" xfId="24770"/>
    <cellStyle name="40% - akcent 5 2 2 3 3 3 3" xfId="24771"/>
    <cellStyle name="40% - akcent 5 2 2 3 3 4" xfId="24772"/>
    <cellStyle name="40% - akcent 5 2 2 3 3 4 2" xfId="24773"/>
    <cellStyle name="40% - akcent 5 2 2 3 3 4 2 2" xfId="24774"/>
    <cellStyle name="40% - akcent 5 2 2 3 3 4 3" xfId="24775"/>
    <cellStyle name="40% - akcent 5 2 2 3 3 5" xfId="24776"/>
    <cellStyle name="40% - akcent 5 2 2 3 3 5 2" xfId="24777"/>
    <cellStyle name="40% - akcent 5 2 2 3 3 6" xfId="24778"/>
    <cellStyle name="40% - akcent 5 2 2 3 4" xfId="24779"/>
    <cellStyle name="40% - akcent 5 2 2 3 4 2" xfId="24780"/>
    <cellStyle name="40% - akcent 5 2 2 3 4 2 2" xfId="24781"/>
    <cellStyle name="40% - akcent 5 2 2 3 4 2 2 2" xfId="24782"/>
    <cellStyle name="40% - akcent 5 2 2 3 4 2 3" xfId="24783"/>
    <cellStyle name="40% - akcent 5 2 2 3 4 3" xfId="24784"/>
    <cellStyle name="40% - akcent 5 2 2 3 4 3 2" xfId="24785"/>
    <cellStyle name="40% - akcent 5 2 2 3 4 3 2 2" xfId="24786"/>
    <cellStyle name="40% - akcent 5 2 2 3 4 3 3" xfId="24787"/>
    <cellStyle name="40% - akcent 5 2 2 3 4 4" xfId="24788"/>
    <cellStyle name="40% - akcent 5 2 2 3 4 4 2" xfId="24789"/>
    <cellStyle name="40% - akcent 5 2 2 3 4 4 2 2" xfId="24790"/>
    <cellStyle name="40% - akcent 5 2 2 3 4 4 3" xfId="24791"/>
    <cellStyle name="40% - akcent 5 2 2 3 4 5" xfId="24792"/>
    <cellStyle name="40% - akcent 5 2 2 3 4 5 2" xfId="24793"/>
    <cellStyle name="40% - akcent 5 2 2 3 4 6" xfId="24794"/>
    <cellStyle name="40% - akcent 5 2 2 3 5" xfId="24795"/>
    <cellStyle name="40% - akcent 5 2 2 3 5 2" xfId="24796"/>
    <cellStyle name="40% - akcent 5 2 2 3 5 2 2" xfId="24797"/>
    <cellStyle name="40% - akcent 5 2 2 3 5 2 2 2" xfId="24798"/>
    <cellStyle name="40% - akcent 5 2 2 3 5 2 3" xfId="24799"/>
    <cellStyle name="40% - akcent 5 2 2 3 5 3" xfId="24800"/>
    <cellStyle name="40% - akcent 5 2 2 3 5 3 2" xfId="24801"/>
    <cellStyle name="40% - akcent 5 2 2 3 5 3 2 2" xfId="24802"/>
    <cellStyle name="40% - akcent 5 2 2 3 5 3 3" xfId="24803"/>
    <cellStyle name="40% - akcent 5 2 2 3 5 4" xfId="24804"/>
    <cellStyle name="40% - akcent 5 2 2 3 5 4 2" xfId="24805"/>
    <cellStyle name="40% - akcent 5 2 2 3 5 4 2 2" xfId="24806"/>
    <cellStyle name="40% - akcent 5 2 2 3 5 4 3" xfId="24807"/>
    <cellStyle name="40% - akcent 5 2 2 3 5 5" xfId="24808"/>
    <cellStyle name="40% - akcent 5 2 2 3 5 5 2" xfId="24809"/>
    <cellStyle name="40% - akcent 5 2 2 3 5 6" xfId="24810"/>
    <cellStyle name="40% - akcent 5 2 2 4" xfId="24811"/>
    <cellStyle name="40% - akcent 5 2 2 4 2" xfId="24812"/>
    <cellStyle name="40% - akcent 5 2 2 4 2 2" xfId="24813"/>
    <cellStyle name="40% - akcent 5 2 2 4 2 2 2" xfId="24814"/>
    <cellStyle name="40% - akcent 5 2 2 4 2 2 2 2" xfId="24815"/>
    <cellStyle name="40% - akcent 5 2 2 4 2 2 3" xfId="24816"/>
    <cellStyle name="40% - akcent 5 2 2 4 2 3" xfId="24817"/>
    <cellStyle name="40% - akcent 5 2 2 4 2 3 2" xfId="24818"/>
    <cellStyle name="40% - akcent 5 2 2 4 2 3 2 2" xfId="24819"/>
    <cellStyle name="40% - akcent 5 2 2 4 2 3 3" xfId="24820"/>
    <cellStyle name="40% - akcent 5 2 2 4 2 4" xfId="24821"/>
    <cellStyle name="40% - akcent 5 2 2 4 2 4 2" xfId="24822"/>
    <cellStyle name="40% - akcent 5 2 2 4 2 4 2 2" xfId="24823"/>
    <cellStyle name="40% - akcent 5 2 2 4 2 4 3" xfId="24824"/>
    <cellStyle name="40% - akcent 5 2 2 4 2 5" xfId="24825"/>
    <cellStyle name="40% - akcent 5 2 2 4 2 5 2" xfId="24826"/>
    <cellStyle name="40% - akcent 5 2 2 4 2 6" xfId="24827"/>
    <cellStyle name="40% - akcent 5 2 2 4 3" xfId="24828"/>
    <cellStyle name="40% - akcent 5 2 2 4 3 2" xfId="24829"/>
    <cellStyle name="40% - akcent 5 2 2 4 3 2 2" xfId="24830"/>
    <cellStyle name="40% - akcent 5 2 2 4 3 3" xfId="24831"/>
    <cellStyle name="40% - akcent 5 2 2 4 4" xfId="24832"/>
    <cellStyle name="40% - akcent 5 2 2 4 4 2" xfId="24833"/>
    <cellStyle name="40% - akcent 5 2 2 4 4 2 2" xfId="24834"/>
    <cellStyle name="40% - akcent 5 2 2 4 4 3" xfId="24835"/>
    <cellStyle name="40% - akcent 5 2 2 4 5" xfId="24836"/>
    <cellStyle name="40% - akcent 5 2 2 4 5 2" xfId="24837"/>
    <cellStyle name="40% - akcent 5 2 2 4 5 2 2" xfId="24838"/>
    <cellStyle name="40% - akcent 5 2 2 4 5 3" xfId="24839"/>
    <cellStyle name="40% - akcent 5 2 2 4 6" xfId="24840"/>
    <cellStyle name="40% - akcent 5 2 2 4 6 2" xfId="24841"/>
    <cellStyle name="40% - akcent 5 2 2 4 7" xfId="24842"/>
    <cellStyle name="40% - akcent 5 2 2 5" xfId="24843"/>
    <cellStyle name="40% - akcent 5 2 2 5 2" xfId="24844"/>
    <cellStyle name="40% - akcent 5 2 2 5 2 2" xfId="24845"/>
    <cellStyle name="40% - akcent 5 2 2 5 2 2 2" xfId="24846"/>
    <cellStyle name="40% - akcent 5 2 2 5 2 3" xfId="24847"/>
    <cellStyle name="40% - akcent 5 2 2 5 3" xfId="24848"/>
    <cellStyle name="40% - akcent 5 2 2 5 3 2" xfId="24849"/>
    <cellStyle name="40% - akcent 5 2 2 5 3 2 2" xfId="24850"/>
    <cellStyle name="40% - akcent 5 2 2 5 3 3" xfId="24851"/>
    <cellStyle name="40% - akcent 5 2 2 5 4" xfId="24852"/>
    <cellStyle name="40% - akcent 5 2 2 5 4 2" xfId="24853"/>
    <cellStyle name="40% - akcent 5 2 2 5 4 2 2" xfId="24854"/>
    <cellStyle name="40% - akcent 5 2 2 5 4 3" xfId="24855"/>
    <cellStyle name="40% - akcent 5 2 2 5 5" xfId="24856"/>
    <cellStyle name="40% - akcent 5 2 2 5 5 2" xfId="24857"/>
    <cellStyle name="40% - akcent 5 2 2 5 6" xfId="24858"/>
    <cellStyle name="40% - akcent 5 2 2 6" xfId="24859"/>
    <cellStyle name="40% - akcent 5 2 2 6 2" xfId="24860"/>
    <cellStyle name="40% - akcent 5 2 2 6 2 2" xfId="24861"/>
    <cellStyle name="40% - akcent 5 2 2 6 2 2 2" xfId="24862"/>
    <cellStyle name="40% - akcent 5 2 2 6 2 3" xfId="24863"/>
    <cellStyle name="40% - akcent 5 2 2 6 3" xfId="24864"/>
    <cellStyle name="40% - akcent 5 2 2 6 3 2" xfId="24865"/>
    <cellStyle name="40% - akcent 5 2 2 6 3 2 2" xfId="24866"/>
    <cellStyle name="40% - akcent 5 2 2 6 3 3" xfId="24867"/>
    <cellStyle name="40% - akcent 5 2 2 6 4" xfId="24868"/>
    <cellStyle name="40% - akcent 5 2 2 6 4 2" xfId="24869"/>
    <cellStyle name="40% - akcent 5 2 2 6 4 2 2" xfId="24870"/>
    <cellStyle name="40% - akcent 5 2 2 6 4 3" xfId="24871"/>
    <cellStyle name="40% - akcent 5 2 2 6 5" xfId="24872"/>
    <cellStyle name="40% - akcent 5 2 2 6 5 2" xfId="24873"/>
    <cellStyle name="40% - akcent 5 2 2 6 6" xfId="24874"/>
    <cellStyle name="40% - akcent 5 2 2 7" xfId="24875"/>
    <cellStyle name="40% - akcent 5 2 2 8" xfId="24876"/>
    <cellStyle name="40% - akcent 5 2 2 8 2" xfId="24877"/>
    <cellStyle name="40% - akcent 5 2 2 8 2 2" xfId="24878"/>
    <cellStyle name="40% - akcent 5 2 2 8 2 2 2" xfId="24879"/>
    <cellStyle name="40% - akcent 5 2 2 8 2 3" xfId="24880"/>
    <cellStyle name="40% - akcent 5 2 2 8 3" xfId="24881"/>
    <cellStyle name="40% - akcent 5 2 2 8 3 2" xfId="24882"/>
    <cellStyle name="40% - akcent 5 2 2 8 3 2 2" xfId="24883"/>
    <cellStyle name="40% - akcent 5 2 2 8 3 3" xfId="24884"/>
    <cellStyle name="40% - akcent 5 2 2 8 4" xfId="24885"/>
    <cellStyle name="40% - akcent 5 2 2 8 4 2" xfId="24886"/>
    <cellStyle name="40% - akcent 5 2 2 8 4 2 2" xfId="24887"/>
    <cellStyle name="40% - akcent 5 2 2 8 4 3" xfId="24888"/>
    <cellStyle name="40% - akcent 5 2 2 8 5" xfId="24889"/>
    <cellStyle name="40% - akcent 5 2 2 8 5 2" xfId="24890"/>
    <cellStyle name="40% - akcent 5 2 2 8 6" xfId="24891"/>
    <cellStyle name="40% - akcent 5 2 2_2011'05 Raport PGE_DO-CO2" xfId="24892"/>
    <cellStyle name="40% - akcent 5 2 3" xfId="24893"/>
    <cellStyle name="40% - akcent 5 2 3 2" xfId="24894"/>
    <cellStyle name="40% - akcent 5 2 3 2 2" xfId="24895"/>
    <cellStyle name="40% - akcent 5 2 3 2 2 2" xfId="24896"/>
    <cellStyle name="40% - akcent 5 2 3 2 2 2 2" xfId="24897"/>
    <cellStyle name="40% - akcent 5 2 3 2 2 2 2 2" xfId="24898"/>
    <cellStyle name="40% - akcent 5 2 3 2 2 2 2 2 2" xfId="24899"/>
    <cellStyle name="40% - akcent 5 2 3 2 2 2 2 3" xfId="24900"/>
    <cellStyle name="40% - akcent 5 2 3 2 2 2 3" xfId="24901"/>
    <cellStyle name="40% - akcent 5 2 3 2 2 2 3 2" xfId="24902"/>
    <cellStyle name="40% - akcent 5 2 3 2 2 2 3 2 2" xfId="24903"/>
    <cellStyle name="40% - akcent 5 2 3 2 2 2 3 3" xfId="24904"/>
    <cellStyle name="40% - akcent 5 2 3 2 2 2 4" xfId="24905"/>
    <cellStyle name="40% - akcent 5 2 3 2 2 2 4 2" xfId="24906"/>
    <cellStyle name="40% - akcent 5 2 3 2 2 2 4 2 2" xfId="24907"/>
    <cellStyle name="40% - akcent 5 2 3 2 2 2 4 3" xfId="24908"/>
    <cellStyle name="40% - akcent 5 2 3 2 2 2 5" xfId="24909"/>
    <cellStyle name="40% - akcent 5 2 3 2 2 2 5 2" xfId="24910"/>
    <cellStyle name="40% - akcent 5 2 3 2 2 2 6" xfId="24911"/>
    <cellStyle name="40% - akcent 5 2 3 2 2 3" xfId="24912"/>
    <cellStyle name="40% - akcent 5 2 3 2 2 3 2" xfId="24913"/>
    <cellStyle name="40% - akcent 5 2 3 2 2 3 2 2" xfId="24914"/>
    <cellStyle name="40% - akcent 5 2 3 2 2 3 3" xfId="24915"/>
    <cellStyle name="40% - akcent 5 2 3 2 2 4" xfId="24916"/>
    <cellStyle name="40% - akcent 5 2 3 2 2 4 2" xfId="24917"/>
    <cellStyle name="40% - akcent 5 2 3 2 2 4 2 2" xfId="24918"/>
    <cellStyle name="40% - akcent 5 2 3 2 2 4 3" xfId="24919"/>
    <cellStyle name="40% - akcent 5 2 3 2 2 5" xfId="24920"/>
    <cellStyle name="40% - akcent 5 2 3 2 2 5 2" xfId="24921"/>
    <cellStyle name="40% - akcent 5 2 3 2 2 5 2 2" xfId="24922"/>
    <cellStyle name="40% - akcent 5 2 3 2 2 5 3" xfId="24923"/>
    <cellStyle name="40% - akcent 5 2 3 2 2 6" xfId="24924"/>
    <cellStyle name="40% - akcent 5 2 3 2 2 6 2" xfId="24925"/>
    <cellStyle name="40% - akcent 5 2 3 2 2 7" xfId="24926"/>
    <cellStyle name="40% - akcent 5 2 3 2 3" xfId="24927"/>
    <cellStyle name="40% - akcent 5 2 3 2 3 2" xfId="24928"/>
    <cellStyle name="40% - akcent 5 2 3 2 3 2 2" xfId="24929"/>
    <cellStyle name="40% - akcent 5 2 3 2 3 2 2 2" xfId="24930"/>
    <cellStyle name="40% - akcent 5 2 3 2 3 2 3" xfId="24931"/>
    <cellStyle name="40% - akcent 5 2 3 2 3 3" xfId="24932"/>
    <cellStyle name="40% - akcent 5 2 3 2 3 3 2" xfId="24933"/>
    <cellStyle name="40% - akcent 5 2 3 2 3 3 2 2" xfId="24934"/>
    <cellStyle name="40% - akcent 5 2 3 2 3 3 3" xfId="24935"/>
    <cellStyle name="40% - akcent 5 2 3 2 3 4" xfId="24936"/>
    <cellStyle name="40% - akcent 5 2 3 2 3 4 2" xfId="24937"/>
    <cellStyle name="40% - akcent 5 2 3 2 3 4 2 2" xfId="24938"/>
    <cellStyle name="40% - akcent 5 2 3 2 3 4 3" xfId="24939"/>
    <cellStyle name="40% - akcent 5 2 3 2 3 5" xfId="24940"/>
    <cellStyle name="40% - akcent 5 2 3 2 3 5 2" xfId="24941"/>
    <cellStyle name="40% - akcent 5 2 3 2 3 6" xfId="24942"/>
    <cellStyle name="40% - akcent 5 2 3 2 4" xfId="24943"/>
    <cellStyle name="40% - akcent 5 2 3 2 4 2" xfId="24944"/>
    <cellStyle name="40% - akcent 5 2 3 2 4 2 2" xfId="24945"/>
    <cellStyle name="40% - akcent 5 2 3 2 4 2 2 2" xfId="24946"/>
    <cellStyle name="40% - akcent 5 2 3 2 4 2 3" xfId="24947"/>
    <cellStyle name="40% - akcent 5 2 3 2 4 3" xfId="24948"/>
    <cellStyle name="40% - akcent 5 2 3 2 4 3 2" xfId="24949"/>
    <cellStyle name="40% - akcent 5 2 3 2 4 3 2 2" xfId="24950"/>
    <cellStyle name="40% - akcent 5 2 3 2 4 3 3" xfId="24951"/>
    <cellStyle name="40% - akcent 5 2 3 2 4 4" xfId="24952"/>
    <cellStyle name="40% - akcent 5 2 3 2 4 4 2" xfId="24953"/>
    <cellStyle name="40% - akcent 5 2 3 2 4 4 2 2" xfId="24954"/>
    <cellStyle name="40% - akcent 5 2 3 2 4 4 3" xfId="24955"/>
    <cellStyle name="40% - akcent 5 2 3 2 4 5" xfId="24956"/>
    <cellStyle name="40% - akcent 5 2 3 2 4 5 2" xfId="24957"/>
    <cellStyle name="40% - akcent 5 2 3 2 4 6" xfId="24958"/>
    <cellStyle name="40% - akcent 5 2 3 2 5" xfId="24959"/>
    <cellStyle name="40% - akcent 5 2 3 2 5 2" xfId="24960"/>
    <cellStyle name="40% - akcent 5 2 3 2 5 2 2" xfId="24961"/>
    <cellStyle name="40% - akcent 5 2 3 2 5 2 2 2" xfId="24962"/>
    <cellStyle name="40% - akcent 5 2 3 2 5 2 3" xfId="24963"/>
    <cellStyle name="40% - akcent 5 2 3 2 5 3" xfId="24964"/>
    <cellStyle name="40% - akcent 5 2 3 2 5 3 2" xfId="24965"/>
    <cellStyle name="40% - akcent 5 2 3 2 5 3 2 2" xfId="24966"/>
    <cellStyle name="40% - akcent 5 2 3 2 5 3 3" xfId="24967"/>
    <cellStyle name="40% - akcent 5 2 3 2 5 4" xfId="24968"/>
    <cellStyle name="40% - akcent 5 2 3 2 5 4 2" xfId="24969"/>
    <cellStyle name="40% - akcent 5 2 3 2 5 4 2 2" xfId="24970"/>
    <cellStyle name="40% - akcent 5 2 3 2 5 4 3" xfId="24971"/>
    <cellStyle name="40% - akcent 5 2 3 2 5 5" xfId="24972"/>
    <cellStyle name="40% - akcent 5 2 3 2 5 5 2" xfId="24973"/>
    <cellStyle name="40% - akcent 5 2 3 2 5 6" xfId="24974"/>
    <cellStyle name="40% - akcent 5 2 3 3" xfId="24975"/>
    <cellStyle name="40% - akcent 5 2 3 3 2" xfId="24976"/>
    <cellStyle name="40% - akcent 5 2 3 3 2 2" xfId="24977"/>
    <cellStyle name="40% - akcent 5 2 3 3 2 2 2" xfId="24978"/>
    <cellStyle name="40% - akcent 5 2 3 3 2 2 2 2" xfId="24979"/>
    <cellStyle name="40% - akcent 5 2 3 3 2 2 3" xfId="24980"/>
    <cellStyle name="40% - akcent 5 2 3 3 2 3" xfId="24981"/>
    <cellStyle name="40% - akcent 5 2 3 3 2 3 2" xfId="24982"/>
    <cellStyle name="40% - akcent 5 2 3 3 2 3 2 2" xfId="24983"/>
    <cellStyle name="40% - akcent 5 2 3 3 2 3 3" xfId="24984"/>
    <cellStyle name="40% - akcent 5 2 3 3 2 4" xfId="24985"/>
    <cellStyle name="40% - akcent 5 2 3 3 2 4 2" xfId="24986"/>
    <cellStyle name="40% - akcent 5 2 3 3 2 4 2 2" xfId="24987"/>
    <cellStyle name="40% - akcent 5 2 3 3 2 4 3" xfId="24988"/>
    <cellStyle name="40% - akcent 5 2 3 3 2 5" xfId="24989"/>
    <cellStyle name="40% - akcent 5 2 3 3 2 5 2" xfId="24990"/>
    <cellStyle name="40% - akcent 5 2 3 3 2 6" xfId="24991"/>
    <cellStyle name="40% - akcent 5 2 3 3 3" xfId="24992"/>
    <cellStyle name="40% - akcent 5 2 3 3 3 2" xfId="24993"/>
    <cellStyle name="40% - akcent 5 2 3 3 3 2 2" xfId="24994"/>
    <cellStyle name="40% - akcent 5 2 3 3 3 3" xfId="24995"/>
    <cellStyle name="40% - akcent 5 2 3 3 4" xfId="24996"/>
    <cellStyle name="40% - akcent 5 2 3 3 4 2" xfId="24997"/>
    <cellStyle name="40% - akcent 5 2 3 3 4 2 2" xfId="24998"/>
    <cellStyle name="40% - akcent 5 2 3 3 4 3" xfId="24999"/>
    <cellStyle name="40% - akcent 5 2 3 3 5" xfId="25000"/>
    <cellStyle name="40% - akcent 5 2 3 3 5 2" xfId="25001"/>
    <cellStyle name="40% - akcent 5 2 3 3 5 2 2" xfId="25002"/>
    <cellStyle name="40% - akcent 5 2 3 3 5 3" xfId="25003"/>
    <cellStyle name="40% - akcent 5 2 3 3 6" xfId="25004"/>
    <cellStyle name="40% - akcent 5 2 3 3 6 2" xfId="25005"/>
    <cellStyle name="40% - akcent 5 2 3 3 7" xfId="25006"/>
    <cellStyle name="40% - akcent 5 2 3 4" xfId="25007"/>
    <cellStyle name="40% - akcent 5 2 3 4 2" xfId="25008"/>
    <cellStyle name="40% - akcent 5 2 3 4 2 2" xfId="25009"/>
    <cellStyle name="40% - akcent 5 2 3 4 2 2 2" xfId="25010"/>
    <cellStyle name="40% - akcent 5 2 3 4 2 3" xfId="25011"/>
    <cellStyle name="40% - akcent 5 2 3 4 3" xfId="25012"/>
    <cellStyle name="40% - akcent 5 2 3 4 3 2" xfId="25013"/>
    <cellStyle name="40% - akcent 5 2 3 4 3 2 2" xfId="25014"/>
    <cellStyle name="40% - akcent 5 2 3 4 3 3" xfId="25015"/>
    <cellStyle name="40% - akcent 5 2 3 4 4" xfId="25016"/>
    <cellStyle name="40% - akcent 5 2 3 4 4 2" xfId="25017"/>
    <cellStyle name="40% - akcent 5 2 3 4 4 2 2" xfId="25018"/>
    <cellStyle name="40% - akcent 5 2 3 4 4 3" xfId="25019"/>
    <cellStyle name="40% - akcent 5 2 3 4 5" xfId="25020"/>
    <cellStyle name="40% - akcent 5 2 3 4 5 2" xfId="25021"/>
    <cellStyle name="40% - akcent 5 2 3 4 6" xfId="25022"/>
    <cellStyle name="40% - akcent 5 2 3 5" xfId="25023"/>
    <cellStyle name="40% - akcent 5 2 3 5 2" xfId="25024"/>
    <cellStyle name="40% - akcent 5 2 3 5 2 2" xfId="25025"/>
    <cellStyle name="40% - akcent 5 2 3 5 2 2 2" xfId="25026"/>
    <cellStyle name="40% - akcent 5 2 3 5 2 3" xfId="25027"/>
    <cellStyle name="40% - akcent 5 2 3 5 3" xfId="25028"/>
    <cellStyle name="40% - akcent 5 2 3 5 3 2" xfId="25029"/>
    <cellStyle name="40% - akcent 5 2 3 5 3 2 2" xfId="25030"/>
    <cellStyle name="40% - akcent 5 2 3 5 3 3" xfId="25031"/>
    <cellStyle name="40% - akcent 5 2 3 5 4" xfId="25032"/>
    <cellStyle name="40% - akcent 5 2 3 5 4 2" xfId="25033"/>
    <cellStyle name="40% - akcent 5 2 3 5 4 2 2" xfId="25034"/>
    <cellStyle name="40% - akcent 5 2 3 5 4 3" xfId="25035"/>
    <cellStyle name="40% - akcent 5 2 3 5 5" xfId="25036"/>
    <cellStyle name="40% - akcent 5 2 3 5 5 2" xfId="25037"/>
    <cellStyle name="40% - akcent 5 2 3 5 6" xfId="25038"/>
    <cellStyle name="40% - akcent 5 2 3 6" xfId="25039"/>
    <cellStyle name="40% - akcent 5 2 3 6 2" xfId="25040"/>
    <cellStyle name="40% - akcent 5 2 3 6 2 2" xfId="25041"/>
    <cellStyle name="40% - akcent 5 2 3 6 2 2 2" xfId="25042"/>
    <cellStyle name="40% - akcent 5 2 3 6 2 3" xfId="25043"/>
    <cellStyle name="40% - akcent 5 2 3 6 3" xfId="25044"/>
    <cellStyle name="40% - akcent 5 2 3 6 3 2" xfId="25045"/>
    <cellStyle name="40% - akcent 5 2 3 6 3 2 2" xfId="25046"/>
    <cellStyle name="40% - akcent 5 2 3 6 3 3" xfId="25047"/>
    <cellStyle name="40% - akcent 5 2 3 6 4" xfId="25048"/>
    <cellStyle name="40% - akcent 5 2 3 6 4 2" xfId="25049"/>
    <cellStyle name="40% - akcent 5 2 3 6 4 2 2" xfId="25050"/>
    <cellStyle name="40% - akcent 5 2 3 6 4 3" xfId="25051"/>
    <cellStyle name="40% - akcent 5 2 3 6 5" xfId="25052"/>
    <cellStyle name="40% - akcent 5 2 3 6 5 2" xfId="25053"/>
    <cellStyle name="40% - akcent 5 2 3 6 6" xfId="25054"/>
    <cellStyle name="40% - akcent 5 2 3_2011'05 Raport PGE_DO-CO2" xfId="25055"/>
    <cellStyle name="40% - akcent 5 2 4" xfId="25056"/>
    <cellStyle name="40% - akcent 5 2 4 2" xfId="25057"/>
    <cellStyle name="40% - akcent 5 2 4 2 2" xfId="25058"/>
    <cellStyle name="40% - akcent 5 2 4 2 2 2" xfId="25059"/>
    <cellStyle name="40% - akcent 5 2 4 2 2 2 2" xfId="25060"/>
    <cellStyle name="40% - akcent 5 2 4 2 2 2 2 2" xfId="25061"/>
    <cellStyle name="40% - akcent 5 2 4 2 2 2 2 2 2" xfId="25062"/>
    <cellStyle name="40% - akcent 5 2 4 2 2 2 2 3" xfId="25063"/>
    <cellStyle name="40% - akcent 5 2 4 2 2 2 3" xfId="25064"/>
    <cellStyle name="40% - akcent 5 2 4 2 2 2 3 2" xfId="25065"/>
    <cellStyle name="40% - akcent 5 2 4 2 2 2 3 2 2" xfId="25066"/>
    <cellStyle name="40% - akcent 5 2 4 2 2 2 3 3" xfId="25067"/>
    <cellStyle name="40% - akcent 5 2 4 2 2 2 4" xfId="25068"/>
    <cellStyle name="40% - akcent 5 2 4 2 2 2 4 2" xfId="25069"/>
    <cellStyle name="40% - akcent 5 2 4 2 2 2 4 2 2" xfId="25070"/>
    <cellStyle name="40% - akcent 5 2 4 2 2 2 4 3" xfId="25071"/>
    <cellStyle name="40% - akcent 5 2 4 2 2 2 5" xfId="25072"/>
    <cellStyle name="40% - akcent 5 2 4 2 2 2 5 2" xfId="25073"/>
    <cellStyle name="40% - akcent 5 2 4 2 2 2 6" xfId="25074"/>
    <cellStyle name="40% - akcent 5 2 4 2 2 3" xfId="25075"/>
    <cellStyle name="40% - akcent 5 2 4 2 2 3 2" xfId="25076"/>
    <cellStyle name="40% - akcent 5 2 4 2 2 3 2 2" xfId="25077"/>
    <cellStyle name="40% - akcent 5 2 4 2 2 3 3" xfId="25078"/>
    <cellStyle name="40% - akcent 5 2 4 2 2 4" xfId="25079"/>
    <cellStyle name="40% - akcent 5 2 4 2 2 4 2" xfId="25080"/>
    <cellStyle name="40% - akcent 5 2 4 2 2 4 2 2" xfId="25081"/>
    <cellStyle name="40% - akcent 5 2 4 2 2 4 3" xfId="25082"/>
    <cellStyle name="40% - akcent 5 2 4 2 2 5" xfId="25083"/>
    <cellStyle name="40% - akcent 5 2 4 2 2 5 2" xfId="25084"/>
    <cellStyle name="40% - akcent 5 2 4 2 2 5 2 2" xfId="25085"/>
    <cellStyle name="40% - akcent 5 2 4 2 2 5 3" xfId="25086"/>
    <cellStyle name="40% - akcent 5 2 4 2 2 6" xfId="25087"/>
    <cellStyle name="40% - akcent 5 2 4 2 2 6 2" xfId="25088"/>
    <cellStyle name="40% - akcent 5 2 4 2 2 7" xfId="25089"/>
    <cellStyle name="40% - akcent 5 2 4 2 3" xfId="25090"/>
    <cellStyle name="40% - akcent 5 2 4 2 3 2" xfId="25091"/>
    <cellStyle name="40% - akcent 5 2 4 2 3 2 2" xfId="25092"/>
    <cellStyle name="40% - akcent 5 2 4 2 3 2 2 2" xfId="25093"/>
    <cellStyle name="40% - akcent 5 2 4 2 3 2 3" xfId="25094"/>
    <cellStyle name="40% - akcent 5 2 4 2 3 3" xfId="25095"/>
    <cellStyle name="40% - akcent 5 2 4 2 3 3 2" xfId="25096"/>
    <cellStyle name="40% - akcent 5 2 4 2 3 3 2 2" xfId="25097"/>
    <cellStyle name="40% - akcent 5 2 4 2 3 3 3" xfId="25098"/>
    <cellStyle name="40% - akcent 5 2 4 2 3 4" xfId="25099"/>
    <cellStyle name="40% - akcent 5 2 4 2 3 4 2" xfId="25100"/>
    <cellStyle name="40% - akcent 5 2 4 2 3 4 2 2" xfId="25101"/>
    <cellStyle name="40% - akcent 5 2 4 2 3 4 3" xfId="25102"/>
    <cellStyle name="40% - akcent 5 2 4 2 3 5" xfId="25103"/>
    <cellStyle name="40% - akcent 5 2 4 2 3 5 2" xfId="25104"/>
    <cellStyle name="40% - akcent 5 2 4 2 3 6" xfId="25105"/>
    <cellStyle name="40% - akcent 5 2 4 2 4" xfId="25106"/>
    <cellStyle name="40% - akcent 5 2 4 2 4 2" xfId="25107"/>
    <cellStyle name="40% - akcent 5 2 4 2 4 2 2" xfId="25108"/>
    <cellStyle name="40% - akcent 5 2 4 2 4 2 2 2" xfId="25109"/>
    <cellStyle name="40% - akcent 5 2 4 2 4 2 3" xfId="25110"/>
    <cellStyle name="40% - akcent 5 2 4 2 4 3" xfId="25111"/>
    <cellStyle name="40% - akcent 5 2 4 2 4 3 2" xfId="25112"/>
    <cellStyle name="40% - akcent 5 2 4 2 4 3 2 2" xfId="25113"/>
    <cellStyle name="40% - akcent 5 2 4 2 4 3 3" xfId="25114"/>
    <cellStyle name="40% - akcent 5 2 4 2 4 4" xfId="25115"/>
    <cellStyle name="40% - akcent 5 2 4 2 4 4 2" xfId="25116"/>
    <cellStyle name="40% - akcent 5 2 4 2 4 4 2 2" xfId="25117"/>
    <cellStyle name="40% - akcent 5 2 4 2 4 4 3" xfId="25118"/>
    <cellStyle name="40% - akcent 5 2 4 2 4 5" xfId="25119"/>
    <cellStyle name="40% - akcent 5 2 4 2 4 5 2" xfId="25120"/>
    <cellStyle name="40% - akcent 5 2 4 2 4 6" xfId="25121"/>
    <cellStyle name="40% - akcent 5 2 4 2 5" xfId="25122"/>
    <cellStyle name="40% - akcent 5 2 4 2 5 2" xfId="25123"/>
    <cellStyle name="40% - akcent 5 2 4 2 5 2 2" xfId="25124"/>
    <cellStyle name="40% - akcent 5 2 4 2 5 3" xfId="25125"/>
    <cellStyle name="40% - akcent 5 2 4 2 6" xfId="25126"/>
    <cellStyle name="40% - akcent 5 2 4 2 6 2" xfId="25127"/>
    <cellStyle name="40% - akcent 5 2 4 2 6 2 2" xfId="25128"/>
    <cellStyle name="40% - akcent 5 2 4 2 6 3" xfId="25129"/>
    <cellStyle name="40% - akcent 5 2 4 2 7" xfId="25130"/>
    <cellStyle name="40% - akcent 5 2 4 2 7 2" xfId="25131"/>
    <cellStyle name="40% - akcent 5 2 4 2 7 2 2" xfId="25132"/>
    <cellStyle name="40% - akcent 5 2 4 2 7 3" xfId="25133"/>
    <cellStyle name="40% - akcent 5 2 4 2 8" xfId="25134"/>
    <cellStyle name="40% - akcent 5 2 4 2 8 2" xfId="25135"/>
    <cellStyle name="40% - akcent 5 2 4 2 9" xfId="25136"/>
    <cellStyle name="40% - akcent 5 2 4 3" xfId="25137"/>
    <cellStyle name="40% - akcent 5 2 4 3 2" xfId="25138"/>
    <cellStyle name="40% - akcent 5 2 4 3 2 2" xfId="25139"/>
    <cellStyle name="40% - akcent 5 2 4 3 2 2 2" xfId="25140"/>
    <cellStyle name="40% - akcent 5 2 4 3 2 2 2 2" xfId="25141"/>
    <cellStyle name="40% - akcent 5 2 4 3 2 2 3" xfId="25142"/>
    <cellStyle name="40% - akcent 5 2 4 3 2 3" xfId="25143"/>
    <cellStyle name="40% - akcent 5 2 4 3 2 3 2" xfId="25144"/>
    <cellStyle name="40% - akcent 5 2 4 3 2 3 2 2" xfId="25145"/>
    <cellStyle name="40% - akcent 5 2 4 3 2 3 3" xfId="25146"/>
    <cellStyle name="40% - akcent 5 2 4 3 2 4" xfId="25147"/>
    <cellStyle name="40% - akcent 5 2 4 3 2 4 2" xfId="25148"/>
    <cellStyle name="40% - akcent 5 2 4 3 2 4 2 2" xfId="25149"/>
    <cellStyle name="40% - akcent 5 2 4 3 2 4 3" xfId="25150"/>
    <cellStyle name="40% - akcent 5 2 4 3 2 5" xfId="25151"/>
    <cellStyle name="40% - akcent 5 2 4 3 2 5 2" xfId="25152"/>
    <cellStyle name="40% - akcent 5 2 4 3 2 6" xfId="25153"/>
    <cellStyle name="40% - akcent 5 2 4 3 3" xfId="25154"/>
    <cellStyle name="40% - akcent 5 2 4 3 3 2" xfId="25155"/>
    <cellStyle name="40% - akcent 5 2 4 3 3 2 2" xfId="25156"/>
    <cellStyle name="40% - akcent 5 2 4 3 3 3" xfId="25157"/>
    <cellStyle name="40% - akcent 5 2 4 3 4" xfId="25158"/>
    <cellStyle name="40% - akcent 5 2 4 3 4 2" xfId="25159"/>
    <cellStyle name="40% - akcent 5 2 4 3 4 2 2" xfId="25160"/>
    <cellStyle name="40% - akcent 5 2 4 3 4 3" xfId="25161"/>
    <cellStyle name="40% - akcent 5 2 4 3 5" xfId="25162"/>
    <cellStyle name="40% - akcent 5 2 4 3 5 2" xfId="25163"/>
    <cellStyle name="40% - akcent 5 2 4 3 5 2 2" xfId="25164"/>
    <cellStyle name="40% - akcent 5 2 4 3 5 3" xfId="25165"/>
    <cellStyle name="40% - akcent 5 2 4 3 6" xfId="25166"/>
    <cellStyle name="40% - akcent 5 2 4 3 6 2" xfId="25167"/>
    <cellStyle name="40% - akcent 5 2 4 3 7" xfId="25168"/>
    <cellStyle name="40% - akcent 5 2 4 4" xfId="25169"/>
    <cellStyle name="40% - akcent 5 2 4 4 2" xfId="25170"/>
    <cellStyle name="40% - akcent 5 2 4 4 2 2" xfId="25171"/>
    <cellStyle name="40% - akcent 5 2 4 4 2 2 2" xfId="25172"/>
    <cellStyle name="40% - akcent 5 2 4 4 2 3" xfId="25173"/>
    <cellStyle name="40% - akcent 5 2 4 4 3" xfId="25174"/>
    <cellStyle name="40% - akcent 5 2 4 4 3 2" xfId="25175"/>
    <cellStyle name="40% - akcent 5 2 4 4 3 2 2" xfId="25176"/>
    <cellStyle name="40% - akcent 5 2 4 4 3 3" xfId="25177"/>
    <cellStyle name="40% - akcent 5 2 4 4 4" xfId="25178"/>
    <cellStyle name="40% - akcent 5 2 4 4 4 2" xfId="25179"/>
    <cellStyle name="40% - akcent 5 2 4 4 4 2 2" xfId="25180"/>
    <cellStyle name="40% - akcent 5 2 4 4 4 3" xfId="25181"/>
    <cellStyle name="40% - akcent 5 2 4 4 5" xfId="25182"/>
    <cellStyle name="40% - akcent 5 2 4 4 5 2" xfId="25183"/>
    <cellStyle name="40% - akcent 5 2 4 4 6" xfId="25184"/>
    <cellStyle name="40% - akcent 5 2 4 5" xfId="25185"/>
    <cellStyle name="40% - akcent 5 2 4 5 2" xfId="25186"/>
    <cellStyle name="40% - akcent 5 2 4 5 2 2" xfId="25187"/>
    <cellStyle name="40% - akcent 5 2 4 5 2 2 2" xfId="25188"/>
    <cellStyle name="40% - akcent 5 2 4 5 2 3" xfId="25189"/>
    <cellStyle name="40% - akcent 5 2 4 5 3" xfId="25190"/>
    <cellStyle name="40% - akcent 5 2 4 5 3 2" xfId="25191"/>
    <cellStyle name="40% - akcent 5 2 4 5 3 2 2" xfId="25192"/>
    <cellStyle name="40% - akcent 5 2 4 5 3 3" xfId="25193"/>
    <cellStyle name="40% - akcent 5 2 4 5 4" xfId="25194"/>
    <cellStyle name="40% - akcent 5 2 4 5 4 2" xfId="25195"/>
    <cellStyle name="40% - akcent 5 2 4 5 4 2 2" xfId="25196"/>
    <cellStyle name="40% - akcent 5 2 4 5 4 3" xfId="25197"/>
    <cellStyle name="40% - akcent 5 2 4 5 5" xfId="25198"/>
    <cellStyle name="40% - akcent 5 2 4 5 5 2" xfId="25199"/>
    <cellStyle name="40% - akcent 5 2 4 5 6" xfId="25200"/>
    <cellStyle name="40% - akcent 5 2 4 6" xfId="25201"/>
    <cellStyle name="40% - akcent 5 2 4 6 2" xfId="25202"/>
    <cellStyle name="40% - akcent 5 2 4 6 2 2" xfId="25203"/>
    <cellStyle name="40% - akcent 5 2 4 6 2 2 2" xfId="25204"/>
    <cellStyle name="40% - akcent 5 2 4 6 2 3" xfId="25205"/>
    <cellStyle name="40% - akcent 5 2 4 6 3" xfId="25206"/>
    <cellStyle name="40% - akcent 5 2 4 6 3 2" xfId="25207"/>
    <cellStyle name="40% - akcent 5 2 4 6 3 2 2" xfId="25208"/>
    <cellStyle name="40% - akcent 5 2 4 6 3 3" xfId="25209"/>
    <cellStyle name="40% - akcent 5 2 4 6 4" xfId="25210"/>
    <cellStyle name="40% - akcent 5 2 4 6 4 2" xfId="25211"/>
    <cellStyle name="40% - akcent 5 2 4 6 4 2 2" xfId="25212"/>
    <cellStyle name="40% - akcent 5 2 4 6 4 3" xfId="25213"/>
    <cellStyle name="40% - akcent 5 2 4 6 5" xfId="25214"/>
    <cellStyle name="40% - akcent 5 2 4 6 5 2" xfId="25215"/>
    <cellStyle name="40% - akcent 5 2 4 6 6" xfId="25216"/>
    <cellStyle name="40% - akcent 5 2 5" xfId="25217"/>
    <cellStyle name="40% - akcent 5 2 5 2" xfId="25218"/>
    <cellStyle name="40% - akcent 5 2 6" xfId="25219"/>
    <cellStyle name="40% - akcent 5 2 7" xfId="25220"/>
    <cellStyle name="40% - akcent 5 2 8" xfId="25221"/>
    <cellStyle name="40% - akcent 5 2 9" xfId="25222"/>
    <cellStyle name="40% - akcent 5 2_2011'05 Raport PGE_DO-CO2" xfId="25223"/>
    <cellStyle name="40% - akcent 5 3" xfId="25224"/>
    <cellStyle name="40% - akcent 5 3 10" xfId="25225"/>
    <cellStyle name="40% - akcent 5 3 10 2" xfId="25226"/>
    <cellStyle name="40% - akcent 5 3 10 2 2" xfId="25227"/>
    <cellStyle name="40% - akcent 5 3 10 2 2 2" xfId="25228"/>
    <cellStyle name="40% - akcent 5 3 10 2 3" xfId="25229"/>
    <cellStyle name="40% - akcent 5 3 10 3" xfId="25230"/>
    <cellStyle name="40% - akcent 5 3 10 3 2" xfId="25231"/>
    <cellStyle name="40% - akcent 5 3 10 3 2 2" xfId="25232"/>
    <cellStyle name="40% - akcent 5 3 10 3 3" xfId="25233"/>
    <cellStyle name="40% - akcent 5 3 10 4" xfId="25234"/>
    <cellStyle name="40% - akcent 5 3 10 4 2" xfId="25235"/>
    <cellStyle name="40% - akcent 5 3 10 4 2 2" xfId="25236"/>
    <cellStyle name="40% - akcent 5 3 10 4 3" xfId="25237"/>
    <cellStyle name="40% - akcent 5 3 10 5" xfId="25238"/>
    <cellStyle name="40% - akcent 5 3 10 5 2" xfId="25239"/>
    <cellStyle name="40% - akcent 5 3 10 6" xfId="25240"/>
    <cellStyle name="40% - akcent 5 3 2" xfId="25241"/>
    <cellStyle name="40% - akcent 5 3 2 2" xfId="25242"/>
    <cellStyle name="40% - akcent 5 3 2 2 10" xfId="25243"/>
    <cellStyle name="40% - akcent 5 3 2 2 2" xfId="25244"/>
    <cellStyle name="40% - akcent 5 3 2 2 2 2" xfId="25245"/>
    <cellStyle name="40% - akcent 5 3 2 2 2 2 2" xfId="25246"/>
    <cellStyle name="40% - akcent 5 3 2 2 2 2 2 2" xfId="25247"/>
    <cellStyle name="40% - akcent 5 3 2 2 2 2 2 2 2" xfId="25248"/>
    <cellStyle name="40% - akcent 5 3 2 2 2 2 2 2 2 2" xfId="25249"/>
    <cellStyle name="40% - akcent 5 3 2 2 2 2 2 2 3" xfId="25250"/>
    <cellStyle name="40% - akcent 5 3 2 2 2 2 2 3" xfId="25251"/>
    <cellStyle name="40% - akcent 5 3 2 2 2 2 2 3 2" xfId="25252"/>
    <cellStyle name="40% - akcent 5 3 2 2 2 2 2 3 2 2" xfId="25253"/>
    <cellStyle name="40% - akcent 5 3 2 2 2 2 2 3 3" xfId="25254"/>
    <cellStyle name="40% - akcent 5 3 2 2 2 2 2 4" xfId="25255"/>
    <cellStyle name="40% - akcent 5 3 2 2 2 2 2 4 2" xfId="25256"/>
    <cellStyle name="40% - akcent 5 3 2 2 2 2 2 4 2 2" xfId="25257"/>
    <cellStyle name="40% - akcent 5 3 2 2 2 2 2 4 3" xfId="25258"/>
    <cellStyle name="40% - akcent 5 3 2 2 2 2 2 5" xfId="25259"/>
    <cellStyle name="40% - akcent 5 3 2 2 2 2 2 5 2" xfId="25260"/>
    <cellStyle name="40% - akcent 5 3 2 2 2 2 2 6" xfId="25261"/>
    <cellStyle name="40% - akcent 5 3 2 2 2 2 3" xfId="25262"/>
    <cellStyle name="40% - akcent 5 3 2 2 2 2 3 2" xfId="25263"/>
    <cellStyle name="40% - akcent 5 3 2 2 2 2 3 2 2" xfId="25264"/>
    <cellStyle name="40% - akcent 5 3 2 2 2 2 3 3" xfId="25265"/>
    <cellStyle name="40% - akcent 5 3 2 2 2 2 4" xfId="25266"/>
    <cellStyle name="40% - akcent 5 3 2 2 2 2 4 2" xfId="25267"/>
    <cellStyle name="40% - akcent 5 3 2 2 2 2 4 2 2" xfId="25268"/>
    <cellStyle name="40% - akcent 5 3 2 2 2 2 4 3" xfId="25269"/>
    <cellStyle name="40% - akcent 5 3 2 2 2 2 5" xfId="25270"/>
    <cellStyle name="40% - akcent 5 3 2 2 2 2 5 2" xfId="25271"/>
    <cellStyle name="40% - akcent 5 3 2 2 2 2 5 2 2" xfId="25272"/>
    <cellStyle name="40% - akcent 5 3 2 2 2 2 5 3" xfId="25273"/>
    <cellStyle name="40% - akcent 5 3 2 2 2 2 6" xfId="25274"/>
    <cellStyle name="40% - akcent 5 3 2 2 2 2 6 2" xfId="25275"/>
    <cellStyle name="40% - akcent 5 3 2 2 2 2 7" xfId="25276"/>
    <cellStyle name="40% - akcent 5 3 2 2 2 3" xfId="25277"/>
    <cellStyle name="40% - akcent 5 3 2 2 2 3 2" xfId="25278"/>
    <cellStyle name="40% - akcent 5 3 2 2 2 3 2 2" xfId="25279"/>
    <cellStyle name="40% - akcent 5 3 2 2 2 3 2 2 2" xfId="25280"/>
    <cellStyle name="40% - akcent 5 3 2 2 2 3 2 3" xfId="25281"/>
    <cellStyle name="40% - akcent 5 3 2 2 2 3 3" xfId="25282"/>
    <cellStyle name="40% - akcent 5 3 2 2 2 3 3 2" xfId="25283"/>
    <cellStyle name="40% - akcent 5 3 2 2 2 3 3 2 2" xfId="25284"/>
    <cellStyle name="40% - akcent 5 3 2 2 2 3 3 3" xfId="25285"/>
    <cellStyle name="40% - akcent 5 3 2 2 2 3 4" xfId="25286"/>
    <cellStyle name="40% - akcent 5 3 2 2 2 3 4 2" xfId="25287"/>
    <cellStyle name="40% - akcent 5 3 2 2 2 3 4 2 2" xfId="25288"/>
    <cellStyle name="40% - akcent 5 3 2 2 2 3 4 3" xfId="25289"/>
    <cellStyle name="40% - akcent 5 3 2 2 2 3 5" xfId="25290"/>
    <cellStyle name="40% - akcent 5 3 2 2 2 3 5 2" xfId="25291"/>
    <cellStyle name="40% - akcent 5 3 2 2 2 3 6" xfId="25292"/>
    <cellStyle name="40% - akcent 5 3 2 2 2 4" xfId="25293"/>
    <cellStyle name="40% - akcent 5 3 2 2 2 4 2" xfId="25294"/>
    <cellStyle name="40% - akcent 5 3 2 2 2 4 2 2" xfId="25295"/>
    <cellStyle name="40% - akcent 5 3 2 2 2 4 2 2 2" xfId="25296"/>
    <cellStyle name="40% - akcent 5 3 2 2 2 4 2 3" xfId="25297"/>
    <cellStyle name="40% - akcent 5 3 2 2 2 4 3" xfId="25298"/>
    <cellStyle name="40% - akcent 5 3 2 2 2 4 3 2" xfId="25299"/>
    <cellStyle name="40% - akcent 5 3 2 2 2 4 3 2 2" xfId="25300"/>
    <cellStyle name="40% - akcent 5 3 2 2 2 4 3 3" xfId="25301"/>
    <cellStyle name="40% - akcent 5 3 2 2 2 4 4" xfId="25302"/>
    <cellStyle name="40% - akcent 5 3 2 2 2 4 4 2" xfId="25303"/>
    <cellStyle name="40% - akcent 5 3 2 2 2 4 4 2 2" xfId="25304"/>
    <cellStyle name="40% - akcent 5 3 2 2 2 4 4 3" xfId="25305"/>
    <cellStyle name="40% - akcent 5 3 2 2 2 4 5" xfId="25306"/>
    <cellStyle name="40% - akcent 5 3 2 2 2 4 5 2" xfId="25307"/>
    <cellStyle name="40% - akcent 5 3 2 2 2 4 6" xfId="25308"/>
    <cellStyle name="40% - akcent 5 3 2 2 2 5" xfId="25309"/>
    <cellStyle name="40% - akcent 5 3 2 2 2 5 2" xfId="25310"/>
    <cellStyle name="40% - akcent 5 3 2 2 2 5 2 2" xfId="25311"/>
    <cellStyle name="40% - akcent 5 3 2 2 2 5 3" xfId="25312"/>
    <cellStyle name="40% - akcent 5 3 2 2 2 6" xfId="25313"/>
    <cellStyle name="40% - akcent 5 3 2 2 2 6 2" xfId="25314"/>
    <cellStyle name="40% - akcent 5 3 2 2 2 6 2 2" xfId="25315"/>
    <cellStyle name="40% - akcent 5 3 2 2 2 6 3" xfId="25316"/>
    <cellStyle name="40% - akcent 5 3 2 2 2 7" xfId="25317"/>
    <cellStyle name="40% - akcent 5 3 2 2 2 7 2" xfId="25318"/>
    <cellStyle name="40% - akcent 5 3 2 2 2 7 2 2" xfId="25319"/>
    <cellStyle name="40% - akcent 5 3 2 2 2 7 3" xfId="25320"/>
    <cellStyle name="40% - akcent 5 3 2 2 2 8" xfId="25321"/>
    <cellStyle name="40% - akcent 5 3 2 2 2 8 2" xfId="25322"/>
    <cellStyle name="40% - akcent 5 3 2 2 2 9" xfId="25323"/>
    <cellStyle name="40% - akcent 5 3 2 2 3" xfId="25324"/>
    <cellStyle name="40% - akcent 5 3 2 2 3 2" xfId="25325"/>
    <cellStyle name="40% - akcent 5 3 2 2 3 2 2" xfId="25326"/>
    <cellStyle name="40% - akcent 5 3 2 2 3 2 2 2" xfId="25327"/>
    <cellStyle name="40% - akcent 5 3 2 2 3 2 2 2 2" xfId="25328"/>
    <cellStyle name="40% - akcent 5 3 2 2 3 2 2 3" xfId="25329"/>
    <cellStyle name="40% - akcent 5 3 2 2 3 2 3" xfId="25330"/>
    <cellStyle name="40% - akcent 5 3 2 2 3 2 3 2" xfId="25331"/>
    <cellStyle name="40% - akcent 5 3 2 2 3 2 3 2 2" xfId="25332"/>
    <cellStyle name="40% - akcent 5 3 2 2 3 2 3 3" xfId="25333"/>
    <cellStyle name="40% - akcent 5 3 2 2 3 2 4" xfId="25334"/>
    <cellStyle name="40% - akcent 5 3 2 2 3 2 4 2" xfId="25335"/>
    <cellStyle name="40% - akcent 5 3 2 2 3 2 4 2 2" xfId="25336"/>
    <cellStyle name="40% - akcent 5 3 2 2 3 2 4 3" xfId="25337"/>
    <cellStyle name="40% - akcent 5 3 2 2 3 2 5" xfId="25338"/>
    <cellStyle name="40% - akcent 5 3 2 2 3 2 5 2" xfId="25339"/>
    <cellStyle name="40% - akcent 5 3 2 2 3 2 6" xfId="25340"/>
    <cellStyle name="40% - akcent 5 3 2 2 3 3" xfId="25341"/>
    <cellStyle name="40% - akcent 5 3 2 2 3 3 2" xfId="25342"/>
    <cellStyle name="40% - akcent 5 3 2 2 3 3 2 2" xfId="25343"/>
    <cellStyle name="40% - akcent 5 3 2 2 3 3 3" xfId="25344"/>
    <cellStyle name="40% - akcent 5 3 2 2 3 4" xfId="25345"/>
    <cellStyle name="40% - akcent 5 3 2 2 3 4 2" xfId="25346"/>
    <cellStyle name="40% - akcent 5 3 2 2 3 4 2 2" xfId="25347"/>
    <cellStyle name="40% - akcent 5 3 2 2 3 4 3" xfId="25348"/>
    <cellStyle name="40% - akcent 5 3 2 2 3 5" xfId="25349"/>
    <cellStyle name="40% - akcent 5 3 2 2 3 5 2" xfId="25350"/>
    <cellStyle name="40% - akcent 5 3 2 2 3 5 2 2" xfId="25351"/>
    <cellStyle name="40% - akcent 5 3 2 2 3 5 3" xfId="25352"/>
    <cellStyle name="40% - akcent 5 3 2 2 3 6" xfId="25353"/>
    <cellStyle name="40% - akcent 5 3 2 2 3 6 2" xfId="25354"/>
    <cellStyle name="40% - akcent 5 3 2 2 3 7" xfId="25355"/>
    <cellStyle name="40% - akcent 5 3 2 2 4" xfId="25356"/>
    <cellStyle name="40% - akcent 5 3 2 2 4 2" xfId="25357"/>
    <cellStyle name="40% - akcent 5 3 2 2 4 2 2" xfId="25358"/>
    <cellStyle name="40% - akcent 5 3 2 2 4 2 2 2" xfId="25359"/>
    <cellStyle name="40% - akcent 5 3 2 2 4 2 3" xfId="25360"/>
    <cellStyle name="40% - akcent 5 3 2 2 4 3" xfId="25361"/>
    <cellStyle name="40% - akcent 5 3 2 2 4 3 2" xfId="25362"/>
    <cellStyle name="40% - akcent 5 3 2 2 4 3 2 2" xfId="25363"/>
    <cellStyle name="40% - akcent 5 3 2 2 4 3 3" xfId="25364"/>
    <cellStyle name="40% - akcent 5 3 2 2 4 4" xfId="25365"/>
    <cellStyle name="40% - akcent 5 3 2 2 4 4 2" xfId="25366"/>
    <cellStyle name="40% - akcent 5 3 2 2 4 4 2 2" xfId="25367"/>
    <cellStyle name="40% - akcent 5 3 2 2 4 4 3" xfId="25368"/>
    <cellStyle name="40% - akcent 5 3 2 2 4 5" xfId="25369"/>
    <cellStyle name="40% - akcent 5 3 2 2 4 5 2" xfId="25370"/>
    <cellStyle name="40% - akcent 5 3 2 2 4 6" xfId="25371"/>
    <cellStyle name="40% - akcent 5 3 2 2 5" xfId="25372"/>
    <cellStyle name="40% - akcent 5 3 2 2 5 2" xfId="25373"/>
    <cellStyle name="40% - akcent 5 3 2 2 5 2 2" xfId="25374"/>
    <cellStyle name="40% - akcent 5 3 2 2 5 2 2 2" xfId="25375"/>
    <cellStyle name="40% - akcent 5 3 2 2 5 2 3" xfId="25376"/>
    <cellStyle name="40% - akcent 5 3 2 2 5 3" xfId="25377"/>
    <cellStyle name="40% - akcent 5 3 2 2 5 3 2" xfId="25378"/>
    <cellStyle name="40% - akcent 5 3 2 2 5 3 2 2" xfId="25379"/>
    <cellStyle name="40% - akcent 5 3 2 2 5 3 3" xfId="25380"/>
    <cellStyle name="40% - akcent 5 3 2 2 5 4" xfId="25381"/>
    <cellStyle name="40% - akcent 5 3 2 2 5 4 2" xfId="25382"/>
    <cellStyle name="40% - akcent 5 3 2 2 5 4 2 2" xfId="25383"/>
    <cellStyle name="40% - akcent 5 3 2 2 5 4 3" xfId="25384"/>
    <cellStyle name="40% - akcent 5 3 2 2 5 5" xfId="25385"/>
    <cellStyle name="40% - akcent 5 3 2 2 5 5 2" xfId="25386"/>
    <cellStyle name="40% - akcent 5 3 2 2 5 6" xfId="25387"/>
    <cellStyle name="40% - akcent 5 3 2 2 6" xfId="25388"/>
    <cellStyle name="40% - akcent 5 3 2 2 6 2" xfId="25389"/>
    <cellStyle name="40% - akcent 5 3 2 2 6 2 2" xfId="25390"/>
    <cellStyle name="40% - akcent 5 3 2 2 6 3" xfId="25391"/>
    <cellStyle name="40% - akcent 5 3 2 2 7" xfId="25392"/>
    <cellStyle name="40% - akcent 5 3 2 2 7 2" xfId="25393"/>
    <cellStyle name="40% - akcent 5 3 2 2 7 2 2" xfId="25394"/>
    <cellStyle name="40% - akcent 5 3 2 2 7 3" xfId="25395"/>
    <cellStyle name="40% - akcent 5 3 2 2 8" xfId="25396"/>
    <cellStyle name="40% - akcent 5 3 2 2 8 2" xfId="25397"/>
    <cellStyle name="40% - akcent 5 3 2 2 8 2 2" xfId="25398"/>
    <cellStyle name="40% - akcent 5 3 2 2 8 3" xfId="25399"/>
    <cellStyle name="40% - akcent 5 3 2 2 9" xfId="25400"/>
    <cellStyle name="40% - akcent 5 3 2 2 9 2" xfId="25401"/>
    <cellStyle name="40% - akcent 5 3 2 3" xfId="25402"/>
    <cellStyle name="40% - akcent 5 3 2 3 2" xfId="25403"/>
    <cellStyle name="40% - akcent 5 3 2 3 2 2" xfId="25404"/>
    <cellStyle name="40% - akcent 5 3 2 3 2 2 2" xfId="25405"/>
    <cellStyle name="40% - akcent 5 3 2 3 2 2 2 2" xfId="25406"/>
    <cellStyle name="40% - akcent 5 3 2 3 2 2 2 2 2" xfId="25407"/>
    <cellStyle name="40% - akcent 5 3 2 3 2 2 2 3" xfId="25408"/>
    <cellStyle name="40% - akcent 5 3 2 3 2 2 3" xfId="25409"/>
    <cellStyle name="40% - akcent 5 3 2 3 2 2 3 2" xfId="25410"/>
    <cellStyle name="40% - akcent 5 3 2 3 2 2 3 2 2" xfId="25411"/>
    <cellStyle name="40% - akcent 5 3 2 3 2 2 3 3" xfId="25412"/>
    <cellStyle name="40% - akcent 5 3 2 3 2 2 4" xfId="25413"/>
    <cellStyle name="40% - akcent 5 3 2 3 2 2 4 2" xfId="25414"/>
    <cellStyle name="40% - akcent 5 3 2 3 2 2 4 2 2" xfId="25415"/>
    <cellStyle name="40% - akcent 5 3 2 3 2 2 4 3" xfId="25416"/>
    <cellStyle name="40% - akcent 5 3 2 3 2 2 5" xfId="25417"/>
    <cellStyle name="40% - akcent 5 3 2 3 2 2 5 2" xfId="25418"/>
    <cellStyle name="40% - akcent 5 3 2 3 2 2 6" xfId="25419"/>
    <cellStyle name="40% - akcent 5 3 2 3 2 3" xfId="25420"/>
    <cellStyle name="40% - akcent 5 3 2 3 2 3 2" xfId="25421"/>
    <cellStyle name="40% - akcent 5 3 2 3 2 3 2 2" xfId="25422"/>
    <cellStyle name="40% - akcent 5 3 2 3 2 3 3" xfId="25423"/>
    <cellStyle name="40% - akcent 5 3 2 3 2 4" xfId="25424"/>
    <cellStyle name="40% - akcent 5 3 2 3 2 4 2" xfId="25425"/>
    <cellStyle name="40% - akcent 5 3 2 3 2 4 2 2" xfId="25426"/>
    <cellStyle name="40% - akcent 5 3 2 3 2 4 3" xfId="25427"/>
    <cellStyle name="40% - akcent 5 3 2 3 2 5" xfId="25428"/>
    <cellStyle name="40% - akcent 5 3 2 3 2 5 2" xfId="25429"/>
    <cellStyle name="40% - akcent 5 3 2 3 2 5 2 2" xfId="25430"/>
    <cellStyle name="40% - akcent 5 3 2 3 2 5 3" xfId="25431"/>
    <cellStyle name="40% - akcent 5 3 2 3 2 6" xfId="25432"/>
    <cellStyle name="40% - akcent 5 3 2 3 2 6 2" xfId="25433"/>
    <cellStyle name="40% - akcent 5 3 2 3 2 7" xfId="25434"/>
    <cellStyle name="40% - akcent 5 3 2 3 3" xfId="25435"/>
    <cellStyle name="40% - akcent 5 3 2 3 3 2" xfId="25436"/>
    <cellStyle name="40% - akcent 5 3 2 3 3 2 2" xfId="25437"/>
    <cellStyle name="40% - akcent 5 3 2 3 3 2 2 2" xfId="25438"/>
    <cellStyle name="40% - akcent 5 3 2 3 3 2 3" xfId="25439"/>
    <cellStyle name="40% - akcent 5 3 2 3 3 3" xfId="25440"/>
    <cellStyle name="40% - akcent 5 3 2 3 3 3 2" xfId="25441"/>
    <cellStyle name="40% - akcent 5 3 2 3 3 3 2 2" xfId="25442"/>
    <cellStyle name="40% - akcent 5 3 2 3 3 3 3" xfId="25443"/>
    <cellStyle name="40% - akcent 5 3 2 3 3 4" xfId="25444"/>
    <cellStyle name="40% - akcent 5 3 2 3 3 4 2" xfId="25445"/>
    <cellStyle name="40% - akcent 5 3 2 3 3 4 2 2" xfId="25446"/>
    <cellStyle name="40% - akcent 5 3 2 3 3 4 3" xfId="25447"/>
    <cellStyle name="40% - akcent 5 3 2 3 3 5" xfId="25448"/>
    <cellStyle name="40% - akcent 5 3 2 3 3 5 2" xfId="25449"/>
    <cellStyle name="40% - akcent 5 3 2 3 3 6" xfId="25450"/>
    <cellStyle name="40% - akcent 5 3 2 3 4" xfId="25451"/>
    <cellStyle name="40% - akcent 5 3 2 3 4 2" xfId="25452"/>
    <cellStyle name="40% - akcent 5 3 2 3 4 2 2" xfId="25453"/>
    <cellStyle name="40% - akcent 5 3 2 3 4 2 2 2" xfId="25454"/>
    <cellStyle name="40% - akcent 5 3 2 3 4 2 3" xfId="25455"/>
    <cellStyle name="40% - akcent 5 3 2 3 4 3" xfId="25456"/>
    <cellStyle name="40% - akcent 5 3 2 3 4 3 2" xfId="25457"/>
    <cellStyle name="40% - akcent 5 3 2 3 4 3 2 2" xfId="25458"/>
    <cellStyle name="40% - akcent 5 3 2 3 4 3 3" xfId="25459"/>
    <cellStyle name="40% - akcent 5 3 2 3 4 4" xfId="25460"/>
    <cellStyle name="40% - akcent 5 3 2 3 4 4 2" xfId="25461"/>
    <cellStyle name="40% - akcent 5 3 2 3 4 4 2 2" xfId="25462"/>
    <cellStyle name="40% - akcent 5 3 2 3 4 4 3" xfId="25463"/>
    <cellStyle name="40% - akcent 5 3 2 3 4 5" xfId="25464"/>
    <cellStyle name="40% - akcent 5 3 2 3 4 5 2" xfId="25465"/>
    <cellStyle name="40% - akcent 5 3 2 3 4 6" xfId="25466"/>
    <cellStyle name="40% - akcent 5 3 2 3 5" xfId="25467"/>
    <cellStyle name="40% - akcent 5 3 2 3 5 2" xfId="25468"/>
    <cellStyle name="40% - akcent 5 3 2 3 5 2 2" xfId="25469"/>
    <cellStyle name="40% - akcent 5 3 2 3 5 3" xfId="25470"/>
    <cellStyle name="40% - akcent 5 3 2 3 6" xfId="25471"/>
    <cellStyle name="40% - akcent 5 3 2 3 6 2" xfId="25472"/>
    <cellStyle name="40% - akcent 5 3 2 3 6 2 2" xfId="25473"/>
    <cellStyle name="40% - akcent 5 3 2 3 6 3" xfId="25474"/>
    <cellStyle name="40% - akcent 5 3 2 3 7" xfId="25475"/>
    <cellStyle name="40% - akcent 5 3 2 3 7 2" xfId="25476"/>
    <cellStyle name="40% - akcent 5 3 2 3 7 2 2" xfId="25477"/>
    <cellStyle name="40% - akcent 5 3 2 3 7 3" xfId="25478"/>
    <cellStyle name="40% - akcent 5 3 2 3 8" xfId="25479"/>
    <cellStyle name="40% - akcent 5 3 2 3 8 2" xfId="25480"/>
    <cellStyle name="40% - akcent 5 3 2 3 9" xfId="25481"/>
    <cellStyle name="40% - akcent 5 3 2 4" xfId="25482"/>
    <cellStyle name="40% - akcent 5 3 2 4 2" xfId="25483"/>
    <cellStyle name="40% - akcent 5 3 2 4 2 2" xfId="25484"/>
    <cellStyle name="40% - akcent 5 3 2 4 2 2 2" xfId="25485"/>
    <cellStyle name="40% - akcent 5 3 2 4 2 2 2 2" xfId="25486"/>
    <cellStyle name="40% - akcent 5 3 2 4 2 2 3" xfId="25487"/>
    <cellStyle name="40% - akcent 5 3 2 4 2 3" xfId="25488"/>
    <cellStyle name="40% - akcent 5 3 2 4 2 3 2" xfId="25489"/>
    <cellStyle name="40% - akcent 5 3 2 4 2 3 2 2" xfId="25490"/>
    <cellStyle name="40% - akcent 5 3 2 4 2 3 3" xfId="25491"/>
    <cellStyle name="40% - akcent 5 3 2 4 2 4" xfId="25492"/>
    <cellStyle name="40% - akcent 5 3 2 4 2 4 2" xfId="25493"/>
    <cellStyle name="40% - akcent 5 3 2 4 2 4 2 2" xfId="25494"/>
    <cellStyle name="40% - akcent 5 3 2 4 2 4 3" xfId="25495"/>
    <cellStyle name="40% - akcent 5 3 2 4 2 5" xfId="25496"/>
    <cellStyle name="40% - akcent 5 3 2 4 2 5 2" xfId="25497"/>
    <cellStyle name="40% - akcent 5 3 2 4 2 6" xfId="25498"/>
    <cellStyle name="40% - akcent 5 3 2 4 3" xfId="25499"/>
    <cellStyle name="40% - akcent 5 3 2 4 3 2" xfId="25500"/>
    <cellStyle name="40% - akcent 5 3 2 4 3 2 2" xfId="25501"/>
    <cellStyle name="40% - akcent 5 3 2 4 3 3" xfId="25502"/>
    <cellStyle name="40% - akcent 5 3 2 4 4" xfId="25503"/>
    <cellStyle name="40% - akcent 5 3 2 4 4 2" xfId="25504"/>
    <cellStyle name="40% - akcent 5 3 2 4 4 2 2" xfId="25505"/>
    <cellStyle name="40% - akcent 5 3 2 4 4 3" xfId="25506"/>
    <cellStyle name="40% - akcent 5 3 2 4 5" xfId="25507"/>
    <cellStyle name="40% - akcent 5 3 2 4 5 2" xfId="25508"/>
    <cellStyle name="40% - akcent 5 3 2 4 5 2 2" xfId="25509"/>
    <cellStyle name="40% - akcent 5 3 2 4 5 3" xfId="25510"/>
    <cellStyle name="40% - akcent 5 3 2 4 6" xfId="25511"/>
    <cellStyle name="40% - akcent 5 3 2 4 6 2" xfId="25512"/>
    <cellStyle name="40% - akcent 5 3 2 4 7" xfId="25513"/>
    <cellStyle name="40% - akcent 5 3 2 5" xfId="25514"/>
    <cellStyle name="40% - akcent 5 3 2 5 2" xfId="25515"/>
    <cellStyle name="40% - akcent 5 3 2 5 2 2" xfId="25516"/>
    <cellStyle name="40% - akcent 5 3 2 5 2 2 2" xfId="25517"/>
    <cellStyle name="40% - akcent 5 3 2 5 2 3" xfId="25518"/>
    <cellStyle name="40% - akcent 5 3 2 5 3" xfId="25519"/>
    <cellStyle name="40% - akcent 5 3 2 5 3 2" xfId="25520"/>
    <cellStyle name="40% - akcent 5 3 2 5 3 2 2" xfId="25521"/>
    <cellStyle name="40% - akcent 5 3 2 5 3 3" xfId="25522"/>
    <cellStyle name="40% - akcent 5 3 2 5 4" xfId="25523"/>
    <cellStyle name="40% - akcent 5 3 2 5 4 2" xfId="25524"/>
    <cellStyle name="40% - akcent 5 3 2 5 4 2 2" xfId="25525"/>
    <cellStyle name="40% - akcent 5 3 2 5 4 3" xfId="25526"/>
    <cellStyle name="40% - akcent 5 3 2 5 5" xfId="25527"/>
    <cellStyle name="40% - akcent 5 3 2 5 5 2" xfId="25528"/>
    <cellStyle name="40% - akcent 5 3 2 5 6" xfId="25529"/>
    <cellStyle name="40% - akcent 5 3 2 6" xfId="25530"/>
    <cellStyle name="40% - akcent 5 3 2 6 2" xfId="25531"/>
    <cellStyle name="40% - akcent 5 3 2 6 2 2" xfId="25532"/>
    <cellStyle name="40% - akcent 5 3 2 6 2 2 2" xfId="25533"/>
    <cellStyle name="40% - akcent 5 3 2 6 2 3" xfId="25534"/>
    <cellStyle name="40% - akcent 5 3 2 6 3" xfId="25535"/>
    <cellStyle name="40% - akcent 5 3 2 6 3 2" xfId="25536"/>
    <cellStyle name="40% - akcent 5 3 2 6 3 2 2" xfId="25537"/>
    <cellStyle name="40% - akcent 5 3 2 6 3 3" xfId="25538"/>
    <cellStyle name="40% - akcent 5 3 2 6 4" xfId="25539"/>
    <cellStyle name="40% - akcent 5 3 2 6 4 2" xfId="25540"/>
    <cellStyle name="40% - akcent 5 3 2 6 4 2 2" xfId="25541"/>
    <cellStyle name="40% - akcent 5 3 2 6 4 3" xfId="25542"/>
    <cellStyle name="40% - akcent 5 3 2 6 5" xfId="25543"/>
    <cellStyle name="40% - akcent 5 3 2 6 5 2" xfId="25544"/>
    <cellStyle name="40% - akcent 5 3 2 6 6" xfId="25545"/>
    <cellStyle name="40% - akcent 5 3 2 7" xfId="25546"/>
    <cellStyle name="40% - akcent 5 3 2 8" xfId="25547"/>
    <cellStyle name="40% - akcent 5 3 2 8 2" xfId="25548"/>
    <cellStyle name="40% - akcent 5 3 2 8 2 2" xfId="25549"/>
    <cellStyle name="40% - akcent 5 3 2 8 2 2 2" xfId="25550"/>
    <cellStyle name="40% - akcent 5 3 2 8 2 3" xfId="25551"/>
    <cellStyle name="40% - akcent 5 3 2 8 3" xfId="25552"/>
    <cellStyle name="40% - akcent 5 3 2 8 3 2" xfId="25553"/>
    <cellStyle name="40% - akcent 5 3 2 8 3 2 2" xfId="25554"/>
    <cellStyle name="40% - akcent 5 3 2 8 3 3" xfId="25555"/>
    <cellStyle name="40% - akcent 5 3 2 8 4" xfId="25556"/>
    <cellStyle name="40% - akcent 5 3 2 8 4 2" xfId="25557"/>
    <cellStyle name="40% - akcent 5 3 2 8 4 2 2" xfId="25558"/>
    <cellStyle name="40% - akcent 5 3 2 8 4 3" xfId="25559"/>
    <cellStyle name="40% - akcent 5 3 2 8 5" xfId="25560"/>
    <cellStyle name="40% - akcent 5 3 2 8 5 2" xfId="25561"/>
    <cellStyle name="40% - akcent 5 3 2 8 6" xfId="25562"/>
    <cellStyle name="40% - akcent 5 3 3" xfId="25563"/>
    <cellStyle name="40% - akcent 5 3 3 2" xfId="25564"/>
    <cellStyle name="40% - akcent 5 3 3 2 2" xfId="25565"/>
    <cellStyle name="40% - akcent 5 3 3 2 2 2" xfId="25566"/>
    <cellStyle name="40% - akcent 5 3 3 2 2 2 2" xfId="25567"/>
    <cellStyle name="40% - akcent 5 3 3 2 2 2 2 2" xfId="25568"/>
    <cellStyle name="40% - akcent 5 3 3 2 2 2 2 2 2" xfId="25569"/>
    <cellStyle name="40% - akcent 5 3 3 2 2 2 2 3" xfId="25570"/>
    <cellStyle name="40% - akcent 5 3 3 2 2 2 3" xfId="25571"/>
    <cellStyle name="40% - akcent 5 3 3 2 2 2 3 2" xfId="25572"/>
    <cellStyle name="40% - akcent 5 3 3 2 2 2 3 2 2" xfId="25573"/>
    <cellStyle name="40% - akcent 5 3 3 2 2 2 3 3" xfId="25574"/>
    <cellStyle name="40% - akcent 5 3 3 2 2 2 4" xfId="25575"/>
    <cellStyle name="40% - akcent 5 3 3 2 2 2 4 2" xfId="25576"/>
    <cellStyle name="40% - akcent 5 3 3 2 2 2 4 2 2" xfId="25577"/>
    <cellStyle name="40% - akcent 5 3 3 2 2 2 4 3" xfId="25578"/>
    <cellStyle name="40% - akcent 5 3 3 2 2 2 5" xfId="25579"/>
    <cellStyle name="40% - akcent 5 3 3 2 2 2 5 2" xfId="25580"/>
    <cellStyle name="40% - akcent 5 3 3 2 2 2 6" xfId="25581"/>
    <cellStyle name="40% - akcent 5 3 3 2 2 3" xfId="25582"/>
    <cellStyle name="40% - akcent 5 3 3 2 2 3 2" xfId="25583"/>
    <cellStyle name="40% - akcent 5 3 3 2 2 3 2 2" xfId="25584"/>
    <cellStyle name="40% - akcent 5 3 3 2 2 3 3" xfId="25585"/>
    <cellStyle name="40% - akcent 5 3 3 2 2 4" xfId="25586"/>
    <cellStyle name="40% - akcent 5 3 3 2 2 4 2" xfId="25587"/>
    <cellStyle name="40% - akcent 5 3 3 2 2 4 2 2" xfId="25588"/>
    <cellStyle name="40% - akcent 5 3 3 2 2 4 3" xfId="25589"/>
    <cellStyle name="40% - akcent 5 3 3 2 2 5" xfId="25590"/>
    <cellStyle name="40% - akcent 5 3 3 2 2 5 2" xfId="25591"/>
    <cellStyle name="40% - akcent 5 3 3 2 2 5 2 2" xfId="25592"/>
    <cellStyle name="40% - akcent 5 3 3 2 2 5 3" xfId="25593"/>
    <cellStyle name="40% - akcent 5 3 3 2 2 6" xfId="25594"/>
    <cellStyle name="40% - akcent 5 3 3 2 2 6 2" xfId="25595"/>
    <cellStyle name="40% - akcent 5 3 3 2 2 7" xfId="25596"/>
    <cellStyle name="40% - akcent 5 3 3 2 3" xfId="25597"/>
    <cellStyle name="40% - akcent 5 3 3 2 3 2" xfId="25598"/>
    <cellStyle name="40% - akcent 5 3 3 2 3 2 2" xfId="25599"/>
    <cellStyle name="40% - akcent 5 3 3 2 3 2 2 2" xfId="25600"/>
    <cellStyle name="40% - akcent 5 3 3 2 3 2 3" xfId="25601"/>
    <cellStyle name="40% - akcent 5 3 3 2 3 3" xfId="25602"/>
    <cellStyle name="40% - akcent 5 3 3 2 3 3 2" xfId="25603"/>
    <cellStyle name="40% - akcent 5 3 3 2 3 3 2 2" xfId="25604"/>
    <cellStyle name="40% - akcent 5 3 3 2 3 3 3" xfId="25605"/>
    <cellStyle name="40% - akcent 5 3 3 2 3 4" xfId="25606"/>
    <cellStyle name="40% - akcent 5 3 3 2 3 4 2" xfId="25607"/>
    <cellStyle name="40% - akcent 5 3 3 2 3 4 2 2" xfId="25608"/>
    <cellStyle name="40% - akcent 5 3 3 2 3 4 3" xfId="25609"/>
    <cellStyle name="40% - akcent 5 3 3 2 3 5" xfId="25610"/>
    <cellStyle name="40% - akcent 5 3 3 2 3 5 2" xfId="25611"/>
    <cellStyle name="40% - akcent 5 3 3 2 3 6" xfId="25612"/>
    <cellStyle name="40% - akcent 5 3 3 2 4" xfId="25613"/>
    <cellStyle name="40% - akcent 5 3 3 2 4 2" xfId="25614"/>
    <cellStyle name="40% - akcent 5 3 3 2 4 2 2" xfId="25615"/>
    <cellStyle name="40% - akcent 5 3 3 2 4 2 2 2" xfId="25616"/>
    <cellStyle name="40% - akcent 5 3 3 2 4 2 3" xfId="25617"/>
    <cellStyle name="40% - akcent 5 3 3 2 4 3" xfId="25618"/>
    <cellStyle name="40% - akcent 5 3 3 2 4 3 2" xfId="25619"/>
    <cellStyle name="40% - akcent 5 3 3 2 4 3 2 2" xfId="25620"/>
    <cellStyle name="40% - akcent 5 3 3 2 4 3 3" xfId="25621"/>
    <cellStyle name="40% - akcent 5 3 3 2 4 4" xfId="25622"/>
    <cellStyle name="40% - akcent 5 3 3 2 4 4 2" xfId="25623"/>
    <cellStyle name="40% - akcent 5 3 3 2 4 4 2 2" xfId="25624"/>
    <cellStyle name="40% - akcent 5 3 3 2 4 4 3" xfId="25625"/>
    <cellStyle name="40% - akcent 5 3 3 2 4 5" xfId="25626"/>
    <cellStyle name="40% - akcent 5 3 3 2 4 5 2" xfId="25627"/>
    <cellStyle name="40% - akcent 5 3 3 2 4 6" xfId="25628"/>
    <cellStyle name="40% - akcent 5 3 3 2 5" xfId="25629"/>
    <cellStyle name="40% - akcent 5 3 3 2 5 2" xfId="25630"/>
    <cellStyle name="40% - akcent 5 3 3 2 5 2 2" xfId="25631"/>
    <cellStyle name="40% - akcent 5 3 3 2 5 3" xfId="25632"/>
    <cellStyle name="40% - akcent 5 3 3 2 6" xfId="25633"/>
    <cellStyle name="40% - akcent 5 3 3 2 6 2" xfId="25634"/>
    <cellStyle name="40% - akcent 5 3 3 2 6 2 2" xfId="25635"/>
    <cellStyle name="40% - akcent 5 3 3 2 6 3" xfId="25636"/>
    <cellStyle name="40% - akcent 5 3 3 2 7" xfId="25637"/>
    <cellStyle name="40% - akcent 5 3 3 2 7 2" xfId="25638"/>
    <cellStyle name="40% - akcent 5 3 3 2 7 2 2" xfId="25639"/>
    <cellStyle name="40% - akcent 5 3 3 2 7 3" xfId="25640"/>
    <cellStyle name="40% - akcent 5 3 3 2 8" xfId="25641"/>
    <cellStyle name="40% - akcent 5 3 3 2 8 2" xfId="25642"/>
    <cellStyle name="40% - akcent 5 3 3 2 9" xfId="25643"/>
    <cellStyle name="40% - akcent 5 3 3 3" xfId="25644"/>
    <cellStyle name="40% - akcent 5 3 3 3 2" xfId="25645"/>
    <cellStyle name="40% - akcent 5 3 3 3 2 2" xfId="25646"/>
    <cellStyle name="40% - akcent 5 3 3 3 2 2 2" xfId="25647"/>
    <cellStyle name="40% - akcent 5 3 3 3 2 2 2 2" xfId="25648"/>
    <cellStyle name="40% - akcent 5 3 3 3 2 2 3" xfId="25649"/>
    <cellStyle name="40% - akcent 5 3 3 3 2 3" xfId="25650"/>
    <cellStyle name="40% - akcent 5 3 3 3 2 3 2" xfId="25651"/>
    <cellStyle name="40% - akcent 5 3 3 3 2 3 2 2" xfId="25652"/>
    <cellStyle name="40% - akcent 5 3 3 3 2 3 3" xfId="25653"/>
    <cellStyle name="40% - akcent 5 3 3 3 2 4" xfId="25654"/>
    <cellStyle name="40% - akcent 5 3 3 3 2 4 2" xfId="25655"/>
    <cellStyle name="40% - akcent 5 3 3 3 2 4 2 2" xfId="25656"/>
    <cellStyle name="40% - akcent 5 3 3 3 2 4 3" xfId="25657"/>
    <cellStyle name="40% - akcent 5 3 3 3 2 5" xfId="25658"/>
    <cellStyle name="40% - akcent 5 3 3 3 2 5 2" xfId="25659"/>
    <cellStyle name="40% - akcent 5 3 3 3 2 6" xfId="25660"/>
    <cellStyle name="40% - akcent 5 3 3 3 3" xfId="25661"/>
    <cellStyle name="40% - akcent 5 3 3 3 3 2" xfId="25662"/>
    <cellStyle name="40% - akcent 5 3 3 3 3 2 2" xfId="25663"/>
    <cellStyle name="40% - akcent 5 3 3 3 3 3" xfId="25664"/>
    <cellStyle name="40% - akcent 5 3 3 3 4" xfId="25665"/>
    <cellStyle name="40% - akcent 5 3 3 3 4 2" xfId="25666"/>
    <cellStyle name="40% - akcent 5 3 3 3 4 2 2" xfId="25667"/>
    <cellStyle name="40% - akcent 5 3 3 3 4 3" xfId="25668"/>
    <cellStyle name="40% - akcent 5 3 3 3 5" xfId="25669"/>
    <cellStyle name="40% - akcent 5 3 3 3 5 2" xfId="25670"/>
    <cellStyle name="40% - akcent 5 3 3 3 5 2 2" xfId="25671"/>
    <cellStyle name="40% - akcent 5 3 3 3 5 3" xfId="25672"/>
    <cellStyle name="40% - akcent 5 3 3 3 6" xfId="25673"/>
    <cellStyle name="40% - akcent 5 3 3 3 6 2" xfId="25674"/>
    <cellStyle name="40% - akcent 5 3 3 3 7" xfId="25675"/>
    <cellStyle name="40% - akcent 5 3 3 4" xfId="25676"/>
    <cellStyle name="40% - akcent 5 3 3 4 2" xfId="25677"/>
    <cellStyle name="40% - akcent 5 3 3 4 2 2" xfId="25678"/>
    <cellStyle name="40% - akcent 5 3 3 4 2 2 2" xfId="25679"/>
    <cellStyle name="40% - akcent 5 3 3 4 2 3" xfId="25680"/>
    <cellStyle name="40% - akcent 5 3 3 4 3" xfId="25681"/>
    <cellStyle name="40% - akcent 5 3 3 4 3 2" xfId="25682"/>
    <cellStyle name="40% - akcent 5 3 3 4 3 2 2" xfId="25683"/>
    <cellStyle name="40% - akcent 5 3 3 4 3 3" xfId="25684"/>
    <cellStyle name="40% - akcent 5 3 3 4 4" xfId="25685"/>
    <cellStyle name="40% - akcent 5 3 3 4 4 2" xfId="25686"/>
    <cellStyle name="40% - akcent 5 3 3 4 4 2 2" xfId="25687"/>
    <cellStyle name="40% - akcent 5 3 3 4 4 3" xfId="25688"/>
    <cellStyle name="40% - akcent 5 3 3 4 5" xfId="25689"/>
    <cellStyle name="40% - akcent 5 3 3 4 5 2" xfId="25690"/>
    <cellStyle name="40% - akcent 5 3 3 4 6" xfId="25691"/>
    <cellStyle name="40% - akcent 5 3 3 5" xfId="25692"/>
    <cellStyle name="40% - akcent 5 3 3 5 2" xfId="25693"/>
    <cellStyle name="40% - akcent 5 3 3 5 2 2" xfId="25694"/>
    <cellStyle name="40% - akcent 5 3 3 5 2 2 2" xfId="25695"/>
    <cellStyle name="40% - akcent 5 3 3 5 2 3" xfId="25696"/>
    <cellStyle name="40% - akcent 5 3 3 5 3" xfId="25697"/>
    <cellStyle name="40% - akcent 5 3 3 5 3 2" xfId="25698"/>
    <cellStyle name="40% - akcent 5 3 3 5 3 2 2" xfId="25699"/>
    <cellStyle name="40% - akcent 5 3 3 5 3 3" xfId="25700"/>
    <cellStyle name="40% - akcent 5 3 3 5 4" xfId="25701"/>
    <cellStyle name="40% - akcent 5 3 3 5 4 2" xfId="25702"/>
    <cellStyle name="40% - akcent 5 3 3 5 4 2 2" xfId="25703"/>
    <cellStyle name="40% - akcent 5 3 3 5 4 3" xfId="25704"/>
    <cellStyle name="40% - akcent 5 3 3 5 5" xfId="25705"/>
    <cellStyle name="40% - akcent 5 3 3 5 5 2" xfId="25706"/>
    <cellStyle name="40% - akcent 5 3 3 5 6" xfId="25707"/>
    <cellStyle name="40% - akcent 5 3 3 6" xfId="25708"/>
    <cellStyle name="40% - akcent 5 3 3 6 2" xfId="25709"/>
    <cellStyle name="40% - akcent 5 3 3 6 2 2" xfId="25710"/>
    <cellStyle name="40% - akcent 5 3 3 6 2 2 2" xfId="25711"/>
    <cellStyle name="40% - akcent 5 3 3 6 2 3" xfId="25712"/>
    <cellStyle name="40% - akcent 5 3 3 6 3" xfId="25713"/>
    <cellStyle name="40% - akcent 5 3 3 6 3 2" xfId="25714"/>
    <cellStyle name="40% - akcent 5 3 3 6 3 2 2" xfId="25715"/>
    <cellStyle name="40% - akcent 5 3 3 6 3 3" xfId="25716"/>
    <cellStyle name="40% - akcent 5 3 3 6 4" xfId="25717"/>
    <cellStyle name="40% - akcent 5 3 3 6 4 2" xfId="25718"/>
    <cellStyle name="40% - akcent 5 3 3 6 4 2 2" xfId="25719"/>
    <cellStyle name="40% - akcent 5 3 3 6 4 3" xfId="25720"/>
    <cellStyle name="40% - akcent 5 3 3 6 5" xfId="25721"/>
    <cellStyle name="40% - akcent 5 3 3 6 5 2" xfId="25722"/>
    <cellStyle name="40% - akcent 5 3 3 6 6" xfId="25723"/>
    <cellStyle name="40% - akcent 5 3 4" xfId="25724"/>
    <cellStyle name="40% - akcent 5 3 4 10" xfId="25725"/>
    <cellStyle name="40% - akcent 5 3 4 2" xfId="25726"/>
    <cellStyle name="40% - akcent 5 3 4 2 2" xfId="25727"/>
    <cellStyle name="40% - akcent 5 3 4 2 2 2" xfId="25728"/>
    <cellStyle name="40% - akcent 5 3 4 2 2 2 2" xfId="25729"/>
    <cellStyle name="40% - akcent 5 3 4 2 2 2 2 2" xfId="25730"/>
    <cellStyle name="40% - akcent 5 3 4 2 2 2 2 2 2" xfId="25731"/>
    <cellStyle name="40% - akcent 5 3 4 2 2 2 2 3" xfId="25732"/>
    <cellStyle name="40% - akcent 5 3 4 2 2 2 3" xfId="25733"/>
    <cellStyle name="40% - akcent 5 3 4 2 2 2 3 2" xfId="25734"/>
    <cellStyle name="40% - akcent 5 3 4 2 2 2 3 2 2" xfId="25735"/>
    <cellStyle name="40% - akcent 5 3 4 2 2 2 3 3" xfId="25736"/>
    <cellStyle name="40% - akcent 5 3 4 2 2 2 4" xfId="25737"/>
    <cellStyle name="40% - akcent 5 3 4 2 2 2 4 2" xfId="25738"/>
    <cellStyle name="40% - akcent 5 3 4 2 2 2 4 2 2" xfId="25739"/>
    <cellStyle name="40% - akcent 5 3 4 2 2 2 4 3" xfId="25740"/>
    <cellStyle name="40% - akcent 5 3 4 2 2 2 5" xfId="25741"/>
    <cellStyle name="40% - akcent 5 3 4 2 2 2 5 2" xfId="25742"/>
    <cellStyle name="40% - akcent 5 3 4 2 2 2 6" xfId="25743"/>
    <cellStyle name="40% - akcent 5 3 4 2 2 3" xfId="25744"/>
    <cellStyle name="40% - akcent 5 3 4 2 2 3 2" xfId="25745"/>
    <cellStyle name="40% - akcent 5 3 4 2 2 3 2 2" xfId="25746"/>
    <cellStyle name="40% - akcent 5 3 4 2 2 3 3" xfId="25747"/>
    <cellStyle name="40% - akcent 5 3 4 2 2 4" xfId="25748"/>
    <cellStyle name="40% - akcent 5 3 4 2 2 4 2" xfId="25749"/>
    <cellStyle name="40% - akcent 5 3 4 2 2 4 2 2" xfId="25750"/>
    <cellStyle name="40% - akcent 5 3 4 2 2 4 3" xfId="25751"/>
    <cellStyle name="40% - akcent 5 3 4 2 2 5" xfId="25752"/>
    <cellStyle name="40% - akcent 5 3 4 2 2 5 2" xfId="25753"/>
    <cellStyle name="40% - akcent 5 3 4 2 2 5 2 2" xfId="25754"/>
    <cellStyle name="40% - akcent 5 3 4 2 2 5 3" xfId="25755"/>
    <cellStyle name="40% - akcent 5 3 4 2 2 6" xfId="25756"/>
    <cellStyle name="40% - akcent 5 3 4 2 2 6 2" xfId="25757"/>
    <cellStyle name="40% - akcent 5 3 4 2 2 7" xfId="25758"/>
    <cellStyle name="40% - akcent 5 3 4 2 3" xfId="25759"/>
    <cellStyle name="40% - akcent 5 3 4 2 3 2" xfId="25760"/>
    <cellStyle name="40% - akcent 5 3 4 2 3 2 2" xfId="25761"/>
    <cellStyle name="40% - akcent 5 3 4 2 3 2 2 2" xfId="25762"/>
    <cellStyle name="40% - akcent 5 3 4 2 3 2 3" xfId="25763"/>
    <cellStyle name="40% - akcent 5 3 4 2 3 3" xfId="25764"/>
    <cellStyle name="40% - akcent 5 3 4 2 3 3 2" xfId="25765"/>
    <cellStyle name="40% - akcent 5 3 4 2 3 3 2 2" xfId="25766"/>
    <cellStyle name="40% - akcent 5 3 4 2 3 3 3" xfId="25767"/>
    <cellStyle name="40% - akcent 5 3 4 2 3 4" xfId="25768"/>
    <cellStyle name="40% - akcent 5 3 4 2 3 4 2" xfId="25769"/>
    <cellStyle name="40% - akcent 5 3 4 2 3 4 2 2" xfId="25770"/>
    <cellStyle name="40% - akcent 5 3 4 2 3 4 3" xfId="25771"/>
    <cellStyle name="40% - akcent 5 3 4 2 3 5" xfId="25772"/>
    <cellStyle name="40% - akcent 5 3 4 2 3 5 2" xfId="25773"/>
    <cellStyle name="40% - akcent 5 3 4 2 3 6" xfId="25774"/>
    <cellStyle name="40% - akcent 5 3 4 2 4" xfId="25775"/>
    <cellStyle name="40% - akcent 5 3 4 2 4 2" xfId="25776"/>
    <cellStyle name="40% - akcent 5 3 4 2 4 2 2" xfId="25777"/>
    <cellStyle name="40% - akcent 5 3 4 2 4 2 2 2" xfId="25778"/>
    <cellStyle name="40% - akcent 5 3 4 2 4 2 3" xfId="25779"/>
    <cellStyle name="40% - akcent 5 3 4 2 4 3" xfId="25780"/>
    <cellStyle name="40% - akcent 5 3 4 2 4 3 2" xfId="25781"/>
    <cellStyle name="40% - akcent 5 3 4 2 4 3 2 2" xfId="25782"/>
    <cellStyle name="40% - akcent 5 3 4 2 4 3 3" xfId="25783"/>
    <cellStyle name="40% - akcent 5 3 4 2 4 4" xfId="25784"/>
    <cellStyle name="40% - akcent 5 3 4 2 4 4 2" xfId="25785"/>
    <cellStyle name="40% - akcent 5 3 4 2 4 4 2 2" xfId="25786"/>
    <cellStyle name="40% - akcent 5 3 4 2 4 4 3" xfId="25787"/>
    <cellStyle name="40% - akcent 5 3 4 2 4 5" xfId="25788"/>
    <cellStyle name="40% - akcent 5 3 4 2 4 5 2" xfId="25789"/>
    <cellStyle name="40% - akcent 5 3 4 2 4 6" xfId="25790"/>
    <cellStyle name="40% - akcent 5 3 4 2 5" xfId="25791"/>
    <cellStyle name="40% - akcent 5 3 4 2 5 2" xfId="25792"/>
    <cellStyle name="40% - akcent 5 3 4 2 5 2 2" xfId="25793"/>
    <cellStyle name="40% - akcent 5 3 4 2 5 3" xfId="25794"/>
    <cellStyle name="40% - akcent 5 3 4 2 6" xfId="25795"/>
    <cellStyle name="40% - akcent 5 3 4 2 6 2" xfId="25796"/>
    <cellStyle name="40% - akcent 5 3 4 2 6 2 2" xfId="25797"/>
    <cellStyle name="40% - akcent 5 3 4 2 6 3" xfId="25798"/>
    <cellStyle name="40% - akcent 5 3 4 2 7" xfId="25799"/>
    <cellStyle name="40% - akcent 5 3 4 2 7 2" xfId="25800"/>
    <cellStyle name="40% - akcent 5 3 4 2 7 2 2" xfId="25801"/>
    <cellStyle name="40% - akcent 5 3 4 2 7 3" xfId="25802"/>
    <cellStyle name="40% - akcent 5 3 4 2 8" xfId="25803"/>
    <cellStyle name="40% - akcent 5 3 4 2 8 2" xfId="25804"/>
    <cellStyle name="40% - akcent 5 3 4 2 9" xfId="25805"/>
    <cellStyle name="40% - akcent 5 3 4 3" xfId="25806"/>
    <cellStyle name="40% - akcent 5 3 4 3 2" xfId="25807"/>
    <cellStyle name="40% - akcent 5 3 4 3 2 2" xfId="25808"/>
    <cellStyle name="40% - akcent 5 3 4 3 2 2 2" xfId="25809"/>
    <cellStyle name="40% - akcent 5 3 4 3 2 2 2 2" xfId="25810"/>
    <cellStyle name="40% - akcent 5 3 4 3 2 2 3" xfId="25811"/>
    <cellStyle name="40% - akcent 5 3 4 3 2 3" xfId="25812"/>
    <cellStyle name="40% - akcent 5 3 4 3 2 3 2" xfId="25813"/>
    <cellStyle name="40% - akcent 5 3 4 3 2 3 2 2" xfId="25814"/>
    <cellStyle name="40% - akcent 5 3 4 3 2 3 3" xfId="25815"/>
    <cellStyle name="40% - akcent 5 3 4 3 2 4" xfId="25816"/>
    <cellStyle name="40% - akcent 5 3 4 3 2 4 2" xfId="25817"/>
    <cellStyle name="40% - akcent 5 3 4 3 2 4 2 2" xfId="25818"/>
    <cellStyle name="40% - akcent 5 3 4 3 2 4 3" xfId="25819"/>
    <cellStyle name="40% - akcent 5 3 4 3 2 5" xfId="25820"/>
    <cellStyle name="40% - akcent 5 3 4 3 2 5 2" xfId="25821"/>
    <cellStyle name="40% - akcent 5 3 4 3 2 6" xfId="25822"/>
    <cellStyle name="40% - akcent 5 3 4 3 3" xfId="25823"/>
    <cellStyle name="40% - akcent 5 3 4 3 3 2" xfId="25824"/>
    <cellStyle name="40% - akcent 5 3 4 3 3 2 2" xfId="25825"/>
    <cellStyle name="40% - akcent 5 3 4 3 3 3" xfId="25826"/>
    <cellStyle name="40% - akcent 5 3 4 3 4" xfId="25827"/>
    <cellStyle name="40% - akcent 5 3 4 3 4 2" xfId="25828"/>
    <cellStyle name="40% - akcent 5 3 4 3 4 2 2" xfId="25829"/>
    <cellStyle name="40% - akcent 5 3 4 3 4 3" xfId="25830"/>
    <cellStyle name="40% - akcent 5 3 4 3 5" xfId="25831"/>
    <cellStyle name="40% - akcent 5 3 4 3 5 2" xfId="25832"/>
    <cellStyle name="40% - akcent 5 3 4 3 5 2 2" xfId="25833"/>
    <cellStyle name="40% - akcent 5 3 4 3 5 3" xfId="25834"/>
    <cellStyle name="40% - akcent 5 3 4 3 6" xfId="25835"/>
    <cellStyle name="40% - akcent 5 3 4 3 6 2" xfId="25836"/>
    <cellStyle name="40% - akcent 5 3 4 3 7" xfId="25837"/>
    <cellStyle name="40% - akcent 5 3 4 4" xfId="25838"/>
    <cellStyle name="40% - akcent 5 3 4 4 2" xfId="25839"/>
    <cellStyle name="40% - akcent 5 3 4 4 2 2" xfId="25840"/>
    <cellStyle name="40% - akcent 5 3 4 4 2 2 2" xfId="25841"/>
    <cellStyle name="40% - akcent 5 3 4 4 2 3" xfId="25842"/>
    <cellStyle name="40% - akcent 5 3 4 4 3" xfId="25843"/>
    <cellStyle name="40% - akcent 5 3 4 4 3 2" xfId="25844"/>
    <cellStyle name="40% - akcent 5 3 4 4 3 2 2" xfId="25845"/>
    <cellStyle name="40% - akcent 5 3 4 4 3 3" xfId="25846"/>
    <cellStyle name="40% - akcent 5 3 4 4 4" xfId="25847"/>
    <cellStyle name="40% - akcent 5 3 4 4 4 2" xfId="25848"/>
    <cellStyle name="40% - akcent 5 3 4 4 4 2 2" xfId="25849"/>
    <cellStyle name="40% - akcent 5 3 4 4 4 3" xfId="25850"/>
    <cellStyle name="40% - akcent 5 3 4 4 5" xfId="25851"/>
    <cellStyle name="40% - akcent 5 3 4 4 5 2" xfId="25852"/>
    <cellStyle name="40% - akcent 5 3 4 4 6" xfId="25853"/>
    <cellStyle name="40% - akcent 5 3 4 5" xfId="25854"/>
    <cellStyle name="40% - akcent 5 3 4 5 2" xfId="25855"/>
    <cellStyle name="40% - akcent 5 3 4 5 2 2" xfId="25856"/>
    <cellStyle name="40% - akcent 5 3 4 5 2 2 2" xfId="25857"/>
    <cellStyle name="40% - akcent 5 3 4 5 2 3" xfId="25858"/>
    <cellStyle name="40% - akcent 5 3 4 5 3" xfId="25859"/>
    <cellStyle name="40% - akcent 5 3 4 5 3 2" xfId="25860"/>
    <cellStyle name="40% - akcent 5 3 4 5 3 2 2" xfId="25861"/>
    <cellStyle name="40% - akcent 5 3 4 5 3 3" xfId="25862"/>
    <cellStyle name="40% - akcent 5 3 4 5 4" xfId="25863"/>
    <cellStyle name="40% - akcent 5 3 4 5 4 2" xfId="25864"/>
    <cellStyle name="40% - akcent 5 3 4 5 4 2 2" xfId="25865"/>
    <cellStyle name="40% - akcent 5 3 4 5 4 3" xfId="25866"/>
    <cellStyle name="40% - akcent 5 3 4 5 5" xfId="25867"/>
    <cellStyle name="40% - akcent 5 3 4 5 5 2" xfId="25868"/>
    <cellStyle name="40% - akcent 5 3 4 5 6" xfId="25869"/>
    <cellStyle name="40% - akcent 5 3 4 6" xfId="25870"/>
    <cellStyle name="40% - akcent 5 3 4 6 2" xfId="25871"/>
    <cellStyle name="40% - akcent 5 3 4 6 2 2" xfId="25872"/>
    <cellStyle name="40% - akcent 5 3 4 6 3" xfId="25873"/>
    <cellStyle name="40% - akcent 5 3 4 7" xfId="25874"/>
    <cellStyle name="40% - akcent 5 3 4 7 2" xfId="25875"/>
    <cellStyle name="40% - akcent 5 3 4 7 2 2" xfId="25876"/>
    <cellStyle name="40% - akcent 5 3 4 7 3" xfId="25877"/>
    <cellStyle name="40% - akcent 5 3 4 8" xfId="25878"/>
    <cellStyle name="40% - akcent 5 3 4 8 2" xfId="25879"/>
    <cellStyle name="40% - akcent 5 3 4 8 2 2" xfId="25880"/>
    <cellStyle name="40% - akcent 5 3 4 8 3" xfId="25881"/>
    <cellStyle name="40% - akcent 5 3 4 9" xfId="25882"/>
    <cellStyle name="40% - akcent 5 3 4 9 2" xfId="25883"/>
    <cellStyle name="40% - akcent 5 3 5" xfId="25884"/>
    <cellStyle name="40% - akcent 5 3 5 2" xfId="25885"/>
    <cellStyle name="40% - akcent 5 3 5 2 2" xfId="25886"/>
    <cellStyle name="40% - akcent 5 3 5 2 2 2" xfId="25887"/>
    <cellStyle name="40% - akcent 5 3 5 2 2 2 2" xfId="25888"/>
    <cellStyle name="40% - akcent 5 3 5 2 2 2 2 2" xfId="25889"/>
    <cellStyle name="40% - akcent 5 3 5 2 2 2 3" xfId="25890"/>
    <cellStyle name="40% - akcent 5 3 5 2 2 3" xfId="25891"/>
    <cellStyle name="40% - akcent 5 3 5 2 2 3 2" xfId="25892"/>
    <cellStyle name="40% - akcent 5 3 5 2 2 3 2 2" xfId="25893"/>
    <cellStyle name="40% - akcent 5 3 5 2 2 3 3" xfId="25894"/>
    <cellStyle name="40% - akcent 5 3 5 2 2 4" xfId="25895"/>
    <cellStyle name="40% - akcent 5 3 5 2 2 4 2" xfId="25896"/>
    <cellStyle name="40% - akcent 5 3 5 2 2 4 2 2" xfId="25897"/>
    <cellStyle name="40% - akcent 5 3 5 2 2 4 3" xfId="25898"/>
    <cellStyle name="40% - akcent 5 3 5 2 2 5" xfId="25899"/>
    <cellStyle name="40% - akcent 5 3 5 2 2 5 2" xfId="25900"/>
    <cellStyle name="40% - akcent 5 3 5 2 2 6" xfId="25901"/>
    <cellStyle name="40% - akcent 5 3 5 2 3" xfId="25902"/>
    <cellStyle name="40% - akcent 5 3 5 2 3 2" xfId="25903"/>
    <cellStyle name="40% - akcent 5 3 5 2 3 2 2" xfId="25904"/>
    <cellStyle name="40% - akcent 5 3 5 2 3 3" xfId="25905"/>
    <cellStyle name="40% - akcent 5 3 5 2 4" xfId="25906"/>
    <cellStyle name="40% - akcent 5 3 5 2 4 2" xfId="25907"/>
    <cellStyle name="40% - akcent 5 3 5 2 4 2 2" xfId="25908"/>
    <cellStyle name="40% - akcent 5 3 5 2 4 3" xfId="25909"/>
    <cellStyle name="40% - akcent 5 3 5 2 5" xfId="25910"/>
    <cellStyle name="40% - akcent 5 3 5 2 5 2" xfId="25911"/>
    <cellStyle name="40% - akcent 5 3 5 2 5 2 2" xfId="25912"/>
    <cellStyle name="40% - akcent 5 3 5 2 5 3" xfId="25913"/>
    <cellStyle name="40% - akcent 5 3 5 2 6" xfId="25914"/>
    <cellStyle name="40% - akcent 5 3 5 2 6 2" xfId="25915"/>
    <cellStyle name="40% - akcent 5 3 5 2 7" xfId="25916"/>
    <cellStyle name="40% - akcent 5 3 5 3" xfId="25917"/>
    <cellStyle name="40% - akcent 5 3 5 3 2" xfId="25918"/>
    <cellStyle name="40% - akcent 5 3 5 3 2 2" xfId="25919"/>
    <cellStyle name="40% - akcent 5 3 5 3 2 2 2" xfId="25920"/>
    <cellStyle name="40% - akcent 5 3 5 3 2 3" xfId="25921"/>
    <cellStyle name="40% - akcent 5 3 5 3 3" xfId="25922"/>
    <cellStyle name="40% - akcent 5 3 5 3 3 2" xfId="25923"/>
    <cellStyle name="40% - akcent 5 3 5 3 3 2 2" xfId="25924"/>
    <cellStyle name="40% - akcent 5 3 5 3 3 3" xfId="25925"/>
    <cellStyle name="40% - akcent 5 3 5 3 4" xfId="25926"/>
    <cellStyle name="40% - akcent 5 3 5 3 4 2" xfId="25927"/>
    <cellStyle name="40% - akcent 5 3 5 3 4 2 2" xfId="25928"/>
    <cellStyle name="40% - akcent 5 3 5 3 4 3" xfId="25929"/>
    <cellStyle name="40% - akcent 5 3 5 3 5" xfId="25930"/>
    <cellStyle name="40% - akcent 5 3 5 3 5 2" xfId="25931"/>
    <cellStyle name="40% - akcent 5 3 5 3 6" xfId="25932"/>
    <cellStyle name="40% - akcent 5 3 5 4" xfId="25933"/>
    <cellStyle name="40% - akcent 5 3 5 4 2" xfId="25934"/>
    <cellStyle name="40% - akcent 5 3 5 4 2 2" xfId="25935"/>
    <cellStyle name="40% - akcent 5 3 5 4 2 2 2" xfId="25936"/>
    <cellStyle name="40% - akcent 5 3 5 4 2 3" xfId="25937"/>
    <cellStyle name="40% - akcent 5 3 5 4 3" xfId="25938"/>
    <cellStyle name="40% - akcent 5 3 5 4 3 2" xfId="25939"/>
    <cellStyle name="40% - akcent 5 3 5 4 3 2 2" xfId="25940"/>
    <cellStyle name="40% - akcent 5 3 5 4 3 3" xfId="25941"/>
    <cellStyle name="40% - akcent 5 3 5 4 4" xfId="25942"/>
    <cellStyle name="40% - akcent 5 3 5 4 4 2" xfId="25943"/>
    <cellStyle name="40% - akcent 5 3 5 4 4 2 2" xfId="25944"/>
    <cellStyle name="40% - akcent 5 3 5 4 4 3" xfId="25945"/>
    <cellStyle name="40% - akcent 5 3 5 4 5" xfId="25946"/>
    <cellStyle name="40% - akcent 5 3 5 4 5 2" xfId="25947"/>
    <cellStyle name="40% - akcent 5 3 5 4 6" xfId="25948"/>
    <cellStyle name="40% - akcent 5 3 5 5" xfId="25949"/>
    <cellStyle name="40% - akcent 5 3 5 5 2" xfId="25950"/>
    <cellStyle name="40% - akcent 5 3 5 5 2 2" xfId="25951"/>
    <cellStyle name="40% - akcent 5 3 5 5 3" xfId="25952"/>
    <cellStyle name="40% - akcent 5 3 5 6" xfId="25953"/>
    <cellStyle name="40% - akcent 5 3 5 6 2" xfId="25954"/>
    <cellStyle name="40% - akcent 5 3 5 6 2 2" xfId="25955"/>
    <cellStyle name="40% - akcent 5 3 5 6 3" xfId="25956"/>
    <cellStyle name="40% - akcent 5 3 5 7" xfId="25957"/>
    <cellStyle name="40% - akcent 5 3 5 7 2" xfId="25958"/>
    <cellStyle name="40% - akcent 5 3 5 7 2 2" xfId="25959"/>
    <cellStyle name="40% - akcent 5 3 5 7 3" xfId="25960"/>
    <cellStyle name="40% - akcent 5 3 5 8" xfId="25961"/>
    <cellStyle name="40% - akcent 5 3 5 8 2" xfId="25962"/>
    <cellStyle name="40% - akcent 5 3 5 9" xfId="25963"/>
    <cellStyle name="40% - akcent 5 3 6" xfId="25964"/>
    <cellStyle name="40% - akcent 5 3 6 2" xfId="25965"/>
    <cellStyle name="40% - akcent 5 3 6 2 2" xfId="25966"/>
    <cellStyle name="40% - akcent 5 3 6 2 2 2" xfId="25967"/>
    <cellStyle name="40% - akcent 5 3 6 2 2 2 2" xfId="25968"/>
    <cellStyle name="40% - akcent 5 3 6 2 2 2 2 2" xfId="25969"/>
    <cellStyle name="40% - akcent 5 3 6 2 2 2 3" xfId="25970"/>
    <cellStyle name="40% - akcent 5 3 6 2 2 3" xfId="25971"/>
    <cellStyle name="40% - akcent 5 3 6 2 2 3 2" xfId="25972"/>
    <cellStyle name="40% - akcent 5 3 6 2 2 3 2 2" xfId="25973"/>
    <cellStyle name="40% - akcent 5 3 6 2 2 3 3" xfId="25974"/>
    <cellStyle name="40% - akcent 5 3 6 2 2 4" xfId="25975"/>
    <cellStyle name="40% - akcent 5 3 6 2 2 4 2" xfId="25976"/>
    <cellStyle name="40% - akcent 5 3 6 2 2 4 2 2" xfId="25977"/>
    <cellStyle name="40% - akcent 5 3 6 2 2 4 3" xfId="25978"/>
    <cellStyle name="40% - akcent 5 3 6 2 2 5" xfId="25979"/>
    <cellStyle name="40% - akcent 5 3 6 2 2 5 2" xfId="25980"/>
    <cellStyle name="40% - akcent 5 3 6 2 2 6" xfId="25981"/>
    <cellStyle name="40% - akcent 5 3 6 2 3" xfId="25982"/>
    <cellStyle name="40% - akcent 5 3 6 2 3 2" xfId="25983"/>
    <cellStyle name="40% - akcent 5 3 6 2 3 2 2" xfId="25984"/>
    <cellStyle name="40% - akcent 5 3 6 2 3 3" xfId="25985"/>
    <cellStyle name="40% - akcent 5 3 6 2 4" xfId="25986"/>
    <cellStyle name="40% - akcent 5 3 6 2 4 2" xfId="25987"/>
    <cellStyle name="40% - akcent 5 3 6 2 4 2 2" xfId="25988"/>
    <cellStyle name="40% - akcent 5 3 6 2 4 3" xfId="25989"/>
    <cellStyle name="40% - akcent 5 3 6 2 5" xfId="25990"/>
    <cellStyle name="40% - akcent 5 3 6 2 5 2" xfId="25991"/>
    <cellStyle name="40% - akcent 5 3 6 2 5 2 2" xfId="25992"/>
    <cellStyle name="40% - akcent 5 3 6 2 5 3" xfId="25993"/>
    <cellStyle name="40% - akcent 5 3 6 2 6" xfId="25994"/>
    <cellStyle name="40% - akcent 5 3 6 2 6 2" xfId="25995"/>
    <cellStyle name="40% - akcent 5 3 6 2 7" xfId="25996"/>
    <cellStyle name="40% - akcent 5 3 6 3" xfId="25997"/>
    <cellStyle name="40% - akcent 5 3 6 3 2" xfId="25998"/>
    <cellStyle name="40% - akcent 5 3 6 3 2 2" xfId="25999"/>
    <cellStyle name="40% - akcent 5 3 6 3 2 2 2" xfId="26000"/>
    <cellStyle name="40% - akcent 5 3 6 3 2 3" xfId="26001"/>
    <cellStyle name="40% - akcent 5 3 6 3 3" xfId="26002"/>
    <cellStyle name="40% - akcent 5 3 6 3 3 2" xfId="26003"/>
    <cellStyle name="40% - akcent 5 3 6 3 3 2 2" xfId="26004"/>
    <cellStyle name="40% - akcent 5 3 6 3 3 3" xfId="26005"/>
    <cellStyle name="40% - akcent 5 3 6 3 4" xfId="26006"/>
    <cellStyle name="40% - akcent 5 3 6 3 4 2" xfId="26007"/>
    <cellStyle name="40% - akcent 5 3 6 3 4 2 2" xfId="26008"/>
    <cellStyle name="40% - akcent 5 3 6 3 4 3" xfId="26009"/>
    <cellStyle name="40% - akcent 5 3 6 3 5" xfId="26010"/>
    <cellStyle name="40% - akcent 5 3 6 3 5 2" xfId="26011"/>
    <cellStyle name="40% - akcent 5 3 6 3 6" xfId="26012"/>
    <cellStyle name="40% - akcent 5 3 6 4" xfId="26013"/>
    <cellStyle name="40% - akcent 5 3 6 4 2" xfId="26014"/>
    <cellStyle name="40% - akcent 5 3 6 4 2 2" xfId="26015"/>
    <cellStyle name="40% - akcent 5 3 6 4 2 2 2" xfId="26016"/>
    <cellStyle name="40% - akcent 5 3 6 4 2 3" xfId="26017"/>
    <cellStyle name="40% - akcent 5 3 6 4 3" xfId="26018"/>
    <cellStyle name="40% - akcent 5 3 6 4 3 2" xfId="26019"/>
    <cellStyle name="40% - akcent 5 3 6 4 3 2 2" xfId="26020"/>
    <cellStyle name="40% - akcent 5 3 6 4 3 3" xfId="26021"/>
    <cellStyle name="40% - akcent 5 3 6 4 4" xfId="26022"/>
    <cellStyle name="40% - akcent 5 3 6 4 4 2" xfId="26023"/>
    <cellStyle name="40% - akcent 5 3 6 4 4 2 2" xfId="26024"/>
    <cellStyle name="40% - akcent 5 3 6 4 4 3" xfId="26025"/>
    <cellStyle name="40% - akcent 5 3 6 4 5" xfId="26026"/>
    <cellStyle name="40% - akcent 5 3 6 4 5 2" xfId="26027"/>
    <cellStyle name="40% - akcent 5 3 6 4 6" xfId="26028"/>
    <cellStyle name="40% - akcent 5 3 6 5" xfId="26029"/>
    <cellStyle name="40% - akcent 5 3 6 5 2" xfId="26030"/>
    <cellStyle name="40% - akcent 5 3 6 5 2 2" xfId="26031"/>
    <cellStyle name="40% - akcent 5 3 6 5 3" xfId="26032"/>
    <cellStyle name="40% - akcent 5 3 6 6" xfId="26033"/>
    <cellStyle name="40% - akcent 5 3 6 6 2" xfId="26034"/>
    <cellStyle name="40% - akcent 5 3 6 6 2 2" xfId="26035"/>
    <cellStyle name="40% - akcent 5 3 6 6 3" xfId="26036"/>
    <cellStyle name="40% - akcent 5 3 6 7" xfId="26037"/>
    <cellStyle name="40% - akcent 5 3 6 7 2" xfId="26038"/>
    <cellStyle name="40% - akcent 5 3 6 7 2 2" xfId="26039"/>
    <cellStyle name="40% - akcent 5 3 6 7 3" xfId="26040"/>
    <cellStyle name="40% - akcent 5 3 6 8" xfId="26041"/>
    <cellStyle name="40% - akcent 5 3 6 8 2" xfId="26042"/>
    <cellStyle name="40% - akcent 5 3 6 9" xfId="26043"/>
    <cellStyle name="40% - akcent 5 3 7" xfId="26044"/>
    <cellStyle name="40% - akcent 5 3 7 2" xfId="26045"/>
    <cellStyle name="40% - akcent 5 3 7 2 2" xfId="26046"/>
    <cellStyle name="40% - akcent 5 3 7 2 2 2" xfId="26047"/>
    <cellStyle name="40% - akcent 5 3 7 2 2 2 2" xfId="26048"/>
    <cellStyle name="40% - akcent 5 3 7 2 2 3" xfId="26049"/>
    <cellStyle name="40% - akcent 5 3 7 2 3" xfId="26050"/>
    <cellStyle name="40% - akcent 5 3 7 2 3 2" xfId="26051"/>
    <cellStyle name="40% - akcent 5 3 7 2 3 2 2" xfId="26052"/>
    <cellStyle name="40% - akcent 5 3 7 2 3 3" xfId="26053"/>
    <cellStyle name="40% - akcent 5 3 7 2 4" xfId="26054"/>
    <cellStyle name="40% - akcent 5 3 7 2 4 2" xfId="26055"/>
    <cellStyle name="40% - akcent 5 3 7 2 4 2 2" xfId="26056"/>
    <cellStyle name="40% - akcent 5 3 7 2 4 3" xfId="26057"/>
    <cellStyle name="40% - akcent 5 3 7 2 5" xfId="26058"/>
    <cellStyle name="40% - akcent 5 3 7 2 5 2" xfId="26059"/>
    <cellStyle name="40% - akcent 5 3 7 2 6" xfId="26060"/>
    <cellStyle name="40% - akcent 5 3 7 3" xfId="26061"/>
    <cellStyle name="40% - akcent 5 3 7 3 2" xfId="26062"/>
    <cellStyle name="40% - akcent 5 3 7 3 2 2" xfId="26063"/>
    <cellStyle name="40% - akcent 5 3 7 3 3" xfId="26064"/>
    <cellStyle name="40% - akcent 5 3 7 4" xfId="26065"/>
    <cellStyle name="40% - akcent 5 3 7 4 2" xfId="26066"/>
    <cellStyle name="40% - akcent 5 3 7 4 2 2" xfId="26067"/>
    <cellStyle name="40% - akcent 5 3 7 4 3" xfId="26068"/>
    <cellStyle name="40% - akcent 5 3 7 5" xfId="26069"/>
    <cellStyle name="40% - akcent 5 3 7 5 2" xfId="26070"/>
    <cellStyle name="40% - akcent 5 3 7 5 2 2" xfId="26071"/>
    <cellStyle name="40% - akcent 5 3 7 5 3" xfId="26072"/>
    <cellStyle name="40% - akcent 5 3 7 6" xfId="26073"/>
    <cellStyle name="40% - akcent 5 3 7 6 2" xfId="26074"/>
    <cellStyle name="40% - akcent 5 3 7 7" xfId="26075"/>
    <cellStyle name="40% - akcent 5 3 8" xfId="26076"/>
    <cellStyle name="40% - akcent 5 3 8 2" xfId="26077"/>
    <cellStyle name="40% - akcent 5 3 8 2 2" xfId="26078"/>
    <cellStyle name="40% - akcent 5 3 8 2 2 2" xfId="26079"/>
    <cellStyle name="40% - akcent 5 3 8 2 3" xfId="26080"/>
    <cellStyle name="40% - akcent 5 3 8 3" xfId="26081"/>
    <cellStyle name="40% - akcent 5 3 8 3 2" xfId="26082"/>
    <cellStyle name="40% - akcent 5 3 8 3 2 2" xfId="26083"/>
    <cellStyle name="40% - akcent 5 3 8 3 3" xfId="26084"/>
    <cellStyle name="40% - akcent 5 3 8 4" xfId="26085"/>
    <cellStyle name="40% - akcent 5 3 8 4 2" xfId="26086"/>
    <cellStyle name="40% - akcent 5 3 8 4 2 2" xfId="26087"/>
    <cellStyle name="40% - akcent 5 3 8 4 3" xfId="26088"/>
    <cellStyle name="40% - akcent 5 3 8 5" xfId="26089"/>
    <cellStyle name="40% - akcent 5 3 8 5 2" xfId="26090"/>
    <cellStyle name="40% - akcent 5 3 8 6" xfId="26091"/>
    <cellStyle name="40% - akcent 5 3 9" xfId="26092"/>
    <cellStyle name="40% - akcent 5 3 9 2" xfId="26093"/>
    <cellStyle name="40% - akcent 5 3 9 2 2" xfId="26094"/>
    <cellStyle name="40% - akcent 5 3 9 2 2 2" xfId="26095"/>
    <cellStyle name="40% - akcent 5 3 9 2 3" xfId="26096"/>
    <cellStyle name="40% - akcent 5 3 9 3" xfId="26097"/>
    <cellStyle name="40% - akcent 5 3 9 3 2" xfId="26098"/>
    <cellStyle name="40% - akcent 5 3 9 3 2 2" xfId="26099"/>
    <cellStyle name="40% - akcent 5 3 9 3 3" xfId="26100"/>
    <cellStyle name="40% - akcent 5 3 9 4" xfId="26101"/>
    <cellStyle name="40% - akcent 5 3 9 4 2" xfId="26102"/>
    <cellStyle name="40% - akcent 5 3 9 4 2 2" xfId="26103"/>
    <cellStyle name="40% - akcent 5 3 9 4 3" xfId="26104"/>
    <cellStyle name="40% - akcent 5 3 9 5" xfId="26105"/>
    <cellStyle name="40% - akcent 5 3 9 5 2" xfId="26106"/>
    <cellStyle name="40% - akcent 5 3 9 6" xfId="26107"/>
    <cellStyle name="40% - akcent 5 3_2011'05 Raport PGE_DO-CO2" xfId="26108"/>
    <cellStyle name="40% - akcent 5 4" xfId="26109"/>
    <cellStyle name="40% - akcent 5 4 2" xfId="26110"/>
    <cellStyle name="40% - akcent 5 4 2 2" xfId="26111"/>
    <cellStyle name="40% - akcent 5 4 2 2 2" xfId="26112"/>
    <cellStyle name="40% - akcent 5 4 2 2 2 2" xfId="26113"/>
    <cellStyle name="40% - akcent 5 4 2 2 2 2 2" xfId="26114"/>
    <cellStyle name="40% - akcent 5 4 2 2 2 2 2 2" xfId="26115"/>
    <cellStyle name="40% - akcent 5 4 2 2 2 2 2 2 2" xfId="26116"/>
    <cellStyle name="40% - akcent 5 4 2 2 2 2 2 3" xfId="26117"/>
    <cellStyle name="40% - akcent 5 4 2 2 2 2 3" xfId="26118"/>
    <cellStyle name="40% - akcent 5 4 2 2 2 2 3 2" xfId="26119"/>
    <cellStyle name="40% - akcent 5 4 2 2 2 2 3 2 2" xfId="26120"/>
    <cellStyle name="40% - akcent 5 4 2 2 2 2 3 3" xfId="26121"/>
    <cellStyle name="40% - akcent 5 4 2 2 2 2 4" xfId="26122"/>
    <cellStyle name="40% - akcent 5 4 2 2 2 2 4 2" xfId="26123"/>
    <cellStyle name="40% - akcent 5 4 2 2 2 2 4 2 2" xfId="26124"/>
    <cellStyle name="40% - akcent 5 4 2 2 2 2 4 3" xfId="26125"/>
    <cellStyle name="40% - akcent 5 4 2 2 2 2 5" xfId="26126"/>
    <cellStyle name="40% - akcent 5 4 2 2 2 2 5 2" xfId="26127"/>
    <cellStyle name="40% - akcent 5 4 2 2 2 2 6" xfId="26128"/>
    <cellStyle name="40% - akcent 5 4 2 2 2 3" xfId="26129"/>
    <cellStyle name="40% - akcent 5 4 2 2 2 3 2" xfId="26130"/>
    <cellStyle name="40% - akcent 5 4 2 2 2 3 2 2" xfId="26131"/>
    <cellStyle name="40% - akcent 5 4 2 2 2 3 3" xfId="26132"/>
    <cellStyle name="40% - akcent 5 4 2 2 2 4" xfId="26133"/>
    <cellStyle name="40% - akcent 5 4 2 2 2 4 2" xfId="26134"/>
    <cellStyle name="40% - akcent 5 4 2 2 2 4 2 2" xfId="26135"/>
    <cellStyle name="40% - akcent 5 4 2 2 2 4 3" xfId="26136"/>
    <cellStyle name="40% - akcent 5 4 2 2 2 5" xfId="26137"/>
    <cellStyle name="40% - akcent 5 4 2 2 2 5 2" xfId="26138"/>
    <cellStyle name="40% - akcent 5 4 2 2 2 5 2 2" xfId="26139"/>
    <cellStyle name="40% - akcent 5 4 2 2 2 5 3" xfId="26140"/>
    <cellStyle name="40% - akcent 5 4 2 2 2 6" xfId="26141"/>
    <cellStyle name="40% - akcent 5 4 2 2 2 6 2" xfId="26142"/>
    <cellStyle name="40% - akcent 5 4 2 2 2 7" xfId="26143"/>
    <cellStyle name="40% - akcent 5 4 2 2 3" xfId="26144"/>
    <cellStyle name="40% - akcent 5 4 2 2 3 2" xfId="26145"/>
    <cellStyle name="40% - akcent 5 4 2 2 3 2 2" xfId="26146"/>
    <cellStyle name="40% - akcent 5 4 2 2 3 2 2 2" xfId="26147"/>
    <cellStyle name="40% - akcent 5 4 2 2 3 2 3" xfId="26148"/>
    <cellStyle name="40% - akcent 5 4 2 2 3 3" xfId="26149"/>
    <cellStyle name="40% - akcent 5 4 2 2 3 3 2" xfId="26150"/>
    <cellStyle name="40% - akcent 5 4 2 2 3 3 2 2" xfId="26151"/>
    <cellStyle name="40% - akcent 5 4 2 2 3 3 3" xfId="26152"/>
    <cellStyle name="40% - akcent 5 4 2 2 3 4" xfId="26153"/>
    <cellStyle name="40% - akcent 5 4 2 2 3 4 2" xfId="26154"/>
    <cellStyle name="40% - akcent 5 4 2 2 3 4 2 2" xfId="26155"/>
    <cellStyle name="40% - akcent 5 4 2 2 3 4 3" xfId="26156"/>
    <cellStyle name="40% - akcent 5 4 2 2 3 5" xfId="26157"/>
    <cellStyle name="40% - akcent 5 4 2 2 3 5 2" xfId="26158"/>
    <cellStyle name="40% - akcent 5 4 2 2 3 6" xfId="26159"/>
    <cellStyle name="40% - akcent 5 4 2 2 4" xfId="26160"/>
    <cellStyle name="40% - akcent 5 4 2 2 4 2" xfId="26161"/>
    <cellStyle name="40% - akcent 5 4 2 2 4 2 2" xfId="26162"/>
    <cellStyle name="40% - akcent 5 4 2 2 4 2 2 2" xfId="26163"/>
    <cellStyle name="40% - akcent 5 4 2 2 4 2 3" xfId="26164"/>
    <cellStyle name="40% - akcent 5 4 2 2 4 3" xfId="26165"/>
    <cellStyle name="40% - akcent 5 4 2 2 4 3 2" xfId="26166"/>
    <cellStyle name="40% - akcent 5 4 2 2 4 3 2 2" xfId="26167"/>
    <cellStyle name="40% - akcent 5 4 2 2 4 3 3" xfId="26168"/>
    <cellStyle name="40% - akcent 5 4 2 2 4 4" xfId="26169"/>
    <cellStyle name="40% - akcent 5 4 2 2 4 4 2" xfId="26170"/>
    <cellStyle name="40% - akcent 5 4 2 2 4 4 2 2" xfId="26171"/>
    <cellStyle name="40% - akcent 5 4 2 2 4 4 3" xfId="26172"/>
    <cellStyle name="40% - akcent 5 4 2 2 4 5" xfId="26173"/>
    <cellStyle name="40% - akcent 5 4 2 2 4 5 2" xfId="26174"/>
    <cellStyle name="40% - akcent 5 4 2 2 4 6" xfId="26175"/>
    <cellStyle name="40% - akcent 5 4 2 2 5" xfId="26176"/>
    <cellStyle name="40% - akcent 5 4 2 2 5 2" xfId="26177"/>
    <cellStyle name="40% - akcent 5 4 2 2 5 2 2" xfId="26178"/>
    <cellStyle name="40% - akcent 5 4 2 2 5 3" xfId="26179"/>
    <cellStyle name="40% - akcent 5 4 2 2 6" xfId="26180"/>
    <cellStyle name="40% - akcent 5 4 2 2 6 2" xfId="26181"/>
    <cellStyle name="40% - akcent 5 4 2 2 6 2 2" xfId="26182"/>
    <cellStyle name="40% - akcent 5 4 2 2 6 3" xfId="26183"/>
    <cellStyle name="40% - akcent 5 4 2 2 7" xfId="26184"/>
    <cellStyle name="40% - akcent 5 4 2 2 7 2" xfId="26185"/>
    <cellStyle name="40% - akcent 5 4 2 2 7 2 2" xfId="26186"/>
    <cellStyle name="40% - akcent 5 4 2 2 7 3" xfId="26187"/>
    <cellStyle name="40% - akcent 5 4 2 2 8" xfId="26188"/>
    <cellStyle name="40% - akcent 5 4 2 2 8 2" xfId="26189"/>
    <cellStyle name="40% - akcent 5 4 2 2 9" xfId="26190"/>
    <cellStyle name="40% - akcent 5 4 2 3" xfId="26191"/>
    <cellStyle name="40% - akcent 5 4 2 3 2" xfId="26192"/>
    <cellStyle name="40% - akcent 5 4 2 3 2 2" xfId="26193"/>
    <cellStyle name="40% - akcent 5 4 2 3 2 2 2" xfId="26194"/>
    <cellStyle name="40% - akcent 5 4 2 3 2 2 2 2" xfId="26195"/>
    <cellStyle name="40% - akcent 5 4 2 3 2 2 3" xfId="26196"/>
    <cellStyle name="40% - akcent 5 4 2 3 2 3" xfId="26197"/>
    <cellStyle name="40% - akcent 5 4 2 3 2 3 2" xfId="26198"/>
    <cellStyle name="40% - akcent 5 4 2 3 2 3 2 2" xfId="26199"/>
    <cellStyle name="40% - akcent 5 4 2 3 2 3 3" xfId="26200"/>
    <cellStyle name="40% - akcent 5 4 2 3 2 4" xfId="26201"/>
    <cellStyle name="40% - akcent 5 4 2 3 2 4 2" xfId="26202"/>
    <cellStyle name="40% - akcent 5 4 2 3 2 4 2 2" xfId="26203"/>
    <cellStyle name="40% - akcent 5 4 2 3 2 4 3" xfId="26204"/>
    <cellStyle name="40% - akcent 5 4 2 3 2 5" xfId="26205"/>
    <cellStyle name="40% - akcent 5 4 2 3 2 5 2" xfId="26206"/>
    <cellStyle name="40% - akcent 5 4 2 3 2 6" xfId="26207"/>
    <cellStyle name="40% - akcent 5 4 2 3 3" xfId="26208"/>
    <cellStyle name="40% - akcent 5 4 2 3 3 2" xfId="26209"/>
    <cellStyle name="40% - akcent 5 4 2 3 3 2 2" xfId="26210"/>
    <cellStyle name="40% - akcent 5 4 2 3 3 3" xfId="26211"/>
    <cellStyle name="40% - akcent 5 4 2 3 4" xfId="26212"/>
    <cellStyle name="40% - akcent 5 4 2 3 4 2" xfId="26213"/>
    <cellStyle name="40% - akcent 5 4 2 3 4 2 2" xfId="26214"/>
    <cellStyle name="40% - akcent 5 4 2 3 4 3" xfId="26215"/>
    <cellStyle name="40% - akcent 5 4 2 3 5" xfId="26216"/>
    <cellStyle name="40% - akcent 5 4 2 3 5 2" xfId="26217"/>
    <cellStyle name="40% - akcent 5 4 2 3 5 2 2" xfId="26218"/>
    <cellStyle name="40% - akcent 5 4 2 3 5 3" xfId="26219"/>
    <cellStyle name="40% - akcent 5 4 2 3 6" xfId="26220"/>
    <cellStyle name="40% - akcent 5 4 2 3 6 2" xfId="26221"/>
    <cellStyle name="40% - akcent 5 4 2 3 7" xfId="26222"/>
    <cellStyle name="40% - akcent 5 4 2 4" xfId="26223"/>
    <cellStyle name="40% - akcent 5 4 2 4 2" xfId="26224"/>
    <cellStyle name="40% - akcent 5 4 2 4 2 2" xfId="26225"/>
    <cellStyle name="40% - akcent 5 4 2 4 2 2 2" xfId="26226"/>
    <cellStyle name="40% - akcent 5 4 2 4 2 3" xfId="26227"/>
    <cellStyle name="40% - akcent 5 4 2 4 3" xfId="26228"/>
    <cellStyle name="40% - akcent 5 4 2 4 3 2" xfId="26229"/>
    <cellStyle name="40% - akcent 5 4 2 4 3 2 2" xfId="26230"/>
    <cellStyle name="40% - akcent 5 4 2 4 3 3" xfId="26231"/>
    <cellStyle name="40% - akcent 5 4 2 4 4" xfId="26232"/>
    <cellStyle name="40% - akcent 5 4 2 4 4 2" xfId="26233"/>
    <cellStyle name="40% - akcent 5 4 2 4 4 2 2" xfId="26234"/>
    <cellStyle name="40% - akcent 5 4 2 4 4 3" xfId="26235"/>
    <cellStyle name="40% - akcent 5 4 2 4 5" xfId="26236"/>
    <cellStyle name="40% - akcent 5 4 2 4 5 2" xfId="26237"/>
    <cellStyle name="40% - akcent 5 4 2 4 6" xfId="26238"/>
    <cellStyle name="40% - akcent 5 4 2 5" xfId="26239"/>
    <cellStyle name="40% - akcent 5 4 2 5 2" xfId="26240"/>
    <cellStyle name="40% - akcent 5 4 2 5 2 2" xfId="26241"/>
    <cellStyle name="40% - akcent 5 4 2 5 2 2 2" xfId="26242"/>
    <cellStyle name="40% - akcent 5 4 2 5 2 3" xfId="26243"/>
    <cellStyle name="40% - akcent 5 4 2 5 3" xfId="26244"/>
    <cellStyle name="40% - akcent 5 4 2 5 3 2" xfId="26245"/>
    <cellStyle name="40% - akcent 5 4 2 5 3 2 2" xfId="26246"/>
    <cellStyle name="40% - akcent 5 4 2 5 3 3" xfId="26247"/>
    <cellStyle name="40% - akcent 5 4 2 5 4" xfId="26248"/>
    <cellStyle name="40% - akcent 5 4 2 5 4 2" xfId="26249"/>
    <cellStyle name="40% - akcent 5 4 2 5 4 2 2" xfId="26250"/>
    <cellStyle name="40% - akcent 5 4 2 5 4 3" xfId="26251"/>
    <cellStyle name="40% - akcent 5 4 2 5 5" xfId="26252"/>
    <cellStyle name="40% - akcent 5 4 2 5 5 2" xfId="26253"/>
    <cellStyle name="40% - akcent 5 4 2 5 6" xfId="26254"/>
    <cellStyle name="40% - akcent 5 4 2 6" xfId="26255"/>
    <cellStyle name="40% - akcent 5 4 2 7" xfId="26256"/>
    <cellStyle name="40% - akcent 5 4 2 7 2" xfId="26257"/>
    <cellStyle name="40% - akcent 5 4 2 7 2 2" xfId="26258"/>
    <cellStyle name="40% - akcent 5 4 2 7 2 2 2" xfId="26259"/>
    <cellStyle name="40% - akcent 5 4 2 7 2 3" xfId="26260"/>
    <cellStyle name="40% - akcent 5 4 2 7 3" xfId="26261"/>
    <cellStyle name="40% - akcent 5 4 2 7 3 2" xfId="26262"/>
    <cellStyle name="40% - akcent 5 4 2 7 3 2 2" xfId="26263"/>
    <cellStyle name="40% - akcent 5 4 2 7 3 3" xfId="26264"/>
    <cellStyle name="40% - akcent 5 4 2 7 4" xfId="26265"/>
    <cellStyle name="40% - akcent 5 4 2 7 4 2" xfId="26266"/>
    <cellStyle name="40% - akcent 5 4 2 7 4 2 2" xfId="26267"/>
    <cellStyle name="40% - akcent 5 4 2 7 4 3" xfId="26268"/>
    <cellStyle name="40% - akcent 5 4 2 7 5" xfId="26269"/>
    <cellStyle name="40% - akcent 5 4 2 7 5 2" xfId="26270"/>
    <cellStyle name="40% - akcent 5 4 2 7 6" xfId="26271"/>
    <cellStyle name="40% - akcent 5 4 3" xfId="26272"/>
    <cellStyle name="40% - akcent 5 4 3 2" xfId="26273"/>
    <cellStyle name="40% - akcent 5 4 3 2 2" xfId="26274"/>
    <cellStyle name="40% - akcent 5 4 3 2 2 2" xfId="26275"/>
    <cellStyle name="40% - akcent 5 4 3 2 2 2 2" xfId="26276"/>
    <cellStyle name="40% - akcent 5 4 3 2 2 2 2 2" xfId="26277"/>
    <cellStyle name="40% - akcent 5 4 3 2 2 2 3" xfId="26278"/>
    <cellStyle name="40% - akcent 5 4 3 2 2 3" xfId="26279"/>
    <cellStyle name="40% - akcent 5 4 3 2 2 3 2" xfId="26280"/>
    <cellStyle name="40% - akcent 5 4 3 2 2 3 2 2" xfId="26281"/>
    <cellStyle name="40% - akcent 5 4 3 2 2 3 3" xfId="26282"/>
    <cellStyle name="40% - akcent 5 4 3 2 2 4" xfId="26283"/>
    <cellStyle name="40% - akcent 5 4 3 2 2 4 2" xfId="26284"/>
    <cellStyle name="40% - akcent 5 4 3 2 2 4 2 2" xfId="26285"/>
    <cellStyle name="40% - akcent 5 4 3 2 2 4 3" xfId="26286"/>
    <cellStyle name="40% - akcent 5 4 3 2 2 5" xfId="26287"/>
    <cellStyle name="40% - akcent 5 4 3 2 2 5 2" xfId="26288"/>
    <cellStyle name="40% - akcent 5 4 3 2 2 6" xfId="26289"/>
    <cellStyle name="40% - akcent 5 4 3 2 3" xfId="26290"/>
    <cellStyle name="40% - akcent 5 4 3 2 3 2" xfId="26291"/>
    <cellStyle name="40% - akcent 5 4 3 2 3 2 2" xfId="26292"/>
    <cellStyle name="40% - akcent 5 4 3 2 3 3" xfId="26293"/>
    <cellStyle name="40% - akcent 5 4 3 2 4" xfId="26294"/>
    <cellStyle name="40% - akcent 5 4 3 2 4 2" xfId="26295"/>
    <cellStyle name="40% - akcent 5 4 3 2 4 2 2" xfId="26296"/>
    <cellStyle name="40% - akcent 5 4 3 2 4 3" xfId="26297"/>
    <cellStyle name="40% - akcent 5 4 3 2 5" xfId="26298"/>
    <cellStyle name="40% - akcent 5 4 3 2 5 2" xfId="26299"/>
    <cellStyle name="40% - akcent 5 4 3 2 5 2 2" xfId="26300"/>
    <cellStyle name="40% - akcent 5 4 3 2 5 3" xfId="26301"/>
    <cellStyle name="40% - akcent 5 4 3 2 6" xfId="26302"/>
    <cellStyle name="40% - akcent 5 4 3 2 6 2" xfId="26303"/>
    <cellStyle name="40% - akcent 5 4 3 2 7" xfId="26304"/>
    <cellStyle name="40% - akcent 5 4 3 3" xfId="26305"/>
    <cellStyle name="40% - akcent 5 4 3 3 2" xfId="26306"/>
    <cellStyle name="40% - akcent 5 4 3 3 2 2" xfId="26307"/>
    <cellStyle name="40% - akcent 5 4 3 3 2 2 2" xfId="26308"/>
    <cellStyle name="40% - akcent 5 4 3 3 2 3" xfId="26309"/>
    <cellStyle name="40% - akcent 5 4 3 3 3" xfId="26310"/>
    <cellStyle name="40% - akcent 5 4 3 3 3 2" xfId="26311"/>
    <cellStyle name="40% - akcent 5 4 3 3 3 2 2" xfId="26312"/>
    <cellStyle name="40% - akcent 5 4 3 3 3 3" xfId="26313"/>
    <cellStyle name="40% - akcent 5 4 3 3 4" xfId="26314"/>
    <cellStyle name="40% - akcent 5 4 3 3 4 2" xfId="26315"/>
    <cellStyle name="40% - akcent 5 4 3 3 4 2 2" xfId="26316"/>
    <cellStyle name="40% - akcent 5 4 3 3 4 3" xfId="26317"/>
    <cellStyle name="40% - akcent 5 4 3 3 5" xfId="26318"/>
    <cellStyle name="40% - akcent 5 4 3 3 5 2" xfId="26319"/>
    <cellStyle name="40% - akcent 5 4 3 3 6" xfId="26320"/>
    <cellStyle name="40% - akcent 5 4 3 4" xfId="26321"/>
    <cellStyle name="40% - akcent 5 4 3 4 2" xfId="26322"/>
    <cellStyle name="40% - akcent 5 4 3 4 2 2" xfId="26323"/>
    <cellStyle name="40% - akcent 5 4 3 4 2 2 2" xfId="26324"/>
    <cellStyle name="40% - akcent 5 4 3 4 2 3" xfId="26325"/>
    <cellStyle name="40% - akcent 5 4 3 4 3" xfId="26326"/>
    <cellStyle name="40% - akcent 5 4 3 4 3 2" xfId="26327"/>
    <cellStyle name="40% - akcent 5 4 3 4 3 2 2" xfId="26328"/>
    <cellStyle name="40% - akcent 5 4 3 4 3 3" xfId="26329"/>
    <cellStyle name="40% - akcent 5 4 3 4 4" xfId="26330"/>
    <cellStyle name="40% - akcent 5 4 3 4 4 2" xfId="26331"/>
    <cellStyle name="40% - akcent 5 4 3 4 4 2 2" xfId="26332"/>
    <cellStyle name="40% - akcent 5 4 3 4 4 3" xfId="26333"/>
    <cellStyle name="40% - akcent 5 4 3 4 5" xfId="26334"/>
    <cellStyle name="40% - akcent 5 4 3 4 5 2" xfId="26335"/>
    <cellStyle name="40% - akcent 5 4 3 4 6" xfId="26336"/>
    <cellStyle name="40% - akcent 5 4 3 5" xfId="26337"/>
    <cellStyle name="40% - akcent 5 4 3 5 2" xfId="26338"/>
    <cellStyle name="40% - akcent 5 4 3 5 2 2" xfId="26339"/>
    <cellStyle name="40% - akcent 5 4 3 5 2 2 2" xfId="26340"/>
    <cellStyle name="40% - akcent 5 4 3 5 2 3" xfId="26341"/>
    <cellStyle name="40% - akcent 5 4 3 5 3" xfId="26342"/>
    <cellStyle name="40% - akcent 5 4 3 5 3 2" xfId="26343"/>
    <cellStyle name="40% - akcent 5 4 3 5 3 2 2" xfId="26344"/>
    <cellStyle name="40% - akcent 5 4 3 5 3 3" xfId="26345"/>
    <cellStyle name="40% - akcent 5 4 3 5 4" xfId="26346"/>
    <cellStyle name="40% - akcent 5 4 3 5 4 2" xfId="26347"/>
    <cellStyle name="40% - akcent 5 4 3 5 4 2 2" xfId="26348"/>
    <cellStyle name="40% - akcent 5 4 3 5 4 3" xfId="26349"/>
    <cellStyle name="40% - akcent 5 4 3 5 5" xfId="26350"/>
    <cellStyle name="40% - akcent 5 4 3 5 5 2" xfId="26351"/>
    <cellStyle name="40% - akcent 5 4 3 5 6" xfId="26352"/>
    <cellStyle name="40% - akcent 5 4 4" xfId="26353"/>
    <cellStyle name="40% - akcent 5 4 4 2" xfId="26354"/>
    <cellStyle name="40% - akcent 5 4 4 2 2" xfId="26355"/>
    <cellStyle name="40% - akcent 5 4 4 2 2 2" xfId="26356"/>
    <cellStyle name="40% - akcent 5 4 4 2 2 2 2" xfId="26357"/>
    <cellStyle name="40% - akcent 5 4 4 2 2 3" xfId="26358"/>
    <cellStyle name="40% - akcent 5 4 4 2 3" xfId="26359"/>
    <cellStyle name="40% - akcent 5 4 4 2 3 2" xfId="26360"/>
    <cellStyle name="40% - akcent 5 4 4 2 3 2 2" xfId="26361"/>
    <cellStyle name="40% - akcent 5 4 4 2 3 3" xfId="26362"/>
    <cellStyle name="40% - akcent 5 4 4 2 4" xfId="26363"/>
    <cellStyle name="40% - akcent 5 4 4 2 4 2" xfId="26364"/>
    <cellStyle name="40% - akcent 5 4 4 2 4 2 2" xfId="26365"/>
    <cellStyle name="40% - akcent 5 4 4 2 4 3" xfId="26366"/>
    <cellStyle name="40% - akcent 5 4 4 2 5" xfId="26367"/>
    <cellStyle name="40% - akcent 5 4 4 2 5 2" xfId="26368"/>
    <cellStyle name="40% - akcent 5 4 4 2 6" xfId="26369"/>
    <cellStyle name="40% - akcent 5 4 4 3" xfId="26370"/>
    <cellStyle name="40% - akcent 5 4 4 3 2" xfId="26371"/>
    <cellStyle name="40% - akcent 5 4 4 3 2 2" xfId="26372"/>
    <cellStyle name="40% - akcent 5 4 4 3 2 2 2" xfId="26373"/>
    <cellStyle name="40% - akcent 5 4 4 3 2 3" xfId="26374"/>
    <cellStyle name="40% - akcent 5 4 4 3 3" xfId="26375"/>
    <cellStyle name="40% - akcent 5 4 4 3 3 2" xfId="26376"/>
    <cellStyle name="40% - akcent 5 4 4 3 3 2 2" xfId="26377"/>
    <cellStyle name="40% - akcent 5 4 4 3 3 3" xfId="26378"/>
    <cellStyle name="40% - akcent 5 4 4 3 4" xfId="26379"/>
    <cellStyle name="40% - akcent 5 4 4 3 4 2" xfId="26380"/>
    <cellStyle name="40% - akcent 5 4 4 3 4 2 2" xfId="26381"/>
    <cellStyle name="40% - akcent 5 4 4 3 4 3" xfId="26382"/>
    <cellStyle name="40% - akcent 5 4 4 3 5" xfId="26383"/>
    <cellStyle name="40% - akcent 5 4 4 3 5 2" xfId="26384"/>
    <cellStyle name="40% - akcent 5 4 4 3 6" xfId="26385"/>
    <cellStyle name="40% - akcent 5 4 5" xfId="26386"/>
    <cellStyle name="40% - akcent 5 4 5 2" xfId="26387"/>
    <cellStyle name="40% - akcent 5 4 5 2 2" xfId="26388"/>
    <cellStyle name="40% - akcent 5 4 5 2 2 2" xfId="26389"/>
    <cellStyle name="40% - akcent 5 4 5 2 3" xfId="26390"/>
    <cellStyle name="40% - akcent 5 4 5 3" xfId="26391"/>
    <cellStyle name="40% - akcent 5 4 5 3 2" xfId="26392"/>
    <cellStyle name="40% - akcent 5 4 5 3 2 2" xfId="26393"/>
    <cellStyle name="40% - akcent 5 4 5 3 3" xfId="26394"/>
    <cellStyle name="40% - akcent 5 4 5 4" xfId="26395"/>
    <cellStyle name="40% - akcent 5 4 5 4 2" xfId="26396"/>
    <cellStyle name="40% - akcent 5 4 5 4 2 2" xfId="26397"/>
    <cellStyle name="40% - akcent 5 4 5 4 3" xfId="26398"/>
    <cellStyle name="40% - akcent 5 4 5 5" xfId="26399"/>
    <cellStyle name="40% - akcent 5 4 5 5 2" xfId="26400"/>
    <cellStyle name="40% - akcent 5 4 5 6" xfId="26401"/>
    <cellStyle name="40% - akcent 5 4 6" xfId="26402"/>
    <cellStyle name="40% - akcent 5 4 6 2" xfId="26403"/>
    <cellStyle name="40% - akcent 5 4 6 2 2" xfId="26404"/>
    <cellStyle name="40% - akcent 5 4 6 2 2 2" xfId="26405"/>
    <cellStyle name="40% - akcent 5 4 6 2 3" xfId="26406"/>
    <cellStyle name="40% - akcent 5 4 6 3" xfId="26407"/>
    <cellStyle name="40% - akcent 5 4 6 3 2" xfId="26408"/>
    <cellStyle name="40% - akcent 5 4 6 3 2 2" xfId="26409"/>
    <cellStyle name="40% - akcent 5 4 6 3 3" xfId="26410"/>
    <cellStyle name="40% - akcent 5 4 6 4" xfId="26411"/>
    <cellStyle name="40% - akcent 5 4 6 4 2" xfId="26412"/>
    <cellStyle name="40% - akcent 5 4 6 4 2 2" xfId="26413"/>
    <cellStyle name="40% - akcent 5 4 6 4 3" xfId="26414"/>
    <cellStyle name="40% - akcent 5 4 6 5" xfId="26415"/>
    <cellStyle name="40% - akcent 5 4 6 5 2" xfId="26416"/>
    <cellStyle name="40% - akcent 5 4 6 6" xfId="26417"/>
    <cellStyle name="40% - akcent 5 4 7" xfId="26418"/>
    <cellStyle name="40% - akcent 5 4 7 2" xfId="26419"/>
    <cellStyle name="40% - akcent 5 4 7 2 2" xfId="26420"/>
    <cellStyle name="40% - akcent 5 4 7 2 2 2" xfId="26421"/>
    <cellStyle name="40% - akcent 5 4 7 2 3" xfId="26422"/>
    <cellStyle name="40% - akcent 5 4 7 3" xfId="26423"/>
    <cellStyle name="40% - akcent 5 4 7 3 2" xfId="26424"/>
    <cellStyle name="40% - akcent 5 4 7 3 2 2" xfId="26425"/>
    <cellStyle name="40% - akcent 5 4 7 3 3" xfId="26426"/>
    <cellStyle name="40% - akcent 5 4 7 4" xfId="26427"/>
    <cellStyle name="40% - akcent 5 4 7 4 2" xfId="26428"/>
    <cellStyle name="40% - akcent 5 4 7 4 2 2" xfId="26429"/>
    <cellStyle name="40% - akcent 5 4 7 4 3" xfId="26430"/>
    <cellStyle name="40% - akcent 5 4 7 5" xfId="26431"/>
    <cellStyle name="40% - akcent 5 4 7 5 2" xfId="26432"/>
    <cellStyle name="40% - akcent 5 4 7 6" xfId="26433"/>
    <cellStyle name="40% - akcent 5 4_2011'05 Raport PGE_DO-CO2" xfId="26434"/>
    <cellStyle name="40% - akcent 5 5" xfId="26435"/>
    <cellStyle name="40% - akcent 5 5 2" xfId="26436"/>
    <cellStyle name="40% - akcent 5 5 2 2" xfId="26437"/>
    <cellStyle name="40% - akcent 5 5 2 2 2" xfId="26438"/>
    <cellStyle name="40% - akcent 5 5 2 2 2 2" xfId="26439"/>
    <cellStyle name="40% - akcent 5 5 2 2 2 2 2" xfId="26440"/>
    <cellStyle name="40% - akcent 5 5 2 2 2 2 2 2" xfId="26441"/>
    <cellStyle name="40% - akcent 5 5 2 2 2 2 3" xfId="26442"/>
    <cellStyle name="40% - akcent 5 5 2 2 2 3" xfId="26443"/>
    <cellStyle name="40% - akcent 5 5 2 2 2 3 2" xfId="26444"/>
    <cellStyle name="40% - akcent 5 5 2 2 2 3 2 2" xfId="26445"/>
    <cellStyle name="40% - akcent 5 5 2 2 2 3 3" xfId="26446"/>
    <cellStyle name="40% - akcent 5 5 2 2 2 4" xfId="26447"/>
    <cellStyle name="40% - akcent 5 5 2 2 2 4 2" xfId="26448"/>
    <cellStyle name="40% - akcent 5 5 2 2 2 4 2 2" xfId="26449"/>
    <cellStyle name="40% - akcent 5 5 2 2 2 4 3" xfId="26450"/>
    <cellStyle name="40% - akcent 5 5 2 2 2 5" xfId="26451"/>
    <cellStyle name="40% - akcent 5 5 2 2 2 5 2" xfId="26452"/>
    <cellStyle name="40% - akcent 5 5 2 2 2 6" xfId="26453"/>
    <cellStyle name="40% - akcent 5 5 2 2 3" xfId="26454"/>
    <cellStyle name="40% - akcent 5 5 2 2 3 2" xfId="26455"/>
    <cellStyle name="40% - akcent 5 5 2 2 3 2 2" xfId="26456"/>
    <cellStyle name="40% - akcent 5 5 2 2 3 3" xfId="26457"/>
    <cellStyle name="40% - akcent 5 5 2 2 4" xfId="26458"/>
    <cellStyle name="40% - akcent 5 5 2 2 4 2" xfId="26459"/>
    <cellStyle name="40% - akcent 5 5 2 2 4 2 2" xfId="26460"/>
    <cellStyle name="40% - akcent 5 5 2 2 4 3" xfId="26461"/>
    <cellStyle name="40% - akcent 5 5 2 2 5" xfId="26462"/>
    <cellStyle name="40% - akcent 5 5 2 2 5 2" xfId="26463"/>
    <cellStyle name="40% - akcent 5 5 2 2 5 2 2" xfId="26464"/>
    <cellStyle name="40% - akcent 5 5 2 2 5 3" xfId="26465"/>
    <cellStyle name="40% - akcent 5 5 2 2 6" xfId="26466"/>
    <cellStyle name="40% - akcent 5 5 2 2 6 2" xfId="26467"/>
    <cellStyle name="40% - akcent 5 5 2 2 7" xfId="26468"/>
    <cellStyle name="40% - akcent 5 5 2 3" xfId="26469"/>
    <cellStyle name="40% - akcent 5 5 2 3 2" xfId="26470"/>
    <cellStyle name="40% - akcent 5 5 2 3 2 2" xfId="26471"/>
    <cellStyle name="40% - akcent 5 5 2 3 2 2 2" xfId="26472"/>
    <cellStyle name="40% - akcent 5 5 2 3 2 3" xfId="26473"/>
    <cellStyle name="40% - akcent 5 5 2 3 3" xfId="26474"/>
    <cellStyle name="40% - akcent 5 5 2 3 3 2" xfId="26475"/>
    <cellStyle name="40% - akcent 5 5 2 3 3 2 2" xfId="26476"/>
    <cellStyle name="40% - akcent 5 5 2 3 3 3" xfId="26477"/>
    <cellStyle name="40% - akcent 5 5 2 3 4" xfId="26478"/>
    <cellStyle name="40% - akcent 5 5 2 3 4 2" xfId="26479"/>
    <cellStyle name="40% - akcent 5 5 2 3 4 2 2" xfId="26480"/>
    <cellStyle name="40% - akcent 5 5 2 3 4 3" xfId="26481"/>
    <cellStyle name="40% - akcent 5 5 2 3 5" xfId="26482"/>
    <cellStyle name="40% - akcent 5 5 2 3 5 2" xfId="26483"/>
    <cellStyle name="40% - akcent 5 5 2 3 6" xfId="26484"/>
    <cellStyle name="40% - akcent 5 5 2 4" xfId="26485"/>
    <cellStyle name="40% - akcent 5 5 2 4 2" xfId="26486"/>
    <cellStyle name="40% - akcent 5 5 2 4 2 2" xfId="26487"/>
    <cellStyle name="40% - akcent 5 5 2 4 2 2 2" xfId="26488"/>
    <cellStyle name="40% - akcent 5 5 2 4 2 3" xfId="26489"/>
    <cellStyle name="40% - akcent 5 5 2 4 3" xfId="26490"/>
    <cellStyle name="40% - akcent 5 5 2 4 3 2" xfId="26491"/>
    <cellStyle name="40% - akcent 5 5 2 4 3 2 2" xfId="26492"/>
    <cellStyle name="40% - akcent 5 5 2 4 3 3" xfId="26493"/>
    <cellStyle name="40% - akcent 5 5 2 4 4" xfId="26494"/>
    <cellStyle name="40% - akcent 5 5 2 4 4 2" xfId="26495"/>
    <cellStyle name="40% - akcent 5 5 2 4 4 2 2" xfId="26496"/>
    <cellStyle name="40% - akcent 5 5 2 4 4 3" xfId="26497"/>
    <cellStyle name="40% - akcent 5 5 2 4 5" xfId="26498"/>
    <cellStyle name="40% - akcent 5 5 2 4 5 2" xfId="26499"/>
    <cellStyle name="40% - akcent 5 5 2 4 6" xfId="26500"/>
    <cellStyle name="40% - akcent 5 5 2 5" xfId="26501"/>
    <cellStyle name="40% - akcent 5 5 2 6" xfId="26502"/>
    <cellStyle name="40% - akcent 5 5 2 6 2" xfId="26503"/>
    <cellStyle name="40% - akcent 5 5 2 6 2 2" xfId="26504"/>
    <cellStyle name="40% - akcent 5 5 2 6 2 2 2" xfId="26505"/>
    <cellStyle name="40% - akcent 5 5 2 6 2 3" xfId="26506"/>
    <cellStyle name="40% - akcent 5 5 2 6 3" xfId="26507"/>
    <cellStyle name="40% - akcent 5 5 2 6 3 2" xfId="26508"/>
    <cellStyle name="40% - akcent 5 5 2 6 3 2 2" xfId="26509"/>
    <cellStyle name="40% - akcent 5 5 2 6 3 3" xfId="26510"/>
    <cellStyle name="40% - akcent 5 5 2 6 4" xfId="26511"/>
    <cellStyle name="40% - akcent 5 5 2 6 4 2" xfId="26512"/>
    <cellStyle name="40% - akcent 5 5 2 6 4 2 2" xfId="26513"/>
    <cellStyle name="40% - akcent 5 5 2 6 4 3" xfId="26514"/>
    <cellStyle name="40% - akcent 5 5 2 6 5" xfId="26515"/>
    <cellStyle name="40% - akcent 5 5 2 6 5 2" xfId="26516"/>
    <cellStyle name="40% - akcent 5 5 2 6 6" xfId="26517"/>
    <cellStyle name="40% - akcent 5 5 3" xfId="26518"/>
    <cellStyle name="40% - akcent 5 5 3 2" xfId="26519"/>
    <cellStyle name="40% - akcent 5 5 3 2 2" xfId="26520"/>
    <cellStyle name="40% - akcent 5 5 3 2 2 2" xfId="26521"/>
    <cellStyle name="40% - akcent 5 5 3 2 2 2 2" xfId="26522"/>
    <cellStyle name="40% - akcent 5 5 3 2 2 3" xfId="26523"/>
    <cellStyle name="40% - akcent 5 5 3 2 3" xfId="26524"/>
    <cellStyle name="40% - akcent 5 5 3 2 3 2" xfId="26525"/>
    <cellStyle name="40% - akcent 5 5 3 2 3 2 2" xfId="26526"/>
    <cellStyle name="40% - akcent 5 5 3 2 3 3" xfId="26527"/>
    <cellStyle name="40% - akcent 5 5 3 2 4" xfId="26528"/>
    <cellStyle name="40% - akcent 5 5 3 2 4 2" xfId="26529"/>
    <cellStyle name="40% - akcent 5 5 3 2 4 2 2" xfId="26530"/>
    <cellStyle name="40% - akcent 5 5 3 2 4 3" xfId="26531"/>
    <cellStyle name="40% - akcent 5 5 3 2 5" xfId="26532"/>
    <cellStyle name="40% - akcent 5 5 3 2 5 2" xfId="26533"/>
    <cellStyle name="40% - akcent 5 5 3 2 6" xfId="26534"/>
    <cellStyle name="40% - akcent 5 5 3 3" xfId="26535"/>
    <cellStyle name="40% - akcent 5 5 3 3 2" xfId="26536"/>
    <cellStyle name="40% - akcent 5 5 3 3 2 2" xfId="26537"/>
    <cellStyle name="40% - akcent 5 5 3 3 3" xfId="26538"/>
    <cellStyle name="40% - akcent 5 5 3 4" xfId="26539"/>
    <cellStyle name="40% - akcent 5 5 3 4 2" xfId="26540"/>
    <cellStyle name="40% - akcent 5 5 3 4 2 2" xfId="26541"/>
    <cellStyle name="40% - akcent 5 5 3 4 3" xfId="26542"/>
    <cellStyle name="40% - akcent 5 5 3 5" xfId="26543"/>
    <cellStyle name="40% - akcent 5 5 3 5 2" xfId="26544"/>
    <cellStyle name="40% - akcent 5 5 3 5 2 2" xfId="26545"/>
    <cellStyle name="40% - akcent 5 5 3 5 3" xfId="26546"/>
    <cellStyle name="40% - akcent 5 5 3 6" xfId="26547"/>
    <cellStyle name="40% - akcent 5 5 3 6 2" xfId="26548"/>
    <cellStyle name="40% - akcent 5 5 3 7" xfId="26549"/>
    <cellStyle name="40% - akcent 5 5 4" xfId="26550"/>
    <cellStyle name="40% - akcent 5 5 4 2" xfId="26551"/>
    <cellStyle name="40% - akcent 5 5 4 2 2" xfId="26552"/>
    <cellStyle name="40% - akcent 5 5 4 2 2 2" xfId="26553"/>
    <cellStyle name="40% - akcent 5 5 4 2 3" xfId="26554"/>
    <cellStyle name="40% - akcent 5 5 4 3" xfId="26555"/>
    <cellStyle name="40% - akcent 5 5 4 3 2" xfId="26556"/>
    <cellStyle name="40% - akcent 5 5 4 3 2 2" xfId="26557"/>
    <cellStyle name="40% - akcent 5 5 4 3 3" xfId="26558"/>
    <cellStyle name="40% - akcent 5 5 4 4" xfId="26559"/>
    <cellStyle name="40% - akcent 5 5 4 4 2" xfId="26560"/>
    <cellStyle name="40% - akcent 5 5 4 4 2 2" xfId="26561"/>
    <cellStyle name="40% - akcent 5 5 4 4 3" xfId="26562"/>
    <cellStyle name="40% - akcent 5 5 4 5" xfId="26563"/>
    <cellStyle name="40% - akcent 5 5 4 5 2" xfId="26564"/>
    <cellStyle name="40% - akcent 5 5 4 6" xfId="26565"/>
    <cellStyle name="40% - akcent 5 5 5" xfId="26566"/>
    <cellStyle name="40% - akcent 5 5 5 2" xfId="26567"/>
    <cellStyle name="40% - akcent 5 5 5 2 2" xfId="26568"/>
    <cellStyle name="40% - akcent 5 5 5 2 2 2" xfId="26569"/>
    <cellStyle name="40% - akcent 5 5 5 2 3" xfId="26570"/>
    <cellStyle name="40% - akcent 5 5 5 3" xfId="26571"/>
    <cellStyle name="40% - akcent 5 5 5 3 2" xfId="26572"/>
    <cellStyle name="40% - akcent 5 5 5 3 2 2" xfId="26573"/>
    <cellStyle name="40% - akcent 5 5 5 3 3" xfId="26574"/>
    <cellStyle name="40% - akcent 5 5 5 4" xfId="26575"/>
    <cellStyle name="40% - akcent 5 5 5 4 2" xfId="26576"/>
    <cellStyle name="40% - akcent 5 5 5 4 2 2" xfId="26577"/>
    <cellStyle name="40% - akcent 5 5 5 4 3" xfId="26578"/>
    <cellStyle name="40% - akcent 5 5 5 5" xfId="26579"/>
    <cellStyle name="40% - akcent 5 5 5 5 2" xfId="26580"/>
    <cellStyle name="40% - akcent 5 5 5 6" xfId="26581"/>
    <cellStyle name="40% - akcent 5 5 6" xfId="26582"/>
    <cellStyle name="40% - akcent 5 5 6 2" xfId="26583"/>
    <cellStyle name="40% - akcent 5 5 6 2 2" xfId="26584"/>
    <cellStyle name="40% - akcent 5 5 6 2 2 2" xfId="26585"/>
    <cellStyle name="40% - akcent 5 5 6 2 3" xfId="26586"/>
    <cellStyle name="40% - akcent 5 5 6 3" xfId="26587"/>
    <cellStyle name="40% - akcent 5 5 6 3 2" xfId="26588"/>
    <cellStyle name="40% - akcent 5 5 6 3 2 2" xfId="26589"/>
    <cellStyle name="40% - akcent 5 5 6 3 3" xfId="26590"/>
    <cellStyle name="40% - akcent 5 5 6 4" xfId="26591"/>
    <cellStyle name="40% - akcent 5 5 6 4 2" xfId="26592"/>
    <cellStyle name="40% - akcent 5 5 6 4 2 2" xfId="26593"/>
    <cellStyle name="40% - akcent 5 5 6 4 3" xfId="26594"/>
    <cellStyle name="40% - akcent 5 5 6 5" xfId="26595"/>
    <cellStyle name="40% - akcent 5 5 6 5 2" xfId="26596"/>
    <cellStyle name="40% - akcent 5 5 6 6" xfId="26597"/>
    <cellStyle name="40% - akcent 5 5 7" xfId="26598"/>
    <cellStyle name="40% - akcent 5 5 8" xfId="26599"/>
    <cellStyle name="40% - akcent 5 5_2011'05 Raport PGE_DO-CO2" xfId="26600"/>
    <cellStyle name="40% - akcent 5 6" xfId="26601"/>
    <cellStyle name="40% - akcent 5 6 2" xfId="26602"/>
    <cellStyle name="40% - akcent 5 6 2 10" xfId="26603"/>
    <cellStyle name="40% - akcent 5 6 2 2" xfId="26604"/>
    <cellStyle name="40% - akcent 5 6 2 2 2" xfId="26605"/>
    <cellStyle name="40% - akcent 5 6 2 2 2 2" xfId="26606"/>
    <cellStyle name="40% - akcent 5 6 2 2 2 2 2" xfId="26607"/>
    <cellStyle name="40% - akcent 5 6 2 2 2 2 2 2" xfId="26608"/>
    <cellStyle name="40% - akcent 5 6 2 2 2 2 3" xfId="26609"/>
    <cellStyle name="40% - akcent 5 6 2 2 2 3" xfId="26610"/>
    <cellStyle name="40% - akcent 5 6 2 2 2 3 2" xfId="26611"/>
    <cellStyle name="40% - akcent 5 6 2 2 2 3 2 2" xfId="26612"/>
    <cellStyle name="40% - akcent 5 6 2 2 2 3 3" xfId="26613"/>
    <cellStyle name="40% - akcent 5 6 2 2 2 4" xfId="26614"/>
    <cellStyle name="40% - akcent 5 6 2 2 2 4 2" xfId="26615"/>
    <cellStyle name="40% - akcent 5 6 2 2 2 4 2 2" xfId="26616"/>
    <cellStyle name="40% - akcent 5 6 2 2 2 4 3" xfId="26617"/>
    <cellStyle name="40% - akcent 5 6 2 2 2 5" xfId="26618"/>
    <cellStyle name="40% - akcent 5 6 2 2 2 5 2" xfId="26619"/>
    <cellStyle name="40% - akcent 5 6 2 2 2 6" xfId="26620"/>
    <cellStyle name="40% - akcent 5 6 2 2 3" xfId="26621"/>
    <cellStyle name="40% - akcent 5 6 2 2 3 2" xfId="26622"/>
    <cellStyle name="40% - akcent 5 6 2 2 3 2 2" xfId="26623"/>
    <cellStyle name="40% - akcent 5 6 2 2 3 3" xfId="26624"/>
    <cellStyle name="40% - akcent 5 6 2 2 4" xfId="26625"/>
    <cellStyle name="40% - akcent 5 6 2 2 4 2" xfId="26626"/>
    <cellStyle name="40% - akcent 5 6 2 2 4 2 2" xfId="26627"/>
    <cellStyle name="40% - akcent 5 6 2 2 4 3" xfId="26628"/>
    <cellStyle name="40% - akcent 5 6 2 2 5" xfId="26629"/>
    <cellStyle name="40% - akcent 5 6 2 2 5 2" xfId="26630"/>
    <cellStyle name="40% - akcent 5 6 2 2 5 2 2" xfId="26631"/>
    <cellStyle name="40% - akcent 5 6 2 2 5 3" xfId="26632"/>
    <cellStyle name="40% - akcent 5 6 2 2 6" xfId="26633"/>
    <cellStyle name="40% - akcent 5 6 2 2 6 2" xfId="26634"/>
    <cellStyle name="40% - akcent 5 6 2 2 7" xfId="26635"/>
    <cellStyle name="40% - akcent 5 6 2 3" xfId="26636"/>
    <cellStyle name="40% - akcent 5 6 2 3 2" xfId="26637"/>
    <cellStyle name="40% - akcent 5 6 2 3 2 2" xfId="26638"/>
    <cellStyle name="40% - akcent 5 6 2 3 2 2 2" xfId="26639"/>
    <cellStyle name="40% - akcent 5 6 2 3 2 3" xfId="26640"/>
    <cellStyle name="40% - akcent 5 6 2 3 3" xfId="26641"/>
    <cellStyle name="40% - akcent 5 6 2 3 3 2" xfId="26642"/>
    <cellStyle name="40% - akcent 5 6 2 3 3 2 2" xfId="26643"/>
    <cellStyle name="40% - akcent 5 6 2 3 3 3" xfId="26644"/>
    <cellStyle name="40% - akcent 5 6 2 3 4" xfId="26645"/>
    <cellStyle name="40% - akcent 5 6 2 3 4 2" xfId="26646"/>
    <cellStyle name="40% - akcent 5 6 2 3 4 2 2" xfId="26647"/>
    <cellStyle name="40% - akcent 5 6 2 3 4 3" xfId="26648"/>
    <cellStyle name="40% - akcent 5 6 2 3 5" xfId="26649"/>
    <cellStyle name="40% - akcent 5 6 2 3 5 2" xfId="26650"/>
    <cellStyle name="40% - akcent 5 6 2 3 6" xfId="26651"/>
    <cellStyle name="40% - akcent 5 6 2 4" xfId="26652"/>
    <cellStyle name="40% - akcent 5 6 2 4 2" xfId="26653"/>
    <cellStyle name="40% - akcent 5 6 2 4 2 2" xfId="26654"/>
    <cellStyle name="40% - akcent 5 6 2 4 2 2 2" xfId="26655"/>
    <cellStyle name="40% - akcent 5 6 2 4 2 3" xfId="26656"/>
    <cellStyle name="40% - akcent 5 6 2 4 3" xfId="26657"/>
    <cellStyle name="40% - akcent 5 6 2 4 3 2" xfId="26658"/>
    <cellStyle name="40% - akcent 5 6 2 4 3 2 2" xfId="26659"/>
    <cellStyle name="40% - akcent 5 6 2 4 3 3" xfId="26660"/>
    <cellStyle name="40% - akcent 5 6 2 4 4" xfId="26661"/>
    <cellStyle name="40% - akcent 5 6 2 4 4 2" xfId="26662"/>
    <cellStyle name="40% - akcent 5 6 2 4 4 2 2" xfId="26663"/>
    <cellStyle name="40% - akcent 5 6 2 4 4 3" xfId="26664"/>
    <cellStyle name="40% - akcent 5 6 2 4 5" xfId="26665"/>
    <cellStyle name="40% - akcent 5 6 2 4 5 2" xfId="26666"/>
    <cellStyle name="40% - akcent 5 6 2 4 6" xfId="26667"/>
    <cellStyle name="40% - akcent 5 6 2 5" xfId="26668"/>
    <cellStyle name="40% - akcent 5 6 2 6" xfId="26669"/>
    <cellStyle name="40% - akcent 5 6 2 6 2" xfId="26670"/>
    <cellStyle name="40% - akcent 5 6 2 6 2 2" xfId="26671"/>
    <cellStyle name="40% - akcent 5 6 2 6 3" xfId="26672"/>
    <cellStyle name="40% - akcent 5 6 2 7" xfId="26673"/>
    <cellStyle name="40% - akcent 5 6 2 7 2" xfId="26674"/>
    <cellStyle name="40% - akcent 5 6 2 7 2 2" xfId="26675"/>
    <cellStyle name="40% - akcent 5 6 2 7 3" xfId="26676"/>
    <cellStyle name="40% - akcent 5 6 2 8" xfId="26677"/>
    <cellStyle name="40% - akcent 5 6 2 8 2" xfId="26678"/>
    <cellStyle name="40% - akcent 5 6 2 8 2 2" xfId="26679"/>
    <cellStyle name="40% - akcent 5 6 2 8 3" xfId="26680"/>
    <cellStyle name="40% - akcent 5 6 2 9" xfId="26681"/>
    <cellStyle name="40% - akcent 5 6 2 9 2" xfId="26682"/>
    <cellStyle name="40% - akcent 5 6 3" xfId="26683"/>
    <cellStyle name="40% - akcent 5 6 3 2" xfId="26684"/>
    <cellStyle name="40% - akcent 5 6 3 2 2" xfId="26685"/>
    <cellStyle name="40% - akcent 5 6 3 2 2 2" xfId="26686"/>
    <cellStyle name="40% - akcent 5 6 3 2 2 2 2" xfId="26687"/>
    <cellStyle name="40% - akcent 5 6 3 2 2 3" xfId="26688"/>
    <cellStyle name="40% - akcent 5 6 3 2 3" xfId="26689"/>
    <cellStyle name="40% - akcent 5 6 3 2 3 2" xfId="26690"/>
    <cellStyle name="40% - akcent 5 6 3 2 3 2 2" xfId="26691"/>
    <cellStyle name="40% - akcent 5 6 3 2 3 3" xfId="26692"/>
    <cellStyle name="40% - akcent 5 6 3 2 4" xfId="26693"/>
    <cellStyle name="40% - akcent 5 6 3 2 4 2" xfId="26694"/>
    <cellStyle name="40% - akcent 5 6 3 2 4 2 2" xfId="26695"/>
    <cellStyle name="40% - akcent 5 6 3 2 4 3" xfId="26696"/>
    <cellStyle name="40% - akcent 5 6 3 2 5" xfId="26697"/>
    <cellStyle name="40% - akcent 5 6 3 2 5 2" xfId="26698"/>
    <cellStyle name="40% - akcent 5 6 3 2 6" xfId="26699"/>
    <cellStyle name="40% - akcent 5 6 3 3" xfId="26700"/>
    <cellStyle name="40% - akcent 5 6 3 3 2" xfId="26701"/>
    <cellStyle name="40% - akcent 5 6 3 3 2 2" xfId="26702"/>
    <cellStyle name="40% - akcent 5 6 3 3 3" xfId="26703"/>
    <cellStyle name="40% - akcent 5 6 3 4" xfId="26704"/>
    <cellStyle name="40% - akcent 5 6 3 4 2" xfId="26705"/>
    <cellStyle name="40% - akcent 5 6 3 4 2 2" xfId="26706"/>
    <cellStyle name="40% - akcent 5 6 3 4 3" xfId="26707"/>
    <cellStyle name="40% - akcent 5 6 3 5" xfId="26708"/>
    <cellStyle name="40% - akcent 5 6 3 5 2" xfId="26709"/>
    <cellStyle name="40% - akcent 5 6 3 5 2 2" xfId="26710"/>
    <cellStyle name="40% - akcent 5 6 3 5 3" xfId="26711"/>
    <cellStyle name="40% - akcent 5 6 3 6" xfId="26712"/>
    <cellStyle name="40% - akcent 5 6 3 6 2" xfId="26713"/>
    <cellStyle name="40% - akcent 5 6 3 7" xfId="26714"/>
    <cellStyle name="40% - akcent 5 6 4" xfId="26715"/>
    <cellStyle name="40% - akcent 5 6 4 2" xfId="26716"/>
    <cellStyle name="40% - akcent 5 6 4 2 2" xfId="26717"/>
    <cellStyle name="40% - akcent 5 6 4 2 2 2" xfId="26718"/>
    <cellStyle name="40% - akcent 5 6 4 2 3" xfId="26719"/>
    <cellStyle name="40% - akcent 5 6 4 3" xfId="26720"/>
    <cellStyle name="40% - akcent 5 6 4 3 2" xfId="26721"/>
    <cellStyle name="40% - akcent 5 6 4 3 2 2" xfId="26722"/>
    <cellStyle name="40% - akcent 5 6 4 3 3" xfId="26723"/>
    <cellStyle name="40% - akcent 5 6 4 4" xfId="26724"/>
    <cellStyle name="40% - akcent 5 6 4 4 2" xfId="26725"/>
    <cellStyle name="40% - akcent 5 6 4 4 2 2" xfId="26726"/>
    <cellStyle name="40% - akcent 5 6 4 4 3" xfId="26727"/>
    <cellStyle name="40% - akcent 5 6 4 5" xfId="26728"/>
    <cellStyle name="40% - akcent 5 6 4 5 2" xfId="26729"/>
    <cellStyle name="40% - akcent 5 6 4 6" xfId="26730"/>
    <cellStyle name="40% - akcent 5 6 5" xfId="26731"/>
    <cellStyle name="40% - akcent 5 6 5 2" xfId="26732"/>
    <cellStyle name="40% - akcent 5 6 5 2 2" xfId="26733"/>
    <cellStyle name="40% - akcent 5 6 5 2 2 2" xfId="26734"/>
    <cellStyle name="40% - akcent 5 6 5 2 3" xfId="26735"/>
    <cellStyle name="40% - akcent 5 6 5 3" xfId="26736"/>
    <cellStyle name="40% - akcent 5 6 5 3 2" xfId="26737"/>
    <cellStyle name="40% - akcent 5 6 5 3 2 2" xfId="26738"/>
    <cellStyle name="40% - akcent 5 6 5 3 3" xfId="26739"/>
    <cellStyle name="40% - akcent 5 6 5 4" xfId="26740"/>
    <cellStyle name="40% - akcent 5 6 5 4 2" xfId="26741"/>
    <cellStyle name="40% - akcent 5 6 5 4 2 2" xfId="26742"/>
    <cellStyle name="40% - akcent 5 6 5 4 3" xfId="26743"/>
    <cellStyle name="40% - akcent 5 6 5 5" xfId="26744"/>
    <cellStyle name="40% - akcent 5 6 5 5 2" xfId="26745"/>
    <cellStyle name="40% - akcent 5 6 5 6" xfId="26746"/>
    <cellStyle name="40% - akcent 5 6 6" xfId="26747"/>
    <cellStyle name="40% - akcent 5 6 7" xfId="26748"/>
    <cellStyle name="40% - akcent 5 6 7 2" xfId="26749"/>
    <cellStyle name="40% - akcent 5 6 7 2 2" xfId="26750"/>
    <cellStyle name="40% - akcent 5 6 7 2 2 2" xfId="26751"/>
    <cellStyle name="40% - akcent 5 6 7 2 3" xfId="26752"/>
    <cellStyle name="40% - akcent 5 6 7 3" xfId="26753"/>
    <cellStyle name="40% - akcent 5 6 7 3 2" xfId="26754"/>
    <cellStyle name="40% - akcent 5 6 7 3 2 2" xfId="26755"/>
    <cellStyle name="40% - akcent 5 6 7 3 3" xfId="26756"/>
    <cellStyle name="40% - akcent 5 6 7 4" xfId="26757"/>
    <cellStyle name="40% - akcent 5 6 7 4 2" xfId="26758"/>
    <cellStyle name="40% - akcent 5 6 7 4 2 2" xfId="26759"/>
    <cellStyle name="40% - akcent 5 6 7 4 3" xfId="26760"/>
    <cellStyle name="40% - akcent 5 6 7 5" xfId="26761"/>
    <cellStyle name="40% - akcent 5 6 7 5 2" xfId="26762"/>
    <cellStyle name="40% - akcent 5 6 7 6" xfId="26763"/>
    <cellStyle name="40% - akcent 5 6_Arkusz1" xfId="26764"/>
    <cellStyle name="40% - akcent 5 7" xfId="26765"/>
    <cellStyle name="40% - akcent 5 7 2" xfId="26766"/>
    <cellStyle name="40% - akcent 5 7 2 10" xfId="26767"/>
    <cellStyle name="40% - akcent 5 7 2 2" xfId="26768"/>
    <cellStyle name="40% - akcent 5 7 2 2 2" xfId="26769"/>
    <cellStyle name="40% - akcent 5 7 2 2 2 2" xfId="26770"/>
    <cellStyle name="40% - akcent 5 7 2 2 2 2 2" xfId="26771"/>
    <cellStyle name="40% - akcent 5 7 2 2 2 2 2 2" xfId="26772"/>
    <cellStyle name="40% - akcent 5 7 2 2 2 2 3" xfId="26773"/>
    <cellStyle name="40% - akcent 5 7 2 2 2 3" xfId="26774"/>
    <cellStyle name="40% - akcent 5 7 2 2 2 3 2" xfId="26775"/>
    <cellStyle name="40% - akcent 5 7 2 2 2 3 2 2" xfId="26776"/>
    <cellStyle name="40% - akcent 5 7 2 2 2 3 3" xfId="26777"/>
    <cellStyle name="40% - akcent 5 7 2 2 2 4" xfId="26778"/>
    <cellStyle name="40% - akcent 5 7 2 2 2 4 2" xfId="26779"/>
    <cellStyle name="40% - akcent 5 7 2 2 2 4 2 2" xfId="26780"/>
    <cellStyle name="40% - akcent 5 7 2 2 2 4 3" xfId="26781"/>
    <cellStyle name="40% - akcent 5 7 2 2 2 5" xfId="26782"/>
    <cellStyle name="40% - akcent 5 7 2 2 2 5 2" xfId="26783"/>
    <cellStyle name="40% - akcent 5 7 2 2 2 6" xfId="26784"/>
    <cellStyle name="40% - akcent 5 7 2 2 3" xfId="26785"/>
    <cellStyle name="40% - akcent 5 7 2 2 3 2" xfId="26786"/>
    <cellStyle name="40% - akcent 5 7 2 2 3 2 2" xfId="26787"/>
    <cellStyle name="40% - akcent 5 7 2 2 3 3" xfId="26788"/>
    <cellStyle name="40% - akcent 5 7 2 2 4" xfId="26789"/>
    <cellStyle name="40% - akcent 5 7 2 2 4 2" xfId="26790"/>
    <cellStyle name="40% - akcent 5 7 2 2 4 2 2" xfId="26791"/>
    <cellStyle name="40% - akcent 5 7 2 2 4 3" xfId="26792"/>
    <cellStyle name="40% - akcent 5 7 2 2 5" xfId="26793"/>
    <cellStyle name="40% - akcent 5 7 2 2 5 2" xfId="26794"/>
    <cellStyle name="40% - akcent 5 7 2 2 5 2 2" xfId="26795"/>
    <cellStyle name="40% - akcent 5 7 2 2 5 3" xfId="26796"/>
    <cellStyle name="40% - akcent 5 7 2 2 6" xfId="26797"/>
    <cellStyle name="40% - akcent 5 7 2 2 6 2" xfId="26798"/>
    <cellStyle name="40% - akcent 5 7 2 2 7" xfId="26799"/>
    <cellStyle name="40% - akcent 5 7 2 3" xfId="26800"/>
    <cellStyle name="40% - akcent 5 7 2 3 2" xfId="26801"/>
    <cellStyle name="40% - akcent 5 7 2 3 2 2" xfId="26802"/>
    <cellStyle name="40% - akcent 5 7 2 3 2 2 2" xfId="26803"/>
    <cellStyle name="40% - akcent 5 7 2 3 2 3" xfId="26804"/>
    <cellStyle name="40% - akcent 5 7 2 3 3" xfId="26805"/>
    <cellStyle name="40% - akcent 5 7 2 3 3 2" xfId="26806"/>
    <cellStyle name="40% - akcent 5 7 2 3 3 2 2" xfId="26807"/>
    <cellStyle name="40% - akcent 5 7 2 3 3 3" xfId="26808"/>
    <cellStyle name="40% - akcent 5 7 2 3 4" xfId="26809"/>
    <cellStyle name="40% - akcent 5 7 2 3 4 2" xfId="26810"/>
    <cellStyle name="40% - akcent 5 7 2 3 4 2 2" xfId="26811"/>
    <cellStyle name="40% - akcent 5 7 2 3 4 3" xfId="26812"/>
    <cellStyle name="40% - akcent 5 7 2 3 5" xfId="26813"/>
    <cellStyle name="40% - akcent 5 7 2 3 5 2" xfId="26814"/>
    <cellStyle name="40% - akcent 5 7 2 3 6" xfId="26815"/>
    <cellStyle name="40% - akcent 5 7 2 4" xfId="26816"/>
    <cellStyle name="40% - akcent 5 7 2 4 2" xfId="26817"/>
    <cellStyle name="40% - akcent 5 7 2 4 2 2" xfId="26818"/>
    <cellStyle name="40% - akcent 5 7 2 4 2 2 2" xfId="26819"/>
    <cellStyle name="40% - akcent 5 7 2 4 2 3" xfId="26820"/>
    <cellStyle name="40% - akcent 5 7 2 4 3" xfId="26821"/>
    <cellStyle name="40% - akcent 5 7 2 4 3 2" xfId="26822"/>
    <cellStyle name="40% - akcent 5 7 2 4 3 2 2" xfId="26823"/>
    <cellStyle name="40% - akcent 5 7 2 4 3 3" xfId="26824"/>
    <cellStyle name="40% - akcent 5 7 2 4 4" xfId="26825"/>
    <cellStyle name="40% - akcent 5 7 2 4 4 2" xfId="26826"/>
    <cellStyle name="40% - akcent 5 7 2 4 4 2 2" xfId="26827"/>
    <cellStyle name="40% - akcent 5 7 2 4 4 3" xfId="26828"/>
    <cellStyle name="40% - akcent 5 7 2 4 5" xfId="26829"/>
    <cellStyle name="40% - akcent 5 7 2 4 5 2" xfId="26830"/>
    <cellStyle name="40% - akcent 5 7 2 4 6" xfId="26831"/>
    <cellStyle name="40% - akcent 5 7 2 5" xfId="26832"/>
    <cellStyle name="40% - akcent 5 7 2 6" xfId="26833"/>
    <cellStyle name="40% - akcent 5 7 2 6 2" xfId="26834"/>
    <cellStyle name="40% - akcent 5 7 2 6 2 2" xfId="26835"/>
    <cellStyle name="40% - akcent 5 7 2 6 3" xfId="26836"/>
    <cellStyle name="40% - akcent 5 7 2 7" xfId="26837"/>
    <cellStyle name="40% - akcent 5 7 2 7 2" xfId="26838"/>
    <cellStyle name="40% - akcent 5 7 2 7 2 2" xfId="26839"/>
    <cellStyle name="40% - akcent 5 7 2 7 3" xfId="26840"/>
    <cellStyle name="40% - akcent 5 7 2 8" xfId="26841"/>
    <cellStyle name="40% - akcent 5 7 2 8 2" xfId="26842"/>
    <cellStyle name="40% - akcent 5 7 2 8 2 2" xfId="26843"/>
    <cellStyle name="40% - akcent 5 7 2 8 3" xfId="26844"/>
    <cellStyle name="40% - akcent 5 7 2 9" xfId="26845"/>
    <cellStyle name="40% - akcent 5 7 2 9 2" xfId="26846"/>
    <cellStyle name="40% - akcent 5 7 3" xfId="26847"/>
    <cellStyle name="40% - akcent 5 7 3 2" xfId="26848"/>
    <cellStyle name="40% - akcent 5 7 3 2 2" xfId="26849"/>
    <cellStyle name="40% - akcent 5 7 3 2 2 2" xfId="26850"/>
    <cellStyle name="40% - akcent 5 7 3 2 2 2 2" xfId="26851"/>
    <cellStyle name="40% - akcent 5 7 3 2 2 3" xfId="26852"/>
    <cellStyle name="40% - akcent 5 7 3 2 3" xfId="26853"/>
    <cellStyle name="40% - akcent 5 7 3 2 3 2" xfId="26854"/>
    <cellStyle name="40% - akcent 5 7 3 2 3 2 2" xfId="26855"/>
    <cellStyle name="40% - akcent 5 7 3 2 3 3" xfId="26856"/>
    <cellStyle name="40% - akcent 5 7 3 2 4" xfId="26857"/>
    <cellStyle name="40% - akcent 5 7 3 2 4 2" xfId="26858"/>
    <cellStyle name="40% - akcent 5 7 3 2 4 2 2" xfId="26859"/>
    <cellStyle name="40% - akcent 5 7 3 2 4 3" xfId="26860"/>
    <cellStyle name="40% - akcent 5 7 3 2 5" xfId="26861"/>
    <cellStyle name="40% - akcent 5 7 3 2 5 2" xfId="26862"/>
    <cellStyle name="40% - akcent 5 7 3 2 6" xfId="26863"/>
    <cellStyle name="40% - akcent 5 7 3 3" xfId="26864"/>
    <cellStyle name="40% - akcent 5 7 3 3 2" xfId="26865"/>
    <cellStyle name="40% - akcent 5 7 3 3 2 2" xfId="26866"/>
    <cellStyle name="40% - akcent 5 7 3 3 3" xfId="26867"/>
    <cellStyle name="40% - akcent 5 7 3 4" xfId="26868"/>
    <cellStyle name="40% - akcent 5 7 3 4 2" xfId="26869"/>
    <cellStyle name="40% - akcent 5 7 3 4 2 2" xfId="26870"/>
    <cellStyle name="40% - akcent 5 7 3 4 3" xfId="26871"/>
    <cellStyle name="40% - akcent 5 7 3 5" xfId="26872"/>
    <cellStyle name="40% - akcent 5 7 3 5 2" xfId="26873"/>
    <cellStyle name="40% - akcent 5 7 3 5 2 2" xfId="26874"/>
    <cellStyle name="40% - akcent 5 7 3 5 3" xfId="26875"/>
    <cellStyle name="40% - akcent 5 7 3 6" xfId="26876"/>
    <cellStyle name="40% - akcent 5 7 3 6 2" xfId="26877"/>
    <cellStyle name="40% - akcent 5 7 3 7" xfId="26878"/>
    <cellStyle name="40% - akcent 5 7 4" xfId="26879"/>
    <cellStyle name="40% - akcent 5 7 4 2" xfId="26880"/>
    <cellStyle name="40% - akcent 5 7 4 2 2" xfId="26881"/>
    <cellStyle name="40% - akcent 5 7 4 2 2 2" xfId="26882"/>
    <cellStyle name="40% - akcent 5 7 4 2 3" xfId="26883"/>
    <cellStyle name="40% - akcent 5 7 4 3" xfId="26884"/>
    <cellStyle name="40% - akcent 5 7 4 3 2" xfId="26885"/>
    <cellStyle name="40% - akcent 5 7 4 3 2 2" xfId="26886"/>
    <cellStyle name="40% - akcent 5 7 4 3 3" xfId="26887"/>
    <cellStyle name="40% - akcent 5 7 4 4" xfId="26888"/>
    <cellStyle name="40% - akcent 5 7 4 4 2" xfId="26889"/>
    <cellStyle name="40% - akcent 5 7 4 4 2 2" xfId="26890"/>
    <cellStyle name="40% - akcent 5 7 4 4 3" xfId="26891"/>
    <cellStyle name="40% - akcent 5 7 4 5" xfId="26892"/>
    <cellStyle name="40% - akcent 5 7 4 5 2" xfId="26893"/>
    <cellStyle name="40% - akcent 5 7 4 6" xfId="26894"/>
    <cellStyle name="40% - akcent 5 7 5" xfId="26895"/>
    <cellStyle name="40% - akcent 5 7 5 2" xfId="26896"/>
    <cellStyle name="40% - akcent 5 7 5 2 2" xfId="26897"/>
    <cellStyle name="40% - akcent 5 7 5 2 2 2" xfId="26898"/>
    <cellStyle name="40% - akcent 5 7 5 2 3" xfId="26899"/>
    <cellStyle name="40% - akcent 5 7 5 3" xfId="26900"/>
    <cellStyle name="40% - akcent 5 7 5 3 2" xfId="26901"/>
    <cellStyle name="40% - akcent 5 7 5 3 2 2" xfId="26902"/>
    <cellStyle name="40% - akcent 5 7 5 3 3" xfId="26903"/>
    <cellStyle name="40% - akcent 5 7 5 4" xfId="26904"/>
    <cellStyle name="40% - akcent 5 7 5 4 2" xfId="26905"/>
    <cellStyle name="40% - akcent 5 7 5 4 2 2" xfId="26906"/>
    <cellStyle name="40% - akcent 5 7 5 4 3" xfId="26907"/>
    <cellStyle name="40% - akcent 5 7 5 5" xfId="26908"/>
    <cellStyle name="40% - akcent 5 7 5 5 2" xfId="26909"/>
    <cellStyle name="40% - akcent 5 7 5 6" xfId="26910"/>
    <cellStyle name="40% - akcent 5 7 6" xfId="26911"/>
    <cellStyle name="40% - akcent 5 7 7" xfId="26912"/>
    <cellStyle name="40% - akcent 5 7 7 2" xfId="26913"/>
    <cellStyle name="40% - akcent 5 7 7 2 2" xfId="26914"/>
    <cellStyle name="40% - akcent 5 7 7 2 2 2" xfId="26915"/>
    <cellStyle name="40% - akcent 5 7 7 2 3" xfId="26916"/>
    <cellStyle name="40% - akcent 5 7 7 3" xfId="26917"/>
    <cellStyle name="40% - akcent 5 7 7 3 2" xfId="26918"/>
    <cellStyle name="40% - akcent 5 7 7 3 2 2" xfId="26919"/>
    <cellStyle name="40% - akcent 5 7 7 3 3" xfId="26920"/>
    <cellStyle name="40% - akcent 5 7 7 4" xfId="26921"/>
    <cellStyle name="40% - akcent 5 7 7 4 2" xfId="26922"/>
    <cellStyle name="40% - akcent 5 7 7 4 2 2" xfId="26923"/>
    <cellStyle name="40% - akcent 5 7 7 4 3" xfId="26924"/>
    <cellStyle name="40% - akcent 5 7 7 5" xfId="26925"/>
    <cellStyle name="40% - akcent 5 7 7 5 2" xfId="26926"/>
    <cellStyle name="40% - akcent 5 7 7 6" xfId="26927"/>
    <cellStyle name="40% - akcent 5 7_Arkusz1" xfId="26928"/>
    <cellStyle name="40% - akcent 5 8" xfId="26929"/>
    <cellStyle name="40% - akcent 5 8 2" xfId="26930"/>
    <cellStyle name="40% - akcent 5 8 3" xfId="26931"/>
    <cellStyle name="40% - akcent 5 8_Arkusz1" xfId="26932"/>
    <cellStyle name="40% - akcent 5 9" xfId="26933"/>
    <cellStyle name="40% - akcent 5 9 2" xfId="26934"/>
    <cellStyle name="40% - akcent 5 9_Arkusz1" xfId="26935"/>
    <cellStyle name="40% - akcent 6 10" xfId="26936"/>
    <cellStyle name="40% - akcent 6 10 2" xfId="26937"/>
    <cellStyle name="40% - akcent 6 10_Arkusz1" xfId="26938"/>
    <cellStyle name="40% - akcent 6 11" xfId="26939"/>
    <cellStyle name="40% - akcent 6 12" xfId="26940"/>
    <cellStyle name="40% - akcent 6 13" xfId="26941"/>
    <cellStyle name="40% - akcent 6 2" xfId="26942"/>
    <cellStyle name="40% - akcent 6 2 10" xfId="26943"/>
    <cellStyle name="40% - akcent 6 2 11" xfId="26944"/>
    <cellStyle name="40% - akcent 6 2 11 2" xfId="26945"/>
    <cellStyle name="40% - akcent 6 2 2" xfId="26946"/>
    <cellStyle name="40% - akcent 6 2 2 2" xfId="26947"/>
    <cellStyle name="40% - akcent 6 2 2 2 2" xfId="26948"/>
    <cellStyle name="40% - akcent 6 2 2 2 2 2" xfId="26949"/>
    <cellStyle name="40% - akcent 6 2 2 2 2 2 2" xfId="26950"/>
    <cellStyle name="40% - akcent 6 2 2 2 2 2 2 2" xfId="26951"/>
    <cellStyle name="40% - akcent 6 2 2 2 2 2 2 2 2" xfId="26952"/>
    <cellStyle name="40% - akcent 6 2 2 2 2 2 2 2 2 2" xfId="26953"/>
    <cellStyle name="40% - akcent 6 2 2 2 2 2 2 2 3" xfId="26954"/>
    <cellStyle name="40% - akcent 6 2 2 2 2 2 2 3" xfId="26955"/>
    <cellStyle name="40% - akcent 6 2 2 2 2 2 2 3 2" xfId="26956"/>
    <cellStyle name="40% - akcent 6 2 2 2 2 2 2 3 2 2" xfId="26957"/>
    <cellStyle name="40% - akcent 6 2 2 2 2 2 2 3 3" xfId="26958"/>
    <cellStyle name="40% - akcent 6 2 2 2 2 2 2 4" xfId="26959"/>
    <cellStyle name="40% - akcent 6 2 2 2 2 2 2 4 2" xfId="26960"/>
    <cellStyle name="40% - akcent 6 2 2 2 2 2 2 4 2 2" xfId="26961"/>
    <cellStyle name="40% - akcent 6 2 2 2 2 2 2 4 3" xfId="26962"/>
    <cellStyle name="40% - akcent 6 2 2 2 2 2 2 5" xfId="26963"/>
    <cellStyle name="40% - akcent 6 2 2 2 2 2 2 5 2" xfId="26964"/>
    <cellStyle name="40% - akcent 6 2 2 2 2 2 2 6" xfId="26965"/>
    <cellStyle name="40% - akcent 6 2 2 2 2 2 3" xfId="26966"/>
    <cellStyle name="40% - akcent 6 2 2 2 2 2 3 2" xfId="26967"/>
    <cellStyle name="40% - akcent 6 2 2 2 2 2 3 2 2" xfId="26968"/>
    <cellStyle name="40% - akcent 6 2 2 2 2 2 3 3" xfId="26969"/>
    <cellStyle name="40% - akcent 6 2 2 2 2 2 4" xfId="26970"/>
    <cellStyle name="40% - akcent 6 2 2 2 2 2 4 2" xfId="26971"/>
    <cellStyle name="40% - akcent 6 2 2 2 2 2 4 2 2" xfId="26972"/>
    <cellStyle name="40% - akcent 6 2 2 2 2 2 4 3" xfId="26973"/>
    <cellStyle name="40% - akcent 6 2 2 2 2 2 5" xfId="26974"/>
    <cellStyle name="40% - akcent 6 2 2 2 2 2 5 2" xfId="26975"/>
    <cellStyle name="40% - akcent 6 2 2 2 2 2 5 2 2" xfId="26976"/>
    <cellStyle name="40% - akcent 6 2 2 2 2 2 5 3" xfId="26977"/>
    <cellStyle name="40% - akcent 6 2 2 2 2 2 6" xfId="26978"/>
    <cellStyle name="40% - akcent 6 2 2 2 2 2 6 2" xfId="26979"/>
    <cellStyle name="40% - akcent 6 2 2 2 2 2 7" xfId="26980"/>
    <cellStyle name="40% - akcent 6 2 2 2 2 3" xfId="26981"/>
    <cellStyle name="40% - akcent 6 2 2 2 2 3 2" xfId="26982"/>
    <cellStyle name="40% - akcent 6 2 2 2 2 3 2 2" xfId="26983"/>
    <cellStyle name="40% - akcent 6 2 2 2 2 3 2 2 2" xfId="26984"/>
    <cellStyle name="40% - akcent 6 2 2 2 2 3 2 3" xfId="26985"/>
    <cellStyle name="40% - akcent 6 2 2 2 2 3 3" xfId="26986"/>
    <cellStyle name="40% - akcent 6 2 2 2 2 3 3 2" xfId="26987"/>
    <cellStyle name="40% - akcent 6 2 2 2 2 3 3 2 2" xfId="26988"/>
    <cellStyle name="40% - akcent 6 2 2 2 2 3 3 3" xfId="26989"/>
    <cellStyle name="40% - akcent 6 2 2 2 2 3 4" xfId="26990"/>
    <cellStyle name="40% - akcent 6 2 2 2 2 3 4 2" xfId="26991"/>
    <cellStyle name="40% - akcent 6 2 2 2 2 3 4 2 2" xfId="26992"/>
    <cellStyle name="40% - akcent 6 2 2 2 2 3 4 3" xfId="26993"/>
    <cellStyle name="40% - akcent 6 2 2 2 2 3 5" xfId="26994"/>
    <cellStyle name="40% - akcent 6 2 2 2 2 3 5 2" xfId="26995"/>
    <cellStyle name="40% - akcent 6 2 2 2 2 3 6" xfId="26996"/>
    <cellStyle name="40% - akcent 6 2 2 2 2 4" xfId="26997"/>
    <cellStyle name="40% - akcent 6 2 2 2 2 4 2" xfId="26998"/>
    <cellStyle name="40% - akcent 6 2 2 2 2 4 2 2" xfId="26999"/>
    <cellStyle name="40% - akcent 6 2 2 2 2 4 2 2 2" xfId="27000"/>
    <cellStyle name="40% - akcent 6 2 2 2 2 4 2 3" xfId="27001"/>
    <cellStyle name="40% - akcent 6 2 2 2 2 4 3" xfId="27002"/>
    <cellStyle name="40% - akcent 6 2 2 2 2 4 3 2" xfId="27003"/>
    <cellStyle name="40% - akcent 6 2 2 2 2 4 3 2 2" xfId="27004"/>
    <cellStyle name="40% - akcent 6 2 2 2 2 4 3 3" xfId="27005"/>
    <cellStyle name="40% - akcent 6 2 2 2 2 4 4" xfId="27006"/>
    <cellStyle name="40% - akcent 6 2 2 2 2 4 4 2" xfId="27007"/>
    <cellStyle name="40% - akcent 6 2 2 2 2 4 4 2 2" xfId="27008"/>
    <cellStyle name="40% - akcent 6 2 2 2 2 4 4 3" xfId="27009"/>
    <cellStyle name="40% - akcent 6 2 2 2 2 4 5" xfId="27010"/>
    <cellStyle name="40% - akcent 6 2 2 2 2 4 5 2" xfId="27011"/>
    <cellStyle name="40% - akcent 6 2 2 2 2 4 6" xfId="27012"/>
    <cellStyle name="40% - akcent 6 2 2 2 2 5" xfId="27013"/>
    <cellStyle name="40% - akcent 6 2 2 2 2 5 2" xfId="27014"/>
    <cellStyle name="40% - akcent 6 2 2 2 2 5 2 2" xfId="27015"/>
    <cellStyle name="40% - akcent 6 2 2 2 2 5 3" xfId="27016"/>
    <cellStyle name="40% - akcent 6 2 2 2 2 6" xfId="27017"/>
    <cellStyle name="40% - akcent 6 2 2 2 2 6 2" xfId="27018"/>
    <cellStyle name="40% - akcent 6 2 2 2 2 6 2 2" xfId="27019"/>
    <cellStyle name="40% - akcent 6 2 2 2 2 6 3" xfId="27020"/>
    <cellStyle name="40% - akcent 6 2 2 2 2 7" xfId="27021"/>
    <cellStyle name="40% - akcent 6 2 2 2 2 7 2" xfId="27022"/>
    <cellStyle name="40% - akcent 6 2 2 2 2 7 2 2" xfId="27023"/>
    <cellStyle name="40% - akcent 6 2 2 2 2 7 3" xfId="27024"/>
    <cellStyle name="40% - akcent 6 2 2 2 2 8" xfId="27025"/>
    <cellStyle name="40% - akcent 6 2 2 2 2 8 2" xfId="27026"/>
    <cellStyle name="40% - akcent 6 2 2 2 2 9" xfId="27027"/>
    <cellStyle name="40% - akcent 6 2 2 2 3" xfId="27028"/>
    <cellStyle name="40% - akcent 6 2 2 2 3 2" xfId="27029"/>
    <cellStyle name="40% - akcent 6 2 2 2 3 2 2" xfId="27030"/>
    <cellStyle name="40% - akcent 6 2 2 2 3 2 2 2" xfId="27031"/>
    <cellStyle name="40% - akcent 6 2 2 2 3 2 2 2 2" xfId="27032"/>
    <cellStyle name="40% - akcent 6 2 2 2 3 2 2 3" xfId="27033"/>
    <cellStyle name="40% - akcent 6 2 2 2 3 2 3" xfId="27034"/>
    <cellStyle name="40% - akcent 6 2 2 2 3 2 3 2" xfId="27035"/>
    <cellStyle name="40% - akcent 6 2 2 2 3 2 3 2 2" xfId="27036"/>
    <cellStyle name="40% - akcent 6 2 2 2 3 2 3 3" xfId="27037"/>
    <cellStyle name="40% - akcent 6 2 2 2 3 2 4" xfId="27038"/>
    <cellStyle name="40% - akcent 6 2 2 2 3 2 4 2" xfId="27039"/>
    <cellStyle name="40% - akcent 6 2 2 2 3 2 4 2 2" xfId="27040"/>
    <cellStyle name="40% - akcent 6 2 2 2 3 2 4 3" xfId="27041"/>
    <cellStyle name="40% - akcent 6 2 2 2 3 2 5" xfId="27042"/>
    <cellStyle name="40% - akcent 6 2 2 2 3 2 5 2" xfId="27043"/>
    <cellStyle name="40% - akcent 6 2 2 2 3 2 6" xfId="27044"/>
    <cellStyle name="40% - akcent 6 2 2 2 3 3" xfId="27045"/>
    <cellStyle name="40% - akcent 6 2 2 2 3 3 2" xfId="27046"/>
    <cellStyle name="40% - akcent 6 2 2 2 3 3 2 2" xfId="27047"/>
    <cellStyle name="40% - akcent 6 2 2 2 3 3 3" xfId="27048"/>
    <cellStyle name="40% - akcent 6 2 2 2 3 4" xfId="27049"/>
    <cellStyle name="40% - akcent 6 2 2 2 3 4 2" xfId="27050"/>
    <cellStyle name="40% - akcent 6 2 2 2 3 4 2 2" xfId="27051"/>
    <cellStyle name="40% - akcent 6 2 2 2 3 4 3" xfId="27052"/>
    <cellStyle name="40% - akcent 6 2 2 2 3 5" xfId="27053"/>
    <cellStyle name="40% - akcent 6 2 2 2 3 5 2" xfId="27054"/>
    <cellStyle name="40% - akcent 6 2 2 2 3 5 2 2" xfId="27055"/>
    <cellStyle name="40% - akcent 6 2 2 2 3 5 3" xfId="27056"/>
    <cellStyle name="40% - akcent 6 2 2 2 3 6" xfId="27057"/>
    <cellStyle name="40% - akcent 6 2 2 2 3 6 2" xfId="27058"/>
    <cellStyle name="40% - akcent 6 2 2 2 3 7" xfId="27059"/>
    <cellStyle name="40% - akcent 6 2 2 2 4" xfId="27060"/>
    <cellStyle name="40% - akcent 6 2 2 2 4 2" xfId="27061"/>
    <cellStyle name="40% - akcent 6 2 2 2 4 2 2" xfId="27062"/>
    <cellStyle name="40% - akcent 6 2 2 2 4 2 2 2" xfId="27063"/>
    <cellStyle name="40% - akcent 6 2 2 2 4 2 3" xfId="27064"/>
    <cellStyle name="40% - akcent 6 2 2 2 4 3" xfId="27065"/>
    <cellStyle name="40% - akcent 6 2 2 2 4 3 2" xfId="27066"/>
    <cellStyle name="40% - akcent 6 2 2 2 4 3 2 2" xfId="27067"/>
    <cellStyle name="40% - akcent 6 2 2 2 4 3 3" xfId="27068"/>
    <cellStyle name="40% - akcent 6 2 2 2 4 4" xfId="27069"/>
    <cellStyle name="40% - akcent 6 2 2 2 4 4 2" xfId="27070"/>
    <cellStyle name="40% - akcent 6 2 2 2 4 4 2 2" xfId="27071"/>
    <cellStyle name="40% - akcent 6 2 2 2 4 4 3" xfId="27072"/>
    <cellStyle name="40% - akcent 6 2 2 2 4 5" xfId="27073"/>
    <cellStyle name="40% - akcent 6 2 2 2 4 5 2" xfId="27074"/>
    <cellStyle name="40% - akcent 6 2 2 2 4 6" xfId="27075"/>
    <cellStyle name="40% - akcent 6 2 2 2 5" xfId="27076"/>
    <cellStyle name="40% - akcent 6 2 2 2 5 2" xfId="27077"/>
    <cellStyle name="40% - akcent 6 2 2 2 5 2 2" xfId="27078"/>
    <cellStyle name="40% - akcent 6 2 2 2 5 2 2 2" xfId="27079"/>
    <cellStyle name="40% - akcent 6 2 2 2 5 2 3" xfId="27080"/>
    <cellStyle name="40% - akcent 6 2 2 2 5 3" xfId="27081"/>
    <cellStyle name="40% - akcent 6 2 2 2 5 3 2" xfId="27082"/>
    <cellStyle name="40% - akcent 6 2 2 2 5 3 2 2" xfId="27083"/>
    <cellStyle name="40% - akcent 6 2 2 2 5 3 3" xfId="27084"/>
    <cellStyle name="40% - akcent 6 2 2 2 5 4" xfId="27085"/>
    <cellStyle name="40% - akcent 6 2 2 2 5 4 2" xfId="27086"/>
    <cellStyle name="40% - akcent 6 2 2 2 5 4 2 2" xfId="27087"/>
    <cellStyle name="40% - akcent 6 2 2 2 5 4 3" xfId="27088"/>
    <cellStyle name="40% - akcent 6 2 2 2 5 5" xfId="27089"/>
    <cellStyle name="40% - akcent 6 2 2 2 5 5 2" xfId="27090"/>
    <cellStyle name="40% - akcent 6 2 2 2 5 6" xfId="27091"/>
    <cellStyle name="40% - akcent 6 2 2 2 6" xfId="27092"/>
    <cellStyle name="40% - akcent 6 2 2 2 6 2" xfId="27093"/>
    <cellStyle name="40% - akcent 6 2 2 2 6 2 2" xfId="27094"/>
    <cellStyle name="40% - akcent 6 2 2 2 6 2 2 2" xfId="27095"/>
    <cellStyle name="40% - akcent 6 2 2 2 6 2 3" xfId="27096"/>
    <cellStyle name="40% - akcent 6 2 2 2 6 3" xfId="27097"/>
    <cellStyle name="40% - akcent 6 2 2 2 6 3 2" xfId="27098"/>
    <cellStyle name="40% - akcent 6 2 2 2 6 3 2 2" xfId="27099"/>
    <cellStyle name="40% - akcent 6 2 2 2 6 3 3" xfId="27100"/>
    <cellStyle name="40% - akcent 6 2 2 2 6 4" xfId="27101"/>
    <cellStyle name="40% - akcent 6 2 2 2 6 4 2" xfId="27102"/>
    <cellStyle name="40% - akcent 6 2 2 2 6 4 2 2" xfId="27103"/>
    <cellStyle name="40% - akcent 6 2 2 2 6 4 3" xfId="27104"/>
    <cellStyle name="40% - akcent 6 2 2 2 6 5" xfId="27105"/>
    <cellStyle name="40% - akcent 6 2 2 2 6 5 2" xfId="27106"/>
    <cellStyle name="40% - akcent 6 2 2 2 6 6" xfId="27107"/>
    <cellStyle name="40% - akcent 6 2 2 3" xfId="27108"/>
    <cellStyle name="40% - akcent 6 2 2 3 2" xfId="27109"/>
    <cellStyle name="40% - akcent 6 2 2 3 2 2" xfId="27110"/>
    <cellStyle name="40% - akcent 6 2 2 3 2 2 2" xfId="27111"/>
    <cellStyle name="40% - akcent 6 2 2 3 2 2 2 2" xfId="27112"/>
    <cellStyle name="40% - akcent 6 2 2 3 2 2 2 2 2" xfId="27113"/>
    <cellStyle name="40% - akcent 6 2 2 3 2 2 2 3" xfId="27114"/>
    <cellStyle name="40% - akcent 6 2 2 3 2 2 3" xfId="27115"/>
    <cellStyle name="40% - akcent 6 2 2 3 2 2 3 2" xfId="27116"/>
    <cellStyle name="40% - akcent 6 2 2 3 2 2 3 2 2" xfId="27117"/>
    <cellStyle name="40% - akcent 6 2 2 3 2 2 3 3" xfId="27118"/>
    <cellStyle name="40% - akcent 6 2 2 3 2 2 4" xfId="27119"/>
    <cellStyle name="40% - akcent 6 2 2 3 2 2 4 2" xfId="27120"/>
    <cellStyle name="40% - akcent 6 2 2 3 2 2 4 2 2" xfId="27121"/>
    <cellStyle name="40% - akcent 6 2 2 3 2 2 4 3" xfId="27122"/>
    <cellStyle name="40% - akcent 6 2 2 3 2 2 5" xfId="27123"/>
    <cellStyle name="40% - akcent 6 2 2 3 2 2 5 2" xfId="27124"/>
    <cellStyle name="40% - akcent 6 2 2 3 2 2 6" xfId="27125"/>
    <cellStyle name="40% - akcent 6 2 2 3 2 3" xfId="27126"/>
    <cellStyle name="40% - akcent 6 2 2 3 2 3 2" xfId="27127"/>
    <cellStyle name="40% - akcent 6 2 2 3 2 3 2 2" xfId="27128"/>
    <cellStyle name="40% - akcent 6 2 2 3 2 3 3" xfId="27129"/>
    <cellStyle name="40% - akcent 6 2 2 3 2 4" xfId="27130"/>
    <cellStyle name="40% - akcent 6 2 2 3 2 4 2" xfId="27131"/>
    <cellStyle name="40% - akcent 6 2 2 3 2 4 2 2" xfId="27132"/>
    <cellStyle name="40% - akcent 6 2 2 3 2 4 3" xfId="27133"/>
    <cellStyle name="40% - akcent 6 2 2 3 2 5" xfId="27134"/>
    <cellStyle name="40% - akcent 6 2 2 3 2 5 2" xfId="27135"/>
    <cellStyle name="40% - akcent 6 2 2 3 2 5 2 2" xfId="27136"/>
    <cellStyle name="40% - akcent 6 2 2 3 2 5 3" xfId="27137"/>
    <cellStyle name="40% - akcent 6 2 2 3 2 6" xfId="27138"/>
    <cellStyle name="40% - akcent 6 2 2 3 2 6 2" xfId="27139"/>
    <cellStyle name="40% - akcent 6 2 2 3 2 7" xfId="27140"/>
    <cellStyle name="40% - akcent 6 2 2 3 3" xfId="27141"/>
    <cellStyle name="40% - akcent 6 2 2 3 3 2" xfId="27142"/>
    <cellStyle name="40% - akcent 6 2 2 3 3 2 2" xfId="27143"/>
    <cellStyle name="40% - akcent 6 2 2 3 3 2 2 2" xfId="27144"/>
    <cellStyle name="40% - akcent 6 2 2 3 3 2 3" xfId="27145"/>
    <cellStyle name="40% - akcent 6 2 2 3 3 3" xfId="27146"/>
    <cellStyle name="40% - akcent 6 2 2 3 3 3 2" xfId="27147"/>
    <cellStyle name="40% - akcent 6 2 2 3 3 3 2 2" xfId="27148"/>
    <cellStyle name="40% - akcent 6 2 2 3 3 3 3" xfId="27149"/>
    <cellStyle name="40% - akcent 6 2 2 3 3 4" xfId="27150"/>
    <cellStyle name="40% - akcent 6 2 2 3 3 4 2" xfId="27151"/>
    <cellStyle name="40% - akcent 6 2 2 3 3 4 2 2" xfId="27152"/>
    <cellStyle name="40% - akcent 6 2 2 3 3 4 3" xfId="27153"/>
    <cellStyle name="40% - akcent 6 2 2 3 3 5" xfId="27154"/>
    <cellStyle name="40% - akcent 6 2 2 3 3 5 2" xfId="27155"/>
    <cellStyle name="40% - akcent 6 2 2 3 3 6" xfId="27156"/>
    <cellStyle name="40% - akcent 6 2 2 3 4" xfId="27157"/>
    <cellStyle name="40% - akcent 6 2 2 3 4 2" xfId="27158"/>
    <cellStyle name="40% - akcent 6 2 2 3 4 2 2" xfId="27159"/>
    <cellStyle name="40% - akcent 6 2 2 3 4 2 2 2" xfId="27160"/>
    <cellStyle name="40% - akcent 6 2 2 3 4 2 3" xfId="27161"/>
    <cellStyle name="40% - akcent 6 2 2 3 4 3" xfId="27162"/>
    <cellStyle name="40% - akcent 6 2 2 3 4 3 2" xfId="27163"/>
    <cellStyle name="40% - akcent 6 2 2 3 4 3 2 2" xfId="27164"/>
    <cellStyle name="40% - akcent 6 2 2 3 4 3 3" xfId="27165"/>
    <cellStyle name="40% - akcent 6 2 2 3 4 4" xfId="27166"/>
    <cellStyle name="40% - akcent 6 2 2 3 4 4 2" xfId="27167"/>
    <cellStyle name="40% - akcent 6 2 2 3 4 4 2 2" xfId="27168"/>
    <cellStyle name="40% - akcent 6 2 2 3 4 4 3" xfId="27169"/>
    <cellStyle name="40% - akcent 6 2 2 3 4 5" xfId="27170"/>
    <cellStyle name="40% - akcent 6 2 2 3 4 5 2" xfId="27171"/>
    <cellStyle name="40% - akcent 6 2 2 3 4 6" xfId="27172"/>
    <cellStyle name="40% - akcent 6 2 2 3 5" xfId="27173"/>
    <cellStyle name="40% - akcent 6 2 2 3 5 2" xfId="27174"/>
    <cellStyle name="40% - akcent 6 2 2 3 5 2 2" xfId="27175"/>
    <cellStyle name="40% - akcent 6 2 2 3 5 2 2 2" xfId="27176"/>
    <cellStyle name="40% - akcent 6 2 2 3 5 2 3" xfId="27177"/>
    <cellStyle name="40% - akcent 6 2 2 3 5 3" xfId="27178"/>
    <cellStyle name="40% - akcent 6 2 2 3 5 3 2" xfId="27179"/>
    <cellStyle name="40% - akcent 6 2 2 3 5 3 2 2" xfId="27180"/>
    <cellStyle name="40% - akcent 6 2 2 3 5 3 3" xfId="27181"/>
    <cellStyle name="40% - akcent 6 2 2 3 5 4" xfId="27182"/>
    <cellStyle name="40% - akcent 6 2 2 3 5 4 2" xfId="27183"/>
    <cellStyle name="40% - akcent 6 2 2 3 5 4 2 2" xfId="27184"/>
    <cellStyle name="40% - akcent 6 2 2 3 5 4 3" xfId="27185"/>
    <cellStyle name="40% - akcent 6 2 2 3 5 5" xfId="27186"/>
    <cellStyle name="40% - akcent 6 2 2 3 5 5 2" xfId="27187"/>
    <cellStyle name="40% - akcent 6 2 2 3 5 6" xfId="27188"/>
    <cellStyle name="40% - akcent 6 2 2 4" xfId="27189"/>
    <cellStyle name="40% - akcent 6 2 2 4 2" xfId="27190"/>
    <cellStyle name="40% - akcent 6 2 2 4 2 2" xfId="27191"/>
    <cellStyle name="40% - akcent 6 2 2 4 2 2 2" xfId="27192"/>
    <cellStyle name="40% - akcent 6 2 2 4 2 2 2 2" xfId="27193"/>
    <cellStyle name="40% - akcent 6 2 2 4 2 2 3" xfId="27194"/>
    <cellStyle name="40% - akcent 6 2 2 4 2 3" xfId="27195"/>
    <cellStyle name="40% - akcent 6 2 2 4 2 3 2" xfId="27196"/>
    <cellStyle name="40% - akcent 6 2 2 4 2 3 2 2" xfId="27197"/>
    <cellStyle name="40% - akcent 6 2 2 4 2 3 3" xfId="27198"/>
    <cellStyle name="40% - akcent 6 2 2 4 2 4" xfId="27199"/>
    <cellStyle name="40% - akcent 6 2 2 4 2 4 2" xfId="27200"/>
    <cellStyle name="40% - akcent 6 2 2 4 2 4 2 2" xfId="27201"/>
    <cellStyle name="40% - akcent 6 2 2 4 2 4 3" xfId="27202"/>
    <cellStyle name="40% - akcent 6 2 2 4 2 5" xfId="27203"/>
    <cellStyle name="40% - akcent 6 2 2 4 2 5 2" xfId="27204"/>
    <cellStyle name="40% - akcent 6 2 2 4 2 6" xfId="27205"/>
    <cellStyle name="40% - akcent 6 2 2 4 3" xfId="27206"/>
    <cellStyle name="40% - akcent 6 2 2 4 3 2" xfId="27207"/>
    <cellStyle name="40% - akcent 6 2 2 4 3 2 2" xfId="27208"/>
    <cellStyle name="40% - akcent 6 2 2 4 3 3" xfId="27209"/>
    <cellStyle name="40% - akcent 6 2 2 4 4" xfId="27210"/>
    <cellStyle name="40% - akcent 6 2 2 4 4 2" xfId="27211"/>
    <cellStyle name="40% - akcent 6 2 2 4 4 2 2" xfId="27212"/>
    <cellStyle name="40% - akcent 6 2 2 4 4 3" xfId="27213"/>
    <cellStyle name="40% - akcent 6 2 2 4 5" xfId="27214"/>
    <cellStyle name="40% - akcent 6 2 2 4 5 2" xfId="27215"/>
    <cellStyle name="40% - akcent 6 2 2 4 5 2 2" xfId="27216"/>
    <cellStyle name="40% - akcent 6 2 2 4 5 3" xfId="27217"/>
    <cellStyle name="40% - akcent 6 2 2 4 6" xfId="27218"/>
    <cellStyle name="40% - akcent 6 2 2 4 6 2" xfId="27219"/>
    <cellStyle name="40% - akcent 6 2 2 4 7" xfId="27220"/>
    <cellStyle name="40% - akcent 6 2 2 5" xfId="27221"/>
    <cellStyle name="40% - akcent 6 2 2 5 2" xfId="27222"/>
    <cellStyle name="40% - akcent 6 2 2 5 2 2" xfId="27223"/>
    <cellStyle name="40% - akcent 6 2 2 5 2 2 2" xfId="27224"/>
    <cellStyle name="40% - akcent 6 2 2 5 2 3" xfId="27225"/>
    <cellStyle name="40% - akcent 6 2 2 5 3" xfId="27226"/>
    <cellStyle name="40% - akcent 6 2 2 5 3 2" xfId="27227"/>
    <cellStyle name="40% - akcent 6 2 2 5 3 2 2" xfId="27228"/>
    <cellStyle name="40% - akcent 6 2 2 5 3 3" xfId="27229"/>
    <cellStyle name="40% - akcent 6 2 2 5 4" xfId="27230"/>
    <cellStyle name="40% - akcent 6 2 2 5 4 2" xfId="27231"/>
    <cellStyle name="40% - akcent 6 2 2 5 4 2 2" xfId="27232"/>
    <cellStyle name="40% - akcent 6 2 2 5 4 3" xfId="27233"/>
    <cellStyle name="40% - akcent 6 2 2 5 5" xfId="27234"/>
    <cellStyle name="40% - akcent 6 2 2 5 5 2" xfId="27235"/>
    <cellStyle name="40% - akcent 6 2 2 5 6" xfId="27236"/>
    <cellStyle name="40% - akcent 6 2 2 6" xfId="27237"/>
    <cellStyle name="40% - akcent 6 2 2 6 2" xfId="27238"/>
    <cellStyle name="40% - akcent 6 2 2 6 2 2" xfId="27239"/>
    <cellStyle name="40% - akcent 6 2 2 6 2 2 2" xfId="27240"/>
    <cellStyle name="40% - akcent 6 2 2 6 2 3" xfId="27241"/>
    <cellStyle name="40% - akcent 6 2 2 6 3" xfId="27242"/>
    <cellStyle name="40% - akcent 6 2 2 6 3 2" xfId="27243"/>
    <cellStyle name="40% - akcent 6 2 2 6 3 2 2" xfId="27244"/>
    <cellStyle name="40% - akcent 6 2 2 6 3 3" xfId="27245"/>
    <cellStyle name="40% - akcent 6 2 2 6 4" xfId="27246"/>
    <cellStyle name="40% - akcent 6 2 2 6 4 2" xfId="27247"/>
    <cellStyle name="40% - akcent 6 2 2 6 4 2 2" xfId="27248"/>
    <cellStyle name="40% - akcent 6 2 2 6 4 3" xfId="27249"/>
    <cellStyle name="40% - akcent 6 2 2 6 5" xfId="27250"/>
    <cellStyle name="40% - akcent 6 2 2 6 5 2" xfId="27251"/>
    <cellStyle name="40% - akcent 6 2 2 6 6" xfId="27252"/>
    <cellStyle name="40% - akcent 6 2 2 7" xfId="27253"/>
    <cellStyle name="40% - akcent 6 2 2 8" xfId="27254"/>
    <cellStyle name="40% - akcent 6 2 2 8 2" xfId="27255"/>
    <cellStyle name="40% - akcent 6 2 2 8 2 2" xfId="27256"/>
    <cellStyle name="40% - akcent 6 2 2 8 2 2 2" xfId="27257"/>
    <cellStyle name="40% - akcent 6 2 2 8 2 3" xfId="27258"/>
    <cellStyle name="40% - akcent 6 2 2 8 3" xfId="27259"/>
    <cellStyle name="40% - akcent 6 2 2 8 3 2" xfId="27260"/>
    <cellStyle name="40% - akcent 6 2 2 8 3 2 2" xfId="27261"/>
    <cellStyle name="40% - akcent 6 2 2 8 3 3" xfId="27262"/>
    <cellStyle name="40% - akcent 6 2 2 8 4" xfId="27263"/>
    <cellStyle name="40% - akcent 6 2 2 8 4 2" xfId="27264"/>
    <cellStyle name="40% - akcent 6 2 2 8 4 2 2" xfId="27265"/>
    <cellStyle name="40% - akcent 6 2 2 8 4 3" xfId="27266"/>
    <cellStyle name="40% - akcent 6 2 2 8 5" xfId="27267"/>
    <cellStyle name="40% - akcent 6 2 2 8 5 2" xfId="27268"/>
    <cellStyle name="40% - akcent 6 2 2 8 6" xfId="27269"/>
    <cellStyle name="40% - akcent 6 2 2_2011'05 Raport PGE_DO-CO2" xfId="27270"/>
    <cellStyle name="40% - akcent 6 2 3" xfId="27271"/>
    <cellStyle name="40% - akcent 6 2 3 2" xfId="27272"/>
    <cellStyle name="40% - akcent 6 2 3 2 2" xfId="27273"/>
    <cellStyle name="40% - akcent 6 2 3 2 2 2" xfId="27274"/>
    <cellStyle name="40% - akcent 6 2 3 2 2 2 2" xfId="27275"/>
    <cellStyle name="40% - akcent 6 2 3 2 2 2 2 2" xfId="27276"/>
    <cellStyle name="40% - akcent 6 2 3 2 2 2 2 2 2" xfId="27277"/>
    <cellStyle name="40% - akcent 6 2 3 2 2 2 2 3" xfId="27278"/>
    <cellStyle name="40% - akcent 6 2 3 2 2 2 3" xfId="27279"/>
    <cellStyle name="40% - akcent 6 2 3 2 2 2 3 2" xfId="27280"/>
    <cellStyle name="40% - akcent 6 2 3 2 2 2 3 2 2" xfId="27281"/>
    <cellStyle name="40% - akcent 6 2 3 2 2 2 3 3" xfId="27282"/>
    <cellStyle name="40% - akcent 6 2 3 2 2 2 4" xfId="27283"/>
    <cellStyle name="40% - akcent 6 2 3 2 2 2 4 2" xfId="27284"/>
    <cellStyle name="40% - akcent 6 2 3 2 2 2 4 2 2" xfId="27285"/>
    <cellStyle name="40% - akcent 6 2 3 2 2 2 4 3" xfId="27286"/>
    <cellStyle name="40% - akcent 6 2 3 2 2 2 5" xfId="27287"/>
    <cellStyle name="40% - akcent 6 2 3 2 2 2 5 2" xfId="27288"/>
    <cellStyle name="40% - akcent 6 2 3 2 2 2 6" xfId="27289"/>
    <cellStyle name="40% - akcent 6 2 3 2 2 3" xfId="27290"/>
    <cellStyle name="40% - akcent 6 2 3 2 2 3 2" xfId="27291"/>
    <cellStyle name="40% - akcent 6 2 3 2 2 3 2 2" xfId="27292"/>
    <cellStyle name="40% - akcent 6 2 3 2 2 3 3" xfId="27293"/>
    <cellStyle name="40% - akcent 6 2 3 2 2 4" xfId="27294"/>
    <cellStyle name="40% - akcent 6 2 3 2 2 4 2" xfId="27295"/>
    <cellStyle name="40% - akcent 6 2 3 2 2 4 2 2" xfId="27296"/>
    <cellStyle name="40% - akcent 6 2 3 2 2 4 3" xfId="27297"/>
    <cellStyle name="40% - akcent 6 2 3 2 2 5" xfId="27298"/>
    <cellStyle name="40% - akcent 6 2 3 2 2 5 2" xfId="27299"/>
    <cellStyle name="40% - akcent 6 2 3 2 2 5 2 2" xfId="27300"/>
    <cellStyle name="40% - akcent 6 2 3 2 2 5 3" xfId="27301"/>
    <cellStyle name="40% - akcent 6 2 3 2 2 6" xfId="27302"/>
    <cellStyle name="40% - akcent 6 2 3 2 2 6 2" xfId="27303"/>
    <cellStyle name="40% - akcent 6 2 3 2 2 7" xfId="27304"/>
    <cellStyle name="40% - akcent 6 2 3 2 3" xfId="27305"/>
    <cellStyle name="40% - akcent 6 2 3 2 3 2" xfId="27306"/>
    <cellStyle name="40% - akcent 6 2 3 2 3 2 2" xfId="27307"/>
    <cellStyle name="40% - akcent 6 2 3 2 3 2 2 2" xfId="27308"/>
    <cellStyle name="40% - akcent 6 2 3 2 3 2 3" xfId="27309"/>
    <cellStyle name="40% - akcent 6 2 3 2 3 3" xfId="27310"/>
    <cellStyle name="40% - akcent 6 2 3 2 3 3 2" xfId="27311"/>
    <cellStyle name="40% - akcent 6 2 3 2 3 3 2 2" xfId="27312"/>
    <cellStyle name="40% - akcent 6 2 3 2 3 3 3" xfId="27313"/>
    <cellStyle name="40% - akcent 6 2 3 2 3 4" xfId="27314"/>
    <cellStyle name="40% - akcent 6 2 3 2 3 4 2" xfId="27315"/>
    <cellStyle name="40% - akcent 6 2 3 2 3 4 2 2" xfId="27316"/>
    <cellStyle name="40% - akcent 6 2 3 2 3 4 3" xfId="27317"/>
    <cellStyle name="40% - akcent 6 2 3 2 3 5" xfId="27318"/>
    <cellStyle name="40% - akcent 6 2 3 2 3 5 2" xfId="27319"/>
    <cellStyle name="40% - akcent 6 2 3 2 3 6" xfId="27320"/>
    <cellStyle name="40% - akcent 6 2 3 2 4" xfId="27321"/>
    <cellStyle name="40% - akcent 6 2 3 2 4 2" xfId="27322"/>
    <cellStyle name="40% - akcent 6 2 3 2 4 2 2" xfId="27323"/>
    <cellStyle name="40% - akcent 6 2 3 2 4 2 2 2" xfId="27324"/>
    <cellStyle name="40% - akcent 6 2 3 2 4 2 3" xfId="27325"/>
    <cellStyle name="40% - akcent 6 2 3 2 4 3" xfId="27326"/>
    <cellStyle name="40% - akcent 6 2 3 2 4 3 2" xfId="27327"/>
    <cellStyle name="40% - akcent 6 2 3 2 4 3 2 2" xfId="27328"/>
    <cellStyle name="40% - akcent 6 2 3 2 4 3 3" xfId="27329"/>
    <cellStyle name="40% - akcent 6 2 3 2 4 4" xfId="27330"/>
    <cellStyle name="40% - akcent 6 2 3 2 4 4 2" xfId="27331"/>
    <cellStyle name="40% - akcent 6 2 3 2 4 4 2 2" xfId="27332"/>
    <cellStyle name="40% - akcent 6 2 3 2 4 4 3" xfId="27333"/>
    <cellStyle name="40% - akcent 6 2 3 2 4 5" xfId="27334"/>
    <cellStyle name="40% - akcent 6 2 3 2 4 5 2" xfId="27335"/>
    <cellStyle name="40% - akcent 6 2 3 2 4 6" xfId="27336"/>
    <cellStyle name="40% - akcent 6 2 3 2 5" xfId="27337"/>
    <cellStyle name="40% - akcent 6 2 3 2 5 2" xfId="27338"/>
    <cellStyle name="40% - akcent 6 2 3 2 5 2 2" xfId="27339"/>
    <cellStyle name="40% - akcent 6 2 3 2 5 2 2 2" xfId="27340"/>
    <cellStyle name="40% - akcent 6 2 3 2 5 2 3" xfId="27341"/>
    <cellStyle name="40% - akcent 6 2 3 2 5 3" xfId="27342"/>
    <cellStyle name="40% - akcent 6 2 3 2 5 3 2" xfId="27343"/>
    <cellStyle name="40% - akcent 6 2 3 2 5 3 2 2" xfId="27344"/>
    <cellStyle name="40% - akcent 6 2 3 2 5 3 3" xfId="27345"/>
    <cellStyle name="40% - akcent 6 2 3 2 5 4" xfId="27346"/>
    <cellStyle name="40% - akcent 6 2 3 2 5 4 2" xfId="27347"/>
    <cellStyle name="40% - akcent 6 2 3 2 5 4 2 2" xfId="27348"/>
    <cellStyle name="40% - akcent 6 2 3 2 5 4 3" xfId="27349"/>
    <cellStyle name="40% - akcent 6 2 3 2 5 5" xfId="27350"/>
    <cellStyle name="40% - akcent 6 2 3 2 5 5 2" xfId="27351"/>
    <cellStyle name="40% - akcent 6 2 3 2 5 6" xfId="27352"/>
    <cellStyle name="40% - akcent 6 2 3 3" xfId="27353"/>
    <cellStyle name="40% - akcent 6 2 3 3 2" xfId="27354"/>
    <cellStyle name="40% - akcent 6 2 3 3 2 2" xfId="27355"/>
    <cellStyle name="40% - akcent 6 2 3 3 2 2 2" xfId="27356"/>
    <cellStyle name="40% - akcent 6 2 3 3 2 2 2 2" xfId="27357"/>
    <cellStyle name="40% - akcent 6 2 3 3 2 2 3" xfId="27358"/>
    <cellStyle name="40% - akcent 6 2 3 3 2 3" xfId="27359"/>
    <cellStyle name="40% - akcent 6 2 3 3 2 3 2" xfId="27360"/>
    <cellStyle name="40% - akcent 6 2 3 3 2 3 2 2" xfId="27361"/>
    <cellStyle name="40% - akcent 6 2 3 3 2 3 3" xfId="27362"/>
    <cellStyle name="40% - akcent 6 2 3 3 2 4" xfId="27363"/>
    <cellStyle name="40% - akcent 6 2 3 3 2 4 2" xfId="27364"/>
    <cellStyle name="40% - akcent 6 2 3 3 2 4 2 2" xfId="27365"/>
    <cellStyle name="40% - akcent 6 2 3 3 2 4 3" xfId="27366"/>
    <cellStyle name="40% - akcent 6 2 3 3 2 5" xfId="27367"/>
    <cellStyle name="40% - akcent 6 2 3 3 2 5 2" xfId="27368"/>
    <cellStyle name="40% - akcent 6 2 3 3 2 6" xfId="27369"/>
    <cellStyle name="40% - akcent 6 2 3 3 3" xfId="27370"/>
    <cellStyle name="40% - akcent 6 2 3 3 3 2" xfId="27371"/>
    <cellStyle name="40% - akcent 6 2 3 3 3 2 2" xfId="27372"/>
    <cellStyle name="40% - akcent 6 2 3 3 3 3" xfId="27373"/>
    <cellStyle name="40% - akcent 6 2 3 3 4" xfId="27374"/>
    <cellStyle name="40% - akcent 6 2 3 3 4 2" xfId="27375"/>
    <cellStyle name="40% - akcent 6 2 3 3 4 2 2" xfId="27376"/>
    <cellStyle name="40% - akcent 6 2 3 3 4 3" xfId="27377"/>
    <cellStyle name="40% - akcent 6 2 3 3 5" xfId="27378"/>
    <cellStyle name="40% - akcent 6 2 3 3 5 2" xfId="27379"/>
    <cellStyle name="40% - akcent 6 2 3 3 5 2 2" xfId="27380"/>
    <cellStyle name="40% - akcent 6 2 3 3 5 3" xfId="27381"/>
    <cellStyle name="40% - akcent 6 2 3 3 6" xfId="27382"/>
    <cellStyle name="40% - akcent 6 2 3 3 6 2" xfId="27383"/>
    <cellStyle name="40% - akcent 6 2 3 3 7" xfId="27384"/>
    <cellStyle name="40% - akcent 6 2 3 4" xfId="27385"/>
    <cellStyle name="40% - akcent 6 2 3 4 2" xfId="27386"/>
    <cellStyle name="40% - akcent 6 2 3 4 2 2" xfId="27387"/>
    <cellStyle name="40% - akcent 6 2 3 4 2 2 2" xfId="27388"/>
    <cellStyle name="40% - akcent 6 2 3 4 2 3" xfId="27389"/>
    <cellStyle name="40% - akcent 6 2 3 4 3" xfId="27390"/>
    <cellStyle name="40% - akcent 6 2 3 4 3 2" xfId="27391"/>
    <cellStyle name="40% - akcent 6 2 3 4 3 2 2" xfId="27392"/>
    <cellStyle name="40% - akcent 6 2 3 4 3 3" xfId="27393"/>
    <cellStyle name="40% - akcent 6 2 3 4 4" xfId="27394"/>
    <cellStyle name="40% - akcent 6 2 3 4 4 2" xfId="27395"/>
    <cellStyle name="40% - akcent 6 2 3 4 4 2 2" xfId="27396"/>
    <cellStyle name="40% - akcent 6 2 3 4 4 3" xfId="27397"/>
    <cellStyle name="40% - akcent 6 2 3 4 5" xfId="27398"/>
    <cellStyle name="40% - akcent 6 2 3 4 5 2" xfId="27399"/>
    <cellStyle name="40% - akcent 6 2 3 4 6" xfId="27400"/>
    <cellStyle name="40% - akcent 6 2 3 5" xfId="27401"/>
    <cellStyle name="40% - akcent 6 2 3 5 2" xfId="27402"/>
    <cellStyle name="40% - akcent 6 2 3 5 2 2" xfId="27403"/>
    <cellStyle name="40% - akcent 6 2 3 5 2 2 2" xfId="27404"/>
    <cellStyle name="40% - akcent 6 2 3 5 2 3" xfId="27405"/>
    <cellStyle name="40% - akcent 6 2 3 5 3" xfId="27406"/>
    <cellStyle name="40% - akcent 6 2 3 5 3 2" xfId="27407"/>
    <cellStyle name="40% - akcent 6 2 3 5 3 2 2" xfId="27408"/>
    <cellStyle name="40% - akcent 6 2 3 5 3 3" xfId="27409"/>
    <cellStyle name="40% - akcent 6 2 3 5 4" xfId="27410"/>
    <cellStyle name="40% - akcent 6 2 3 5 4 2" xfId="27411"/>
    <cellStyle name="40% - akcent 6 2 3 5 4 2 2" xfId="27412"/>
    <cellStyle name="40% - akcent 6 2 3 5 4 3" xfId="27413"/>
    <cellStyle name="40% - akcent 6 2 3 5 5" xfId="27414"/>
    <cellStyle name="40% - akcent 6 2 3 5 5 2" xfId="27415"/>
    <cellStyle name="40% - akcent 6 2 3 5 6" xfId="27416"/>
    <cellStyle name="40% - akcent 6 2 3 6" xfId="27417"/>
    <cellStyle name="40% - akcent 6 2 3 6 2" xfId="27418"/>
    <cellStyle name="40% - akcent 6 2 3 6 2 2" xfId="27419"/>
    <cellStyle name="40% - akcent 6 2 3 6 2 2 2" xfId="27420"/>
    <cellStyle name="40% - akcent 6 2 3 6 2 3" xfId="27421"/>
    <cellStyle name="40% - akcent 6 2 3 6 3" xfId="27422"/>
    <cellStyle name="40% - akcent 6 2 3 6 3 2" xfId="27423"/>
    <cellStyle name="40% - akcent 6 2 3 6 3 2 2" xfId="27424"/>
    <cellStyle name="40% - akcent 6 2 3 6 3 3" xfId="27425"/>
    <cellStyle name="40% - akcent 6 2 3 6 4" xfId="27426"/>
    <cellStyle name="40% - akcent 6 2 3 6 4 2" xfId="27427"/>
    <cellStyle name="40% - akcent 6 2 3 6 4 2 2" xfId="27428"/>
    <cellStyle name="40% - akcent 6 2 3 6 4 3" xfId="27429"/>
    <cellStyle name="40% - akcent 6 2 3 6 5" xfId="27430"/>
    <cellStyle name="40% - akcent 6 2 3 6 5 2" xfId="27431"/>
    <cellStyle name="40% - akcent 6 2 3 6 6" xfId="27432"/>
    <cellStyle name="40% - akcent 6 2 3_2011'05 Raport PGE_DO-CO2" xfId="27433"/>
    <cellStyle name="40% - akcent 6 2 4" xfId="27434"/>
    <cellStyle name="40% - akcent 6 2 4 2" xfId="27435"/>
    <cellStyle name="40% - akcent 6 2 4 2 2" xfId="27436"/>
    <cellStyle name="40% - akcent 6 2 4 2 2 2" xfId="27437"/>
    <cellStyle name="40% - akcent 6 2 4 2 2 2 2" xfId="27438"/>
    <cellStyle name="40% - akcent 6 2 4 2 2 2 2 2" xfId="27439"/>
    <cellStyle name="40% - akcent 6 2 4 2 2 2 2 2 2" xfId="27440"/>
    <cellStyle name="40% - akcent 6 2 4 2 2 2 2 3" xfId="27441"/>
    <cellStyle name="40% - akcent 6 2 4 2 2 2 3" xfId="27442"/>
    <cellStyle name="40% - akcent 6 2 4 2 2 2 3 2" xfId="27443"/>
    <cellStyle name="40% - akcent 6 2 4 2 2 2 3 2 2" xfId="27444"/>
    <cellStyle name="40% - akcent 6 2 4 2 2 2 3 3" xfId="27445"/>
    <cellStyle name="40% - akcent 6 2 4 2 2 2 4" xfId="27446"/>
    <cellStyle name="40% - akcent 6 2 4 2 2 2 4 2" xfId="27447"/>
    <cellStyle name="40% - akcent 6 2 4 2 2 2 4 2 2" xfId="27448"/>
    <cellStyle name="40% - akcent 6 2 4 2 2 2 4 3" xfId="27449"/>
    <cellStyle name="40% - akcent 6 2 4 2 2 2 5" xfId="27450"/>
    <cellStyle name="40% - akcent 6 2 4 2 2 2 5 2" xfId="27451"/>
    <cellStyle name="40% - akcent 6 2 4 2 2 2 6" xfId="27452"/>
    <cellStyle name="40% - akcent 6 2 4 2 2 3" xfId="27453"/>
    <cellStyle name="40% - akcent 6 2 4 2 2 3 2" xfId="27454"/>
    <cellStyle name="40% - akcent 6 2 4 2 2 3 2 2" xfId="27455"/>
    <cellStyle name="40% - akcent 6 2 4 2 2 3 3" xfId="27456"/>
    <cellStyle name="40% - akcent 6 2 4 2 2 4" xfId="27457"/>
    <cellStyle name="40% - akcent 6 2 4 2 2 4 2" xfId="27458"/>
    <cellStyle name="40% - akcent 6 2 4 2 2 4 2 2" xfId="27459"/>
    <cellStyle name="40% - akcent 6 2 4 2 2 4 3" xfId="27460"/>
    <cellStyle name="40% - akcent 6 2 4 2 2 5" xfId="27461"/>
    <cellStyle name="40% - akcent 6 2 4 2 2 5 2" xfId="27462"/>
    <cellStyle name="40% - akcent 6 2 4 2 2 5 2 2" xfId="27463"/>
    <cellStyle name="40% - akcent 6 2 4 2 2 5 3" xfId="27464"/>
    <cellStyle name="40% - akcent 6 2 4 2 2 6" xfId="27465"/>
    <cellStyle name="40% - akcent 6 2 4 2 2 6 2" xfId="27466"/>
    <cellStyle name="40% - akcent 6 2 4 2 2 7" xfId="27467"/>
    <cellStyle name="40% - akcent 6 2 4 2 3" xfId="27468"/>
    <cellStyle name="40% - akcent 6 2 4 2 3 2" xfId="27469"/>
    <cellStyle name="40% - akcent 6 2 4 2 3 2 2" xfId="27470"/>
    <cellStyle name="40% - akcent 6 2 4 2 3 2 2 2" xfId="27471"/>
    <cellStyle name="40% - akcent 6 2 4 2 3 2 3" xfId="27472"/>
    <cellStyle name="40% - akcent 6 2 4 2 3 3" xfId="27473"/>
    <cellStyle name="40% - akcent 6 2 4 2 3 3 2" xfId="27474"/>
    <cellStyle name="40% - akcent 6 2 4 2 3 3 2 2" xfId="27475"/>
    <cellStyle name="40% - akcent 6 2 4 2 3 3 3" xfId="27476"/>
    <cellStyle name="40% - akcent 6 2 4 2 3 4" xfId="27477"/>
    <cellStyle name="40% - akcent 6 2 4 2 3 4 2" xfId="27478"/>
    <cellStyle name="40% - akcent 6 2 4 2 3 4 2 2" xfId="27479"/>
    <cellStyle name="40% - akcent 6 2 4 2 3 4 3" xfId="27480"/>
    <cellStyle name="40% - akcent 6 2 4 2 3 5" xfId="27481"/>
    <cellStyle name="40% - akcent 6 2 4 2 3 5 2" xfId="27482"/>
    <cellStyle name="40% - akcent 6 2 4 2 3 6" xfId="27483"/>
    <cellStyle name="40% - akcent 6 2 4 2 4" xfId="27484"/>
    <cellStyle name="40% - akcent 6 2 4 2 4 2" xfId="27485"/>
    <cellStyle name="40% - akcent 6 2 4 2 4 2 2" xfId="27486"/>
    <cellStyle name="40% - akcent 6 2 4 2 4 2 2 2" xfId="27487"/>
    <cellStyle name="40% - akcent 6 2 4 2 4 2 3" xfId="27488"/>
    <cellStyle name="40% - akcent 6 2 4 2 4 3" xfId="27489"/>
    <cellStyle name="40% - akcent 6 2 4 2 4 3 2" xfId="27490"/>
    <cellStyle name="40% - akcent 6 2 4 2 4 3 2 2" xfId="27491"/>
    <cellStyle name="40% - akcent 6 2 4 2 4 3 3" xfId="27492"/>
    <cellStyle name="40% - akcent 6 2 4 2 4 4" xfId="27493"/>
    <cellStyle name="40% - akcent 6 2 4 2 4 4 2" xfId="27494"/>
    <cellStyle name="40% - akcent 6 2 4 2 4 4 2 2" xfId="27495"/>
    <cellStyle name="40% - akcent 6 2 4 2 4 4 3" xfId="27496"/>
    <cellStyle name="40% - akcent 6 2 4 2 4 5" xfId="27497"/>
    <cellStyle name="40% - akcent 6 2 4 2 4 5 2" xfId="27498"/>
    <cellStyle name="40% - akcent 6 2 4 2 4 6" xfId="27499"/>
    <cellStyle name="40% - akcent 6 2 4 2 5" xfId="27500"/>
    <cellStyle name="40% - akcent 6 2 4 2 5 2" xfId="27501"/>
    <cellStyle name="40% - akcent 6 2 4 2 5 2 2" xfId="27502"/>
    <cellStyle name="40% - akcent 6 2 4 2 5 3" xfId="27503"/>
    <cellStyle name="40% - akcent 6 2 4 2 6" xfId="27504"/>
    <cellStyle name="40% - akcent 6 2 4 2 6 2" xfId="27505"/>
    <cellStyle name="40% - akcent 6 2 4 2 6 2 2" xfId="27506"/>
    <cellStyle name="40% - akcent 6 2 4 2 6 3" xfId="27507"/>
    <cellStyle name="40% - akcent 6 2 4 2 7" xfId="27508"/>
    <cellStyle name="40% - akcent 6 2 4 2 7 2" xfId="27509"/>
    <cellStyle name="40% - akcent 6 2 4 2 7 2 2" xfId="27510"/>
    <cellStyle name="40% - akcent 6 2 4 2 7 3" xfId="27511"/>
    <cellStyle name="40% - akcent 6 2 4 2 8" xfId="27512"/>
    <cellStyle name="40% - akcent 6 2 4 2 8 2" xfId="27513"/>
    <cellStyle name="40% - akcent 6 2 4 2 9" xfId="27514"/>
    <cellStyle name="40% - akcent 6 2 4 3" xfId="27515"/>
    <cellStyle name="40% - akcent 6 2 4 3 2" xfId="27516"/>
    <cellStyle name="40% - akcent 6 2 4 3 2 2" xfId="27517"/>
    <cellStyle name="40% - akcent 6 2 4 3 2 2 2" xfId="27518"/>
    <cellStyle name="40% - akcent 6 2 4 3 2 2 2 2" xfId="27519"/>
    <cellStyle name="40% - akcent 6 2 4 3 2 2 3" xfId="27520"/>
    <cellStyle name="40% - akcent 6 2 4 3 2 3" xfId="27521"/>
    <cellStyle name="40% - akcent 6 2 4 3 2 3 2" xfId="27522"/>
    <cellStyle name="40% - akcent 6 2 4 3 2 3 2 2" xfId="27523"/>
    <cellStyle name="40% - akcent 6 2 4 3 2 3 3" xfId="27524"/>
    <cellStyle name="40% - akcent 6 2 4 3 2 4" xfId="27525"/>
    <cellStyle name="40% - akcent 6 2 4 3 2 4 2" xfId="27526"/>
    <cellStyle name="40% - akcent 6 2 4 3 2 4 2 2" xfId="27527"/>
    <cellStyle name="40% - akcent 6 2 4 3 2 4 3" xfId="27528"/>
    <cellStyle name="40% - akcent 6 2 4 3 2 5" xfId="27529"/>
    <cellStyle name="40% - akcent 6 2 4 3 2 5 2" xfId="27530"/>
    <cellStyle name="40% - akcent 6 2 4 3 2 6" xfId="27531"/>
    <cellStyle name="40% - akcent 6 2 4 3 3" xfId="27532"/>
    <cellStyle name="40% - akcent 6 2 4 3 3 2" xfId="27533"/>
    <cellStyle name="40% - akcent 6 2 4 3 3 2 2" xfId="27534"/>
    <cellStyle name="40% - akcent 6 2 4 3 3 3" xfId="27535"/>
    <cellStyle name="40% - akcent 6 2 4 3 4" xfId="27536"/>
    <cellStyle name="40% - akcent 6 2 4 3 4 2" xfId="27537"/>
    <cellStyle name="40% - akcent 6 2 4 3 4 2 2" xfId="27538"/>
    <cellStyle name="40% - akcent 6 2 4 3 4 3" xfId="27539"/>
    <cellStyle name="40% - akcent 6 2 4 3 5" xfId="27540"/>
    <cellStyle name="40% - akcent 6 2 4 3 5 2" xfId="27541"/>
    <cellStyle name="40% - akcent 6 2 4 3 5 2 2" xfId="27542"/>
    <cellStyle name="40% - akcent 6 2 4 3 5 3" xfId="27543"/>
    <cellStyle name="40% - akcent 6 2 4 3 6" xfId="27544"/>
    <cellStyle name="40% - akcent 6 2 4 3 6 2" xfId="27545"/>
    <cellStyle name="40% - akcent 6 2 4 3 7" xfId="27546"/>
    <cellStyle name="40% - akcent 6 2 4 4" xfId="27547"/>
    <cellStyle name="40% - akcent 6 2 4 4 2" xfId="27548"/>
    <cellStyle name="40% - akcent 6 2 4 4 2 2" xfId="27549"/>
    <cellStyle name="40% - akcent 6 2 4 4 2 2 2" xfId="27550"/>
    <cellStyle name="40% - akcent 6 2 4 4 2 3" xfId="27551"/>
    <cellStyle name="40% - akcent 6 2 4 4 3" xfId="27552"/>
    <cellStyle name="40% - akcent 6 2 4 4 3 2" xfId="27553"/>
    <cellStyle name="40% - akcent 6 2 4 4 3 2 2" xfId="27554"/>
    <cellStyle name="40% - akcent 6 2 4 4 3 3" xfId="27555"/>
    <cellStyle name="40% - akcent 6 2 4 4 4" xfId="27556"/>
    <cellStyle name="40% - akcent 6 2 4 4 4 2" xfId="27557"/>
    <cellStyle name="40% - akcent 6 2 4 4 4 2 2" xfId="27558"/>
    <cellStyle name="40% - akcent 6 2 4 4 4 3" xfId="27559"/>
    <cellStyle name="40% - akcent 6 2 4 4 5" xfId="27560"/>
    <cellStyle name="40% - akcent 6 2 4 4 5 2" xfId="27561"/>
    <cellStyle name="40% - akcent 6 2 4 4 6" xfId="27562"/>
    <cellStyle name="40% - akcent 6 2 4 5" xfId="27563"/>
    <cellStyle name="40% - akcent 6 2 4 5 2" xfId="27564"/>
    <cellStyle name="40% - akcent 6 2 4 5 2 2" xfId="27565"/>
    <cellStyle name="40% - akcent 6 2 4 5 2 2 2" xfId="27566"/>
    <cellStyle name="40% - akcent 6 2 4 5 2 3" xfId="27567"/>
    <cellStyle name="40% - akcent 6 2 4 5 3" xfId="27568"/>
    <cellStyle name="40% - akcent 6 2 4 5 3 2" xfId="27569"/>
    <cellStyle name="40% - akcent 6 2 4 5 3 2 2" xfId="27570"/>
    <cellStyle name="40% - akcent 6 2 4 5 3 3" xfId="27571"/>
    <cellStyle name="40% - akcent 6 2 4 5 4" xfId="27572"/>
    <cellStyle name="40% - akcent 6 2 4 5 4 2" xfId="27573"/>
    <cellStyle name="40% - akcent 6 2 4 5 4 2 2" xfId="27574"/>
    <cellStyle name="40% - akcent 6 2 4 5 4 3" xfId="27575"/>
    <cellStyle name="40% - akcent 6 2 4 5 5" xfId="27576"/>
    <cellStyle name="40% - akcent 6 2 4 5 5 2" xfId="27577"/>
    <cellStyle name="40% - akcent 6 2 4 5 6" xfId="27578"/>
    <cellStyle name="40% - akcent 6 2 4 6" xfId="27579"/>
    <cellStyle name="40% - akcent 6 2 4 6 2" xfId="27580"/>
    <cellStyle name="40% - akcent 6 2 4 6 2 2" xfId="27581"/>
    <cellStyle name="40% - akcent 6 2 4 6 2 2 2" xfId="27582"/>
    <cellStyle name="40% - akcent 6 2 4 6 2 3" xfId="27583"/>
    <cellStyle name="40% - akcent 6 2 4 6 3" xfId="27584"/>
    <cellStyle name="40% - akcent 6 2 4 6 3 2" xfId="27585"/>
    <cellStyle name="40% - akcent 6 2 4 6 3 2 2" xfId="27586"/>
    <cellStyle name="40% - akcent 6 2 4 6 3 3" xfId="27587"/>
    <cellStyle name="40% - akcent 6 2 4 6 4" xfId="27588"/>
    <cellStyle name="40% - akcent 6 2 4 6 4 2" xfId="27589"/>
    <cellStyle name="40% - akcent 6 2 4 6 4 2 2" xfId="27590"/>
    <cellStyle name="40% - akcent 6 2 4 6 4 3" xfId="27591"/>
    <cellStyle name="40% - akcent 6 2 4 6 5" xfId="27592"/>
    <cellStyle name="40% - akcent 6 2 4 6 5 2" xfId="27593"/>
    <cellStyle name="40% - akcent 6 2 4 6 6" xfId="27594"/>
    <cellStyle name="40% - akcent 6 2 5" xfId="27595"/>
    <cellStyle name="40% - akcent 6 2 5 2" xfId="27596"/>
    <cellStyle name="40% - akcent 6 2 6" xfId="27597"/>
    <cellStyle name="40% - akcent 6 2 7" xfId="27598"/>
    <cellStyle name="40% - akcent 6 2 8" xfId="27599"/>
    <cellStyle name="40% - akcent 6 2 9" xfId="27600"/>
    <cellStyle name="40% - akcent 6 2_2011'05 Raport PGE_DO-CO2" xfId="27601"/>
    <cellStyle name="40% - akcent 6 3" xfId="27602"/>
    <cellStyle name="40% - akcent 6 3 10" xfId="27603"/>
    <cellStyle name="40% - akcent 6 3 10 2" xfId="27604"/>
    <cellStyle name="40% - akcent 6 3 10 2 2" xfId="27605"/>
    <cellStyle name="40% - akcent 6 3 10 2 2 2" xfId="27606"/>
    <cellStyle name="40% - akcent 6 3 10 2 3" xfId="27607"/>
    <cellStyle name="40% - akcent 6 3 10 3" xfId="27608"/>
    <cellStyle name="40% - akcent 6 3 10 3 2" xfId="27609"/>
    <cellStyle name="40% - akcent 6 3 10 3 2 2" xfId="27610"/>
    <cellStyle name="40% - akcent 6 3 10 3 3" xfId="27611"/>
    <cellStyle name="40% - akcent 6 3 10 4" xfId="27612"/>
    <cellStyle name="40% - akcent 6 3 10 4 2" xfId="27613"/>
    <cellStyle name="40% - akcent 6 3 10 4 2 2" xfId="27614"/>
    <cellStyle name="40% - akcent 6 3 10 4 3" xfId="27615"/>
    <cellStyle name="40% - akcent 6 3 10 5" xfId="27616"/>
    <cellStyle name="40% - akcent 6 3 10 5 2" xfId="27617"/>
    <cellStyle name="40% - akcent 6 3 10 6" xfId="27618"/>
    <cellStyle name="40% - akcent 6 3 2" xfId="27619"/>
    <cellStyle name="40% - akcent 6 3 2 2" xfId="27620"/>
    <cellStyle name="40% - akcent 6 3 2 2 10" xfId="27621"/>
    <cellStyle name="40% - akcent 6 3 2 2 2" xfId="27622"/>
    <cellStyle name="40% - akcent 6 3 2 2 2 2" xfId="27623"/>
    <cellStyle name="40% - akcent 6 3 2 2 2 2 2" xfId="27624"/>
    <cellStyle name="40% - akcent 6 3 2 2 2 2 2 2" xfId="27625"/>
    <cellStyle name="40% - akcent 6 3 2 2 2 2 2 2 2" xfId="27626"/>
    <cellStyle name="40% - akcent 6 3 2 2 2 2 2 2 2 2" xfId="27627"/>
    <cellStyle name="40% - akcent 6 3 2 2 2 2 2 2 3" xfId="27628"/>
    <cellStyle name="40% - akcent 6 3 2 2 2 2 2 3" xfId="27629"/>
    <cellStyle name="40% - akcent 6 3 2 2 2 2 2 3 2" xfId="27630"/>
    <cellStyle name="40% - akcent 6 3 2 2 2 2 2 3 2 2" xfId="27631"/>
    <cellStyle name="40% - akcent 6 3 2 2 2 2 2 3 3" xfId="27632"/>
    <cellStyle name="40% - akcent 6 3 2 2 2 2 2 4" xfId="27633"/>
    <cellStyle name="40% - akcent 6 3 2 2 2 2 2 4 2" xfId="27634"/>
    <cellStyle name="40% - akcent 6 3 2 2 2 2 2 4 2 2" xfId="27635"/>
    <cellStyle name="40% - akcent 6 3 2 2 2 2 2 4 3" xfId="27636"/>
    <cellStyle name="40% - akcent 6 3 2 2 2 2 2 5" xfId="27637"/>
    <cellStyle name="40% - akcent 6 3 2 2 2 2 2 5 2" xfId="27638"/>
    <cellStyle name="40% - akcent 6 3 2 2 2 2 2 6" xfId="27639"/>
    <cellStyle name="40% - akcent 6 3 2 2 2 2 3" xfId="27640"/>
    <cellStyle name="40% - akcent 6 3 2 2 2 2 3 2" xfId="27641"/>
    <cellStyle name="40% - akcent 6 3 2 2 2 2 3 2 2" xfId="27642"/>
    <cellStyle name="40% - akcent 6 3 2 2 2 2 3 3" xfId="27643"/>
    <cellStyle name="40% - akcent 6 3 2 2 2 2 4" xfId="27644"/>
    <cellStyle name="40% - akcent 6 3 2 2 2 2 4 2" xfId="27645"/>
    <cellStyle name="40% - akcent 6 3 2 2 2 2 4 2 2" xfId="27646"/>
    <cellStyle name="40% - akcent 6 3 2 2 2 2 4 3" xfId="27647"/>
    <cellStyle name="40% - akcent 6 3 2 2 2 2 5" xfId="27648"/>
    <cellStyle name="40% - akcent 6 3 2 2 2 2 5 2" xfId="27649"/>
    <cellStyle name="40% - akcent 6 3 2 2 2 2 5 2 2" xfId="27650"/>
    <cellStyle name="40% - akcent 6 3 2 2 2 2 5 3" xfId="27651"/>
    <cellStyle name="40% - akcent 6 3 2 2 2 2 6" xfId="27652"/>
    <cellStyle name="40% - akcent 6 3 2 2 2 2 6 2" xfId="27653"/>
    <cellStyle name="40% - akcent 6 3 2 2 2 2 7" xfId="27654"/>
    <cellStyle name="40% - akcent 6 3 2 2 2 3" xfId="27655"/>
    <cellStyle name="40% - akcent 6 3 2 2 2 3 2" xfId="27656"/>
    <cellStyle name="40% - akcent 6 3 2 2 2 3 2 2" xfId="27657"/>
    <cellStyle name="40% - akcent 6 3 2 2 2 3 2 2 2" xfId="27658"/>
    <cellStyle name="40% - akcent 6 3 2 2 2 3 2 3" xfId="27659"/>
    <cellStyle name="40% - akcent 6 3 2 2 2 3 3" xfId="27660"/>
    <cellStyle name="40% - akcent 6 3 2 2 2 3 3 2" xfId="27661"/>
    <cellStyle name="40% - akcent 6 3 2 2 2 3 3 2 2" xfId="27662"/>
    <cellStyle name="40% - akcent 6 3 2 2 2 3 3 3" xfId="27663"/>
    <cellStyle name="40% - akcent 6 3 2 2 2 3 4" xfId="27664"/>
    <cellStyle name="40% - akcent 6 3 2 2 2 3 4 2" xfId="27665"/>
    <cellStyle name="40% - akcent 6 3 2 2 2 3 4 2 2" xfId="27666"/>
    <cellStyle name="40% - akcent 6 3 2 2 2 3 4 3" xfId="27667"/>
    <cellStyle name="40% - akcent 6 3 2 2 2 3 5" xfId="27668"/>
    <cellStyle name="40% - akcent 6 3 2 2 2 3 5 2" xfId="27669"/>
    <cellStyle name="40% - akcent 6 3 2 2 2 3 6" xfId="27670"/>
    <cellStyle name="40% - akcent 6 3 2 2 2 4" xfId="27671"/>
    <cellStyle name="40% - akcent 6 3 2 2 2 4 2" xfId="27672"/>
    <cellStyle name="40% - akcent 6 3 2 2 2 4 2 2" xfId="27673"/>
    <cellStyle name="40% - akcent 6 3 2 2 2 4 2 2 2" xfId="27674"/>
    <cellStyle name="40% - akcent 6 3 2 2 2 4 2 3" xfId="27675"/>
    <cellStyle name="40% - akcent 6 3 2 2 2 4 3" xfId="27676"/>
    <cellStyle name="40% - akcent 6 3 2 2 2 4 3 2" xfId="27677"/>
    <cellStyle name="40% - akcent 6 3 2 2 2 4 3 2 2" xfId="27678"/>
    <cellStyle name="40% - akcent 6 3 2 2 2 4 3 3" xfId="27679"/>
    <cellStyle name="40% - akcent 6 3 2 2 2 4 4" xfId="27680"/>
    <cellStyle name="40% - akcent 6 3 2 2 2 4 4 2" xfId="27681"/>
    <cellStyle name="40% - akcent 6 3 2 2 2 4 4 2 2" xfId="27682"/>
    <cellStyle name="40% - akcent 6 3 2 2 2 4 4 3" xfId="27683"/>
    <cellStyle name="40% - akcent 6 3 2 2 2 4 5" xfId="27684"/>
    <cellStyle name="40% - akcent 6 3 2 2 2 4 5 2" xfId="27685"/>
    <cellStyle name="40% - akcent 6 3 2 2 2 4 6" xfId="27686"/>
    <cellStyle name="40% - akcent 6 3 2 2 2 5" xfId="27687"/>
    <cellStyle name="40% - akcent 6 3 2 2 2 5 2" xfId="27688"/>
    <cellStyle name="40% - akcent 6 3 2 2 2 5 2 2" xfId="27689"/>
    <cellStyle name="40% - akcent 6 3 2 2 2 5 3" xfId="27690"/>
    <cellStyle name="40% - akcent 6 3 2 2 2 6" xfId="27691"/>
    <cellStyle name="40% - akcent 6 3 2 2 2 6 2" xfId="27692"/>
    <cellStyle name="40% - akcent 6 3 2 2 2 6 2 2" xfId="27693"/>
    <cellStyle name="40% - akcent 6 3 2 2 2 6 3" xfId="27694"/>
    <cellStyle name="40% - akcent 6 3 2 2 2 7" xfId="27695"/>
    <cellStyle name="40% - akcent 6 3 2 2 2 7 2" xfId="27696"/>
    <cellStyle name="40% - akcent 6 3 2 2 2 7 2 2" xfId="27697"/>
    <cellStyle name="40% - akcent 6 3 2 2 2 7 3" xfId="27698"/>
    <cellStyle name="40% - akcent 6 3 2 2 2 8" xfId="27699"/>
    <cellStyle name="40% - akcent 6 3 2 2 2 8 2" xfId="27700"/>
    <cellStyle name="40% - akcent 6 3 2 2 2 9" xfId="27701"/>
    <cellStyle name="40% - akcent 6 3 2 2 3" xfId="27702"/>
    <cellStyle name="40% - akcent 6 3 2 2 3 2" xfId="27703"/>
    <cellStyle name="40% - akcent 6 3 2 2 3 2 2" xfId="27704"/>
    <cellStyle name="40% - akcent 6 3 2 2 3 2 2 2" xfId="27705"/>
    <cellStyle name="40% - akcent 6 3 2 2 3 2 2 2 2" xfId="27706"/>
    <cellStyle name="40% - akcent 6 3 2 2 3 2 2 3" xfId="27707"/>
    <cellStyle name="40% - akcent 6 3 2 2 3 2 3" xfId="27708"/>
    <cellStyle name="40% - akcent 6 3 2 2 3 2 3 2" xfId="27709"/>
    <cellStyle name="40% - akcent 6 3 2 2 3 2 3 2 2" xfId="27710"/>
    <cellStyle name="40% - akcent 6 3 2 2 3 2 3 3" xfId="27711"/>
    <cellStyle name="40% - akcent 6 3 2 2 3 2 4" xfId="27712"/>
    <cellStyle name="40% - akcent 6 3 2 2 3 2 4 2" xfId="27713"/>
    <cellStyle name="40% - akcent 6 3 2 2 3 2 4 2 2" xfId="27714"/>
    <cellStyle name="40% - akcent 6 3 2 2 3 2 4 3" xfId="27715"/>
    <cellStyle name="40% - akcent 6 3 2 2 3 2 5" xfId="27716"/>
    <cellStyle name="40% - akcent 6 3 2 2 3 2 5 2" xfId="27717"/>
    <cellStyle name="40% - akcent 6 3 2 2 3 2 6" xfId="27718"/>
    <cellStyle name="40% - akcent 6 3 2 2 3 3" xfId="27719"/>
    <cellStyle name="40% - akcent 6 3 2 2 3 3 2" xfId="27720"/>
    <cellStyle name="40% - akcent 6 3 2 2 3 3 2 2" xfId="27721"/>
    <cellStyle name="40% - akcent 6 3 2 2 3 3 3" xfId="27722"/>
    <cellStyle name="40% - akcent 6 3 2 2 3 4" xfId="27723"/>
    <cellStyle name="40% - akcent 6 3 2 2 3 4 2" xfId="27724"/>
    <cellStyle name="40% - akcent 6 3 2 2 3 4 2 2" xfId="27725"/>
    <cellStyle name="40% - akcent 6 3 2 2 3 4 3" xfId="27726"/>
    <cellStyle name="40% - akcent 6 3 2 2 3 5" xfId="27727"/>
    <cellStyle name="40% - akcent 6 3 2 2 3 5 2" xfId="27728"/>
    <cellStyle name="40% - akcent 6 3 2 2 3 5 2 2" xfId="27729"/>
    <cellStyle name="40% - akcent 6 3 2 2 3 5 3" xfId="27730"/>
    <cellStyle name="40% - akcent 6 3 2 2 3 6" xfId="27731"/>
    <cellStyle name="40% - akcent 6 3 2 2 3 6 2" xfId="27732"/>
    <cellStyle name="40% - akcent 6 3 2 2 3 7" xfId="27733"/>
    <cellStyle name="40% - akcent 6 3 2 2 4" xfId="27734"/>
    <cellStyle name="40% - akcent 6 3 2 2 4 2" xfId="27735"/>
    <cellStyle name="40% - akcent 6 3 2 2 4 2 2" xfId="27736"/>
    <cellStyle name="40% - akcent 6 3 2 2 4 2 2 2" xfId="27737"/>
    <cellStyle name="40% - akcent 6 3 2 2 4 2 3" xfId="27738"/>
    <cellStyle name="40% - akcent 6 3 2 2 4 3" xfId="27739"/>
    <cellStyle name="40% - akcent 6 3 2 2 4 3 2" xfId="27740"/>
    <cellStyle name="40% - akcent 6 3 2 2 4 3 2 2" xfId="27741"/>
    <cellStyle name="40% - akcent 6 3 2 2 4 3 3" xfId="27742"/>
    <cellStyle name="40% - akcent 6 3 2 2 4 4" xfId="27743"/>
    <cellStyle name="40% - akcent 6 3 2 2 4 4 2" xfId="27744"/>
    <cellStyle name="40% - akcent 6 3 2 2 4 4 2 2" xfId="27745"/>
    <cellStyle name="40% - akcent 6 3 2 2 4 4 3" xfId="27746"/>
    <cellStyle name="40% - akcent 6 3 2 2 4 5" xfId="27747"/>
    <cellStyle name="40% - akcent 6 3 2 2 4 5 2" xfId="27748"/>
    <cellStyle name="40% - akcent 6 3 2 2 4 6" xfId="27749"/>
    <cellStyle name="40% - akcent 6 3 2 2 5" xfId="27750"/>
    <cellStyle name="40% - akcent 6 3 2 2 5 2" xfId="27751"/>
    <cellStyle name="40% - akcent 6 3 2 2 5 2 2" xfId="27752"/>
    <cellStyle name="40% - akcent 6 3 2 2 5 2 2 2" xfId="27753"/>
    <cellStyle name="40% - akcent 6 3 2 2 5 2 3" xfId="27754"/>
    <cellStyle name="40% - akcent 6 3 2 2 5 3" xfId="27755"/>
    <cellStyle name="40% - akcent 6 3 2 2 5 3 2" xfId="27756"/>
    <cellStyle name="40% - akcent 6 3 2 2 5 3 2 2" xfId="27757"/>
    <cellStyle name="40% - akcent 6 3 2 2 5 3 3" xfId="27758"/>
    <cellStyle name="40% - akcent 6 3 2 2 5 4" xfId="27759"/>
    <cellStyle name="40% - akcent 6 3 2 2 5 4 2" xfId="27760"/>
    <cellStyle name="40% - akcent 6 3 2 2 5 4 2 2" xfId="27761"/>
    <cellStyle name="40% - akcent 6 3 2 2 5 4 3" xfId="27762"/>
    <cellStyle name="40% - akcent 6 3 2 2 5 5" xfId="27763"/>
    <cellStyle name="40% - akcent 6 3 2 2 5 5 2" xfId="27764"/>
    <cellStyle name="40% - akcent 6 3 2 2 5 6" xfId="27765"/>
    <cellStyle name="40% - akcent 6 3 2 2 6" xfId="27766"/>
    <cellStyle name="40% - akcent 6 3 2 2 6 2" xfId="27767"/>
    <cellStyle name="40% - akcent 6 3 2 2 6 2 2" xfId="27768"/>
    <cellStyle name="40% - akcent 6 3 2 2 6 3" xfId="27769"/>
    <cellStyle name="40% - akcent 6 3 2 2 7" xfId="27770"/>
    <cellStyle name="40% - akcent 6 3 2 2 7 2" xfId="27771"/>
    <cellStyle name="40% - akcent 6 3 2 2 7 2 2" xfId="27772"/>
    <cellStyle name="40% - akcent 6 3 2 2 7 3" xfId="27773"/>
    <cellStyle name="40% - akcent 6 3 2 2 8" xfId="27774"/>
    <cellStyle name="40% - akcent 6 3 2 2 8 2" xfId="27775"/>
    <cellStyle name="40% - akcent 6 3 2 2 8 2 2" xfId="27776"/>
    <cellStyle name="40% - akcent 6 3 2 2 8 3" xfId="27777"/>
    <cellStyle name="40% - akcent 6 3 2 2 9" xfId="27778"/>
    <cellStyle name="40% - akcent 6 3 2 2 9 2" xfId="27779"/>
    <cellStyle name="40% - akcent 6 3 2 3" xfId="27780"/>
    <cellStyle name="40% - akcent 6 3 2 3 2" xfId="27781"/>
    <cellStyle name="40% - akcent 6 3 2 3 2 2" xfId="27782"/>
    <cellStyle name="40% - akcent 6 3 2 3 2 2 2" xfId="27783"/>
    <cellStyle name="40% - akcent 6 3 2 3 2 2 2 2" xfId="27784"/>
    <cellStyle name="40% - akcent 6 3 2 3 2 2 2 2 2" xfId="27785"/>
    <cellStyle name="40% - akcent 6 3 2 3 2 2 2 3" xfId="27786"/>
    <cellStyle name="40% - akcent 6 3 2 3 2 2 3" xfId="27787"/>
    <cellStyle name="40% - akcent 6 3 2 3 2 2 3 2" xfId="27788"/>
    <cellStyle name="40% - akcent 6 3 2 3 2 2 3 2 2" xfId="27789"/>
    <cellStyle name="40% - akcent 6 3 2 3 2 2 3 3" xfId="27790"/>
    <cellStyle name="40% - akcent 6 3 2 3 2 2 4" xfId="27791"/>
    <cellStyle name="40% - akcent 6 3 2 3 2 2 4 2" xfId="27792"/>
    <cellStyle name="40% - akcent 6 3 2 3 2 2 4 2 2" xfId="27793"/>
    <cellStyle name="40% - akcent 6 3 2 3 2 2 4 3" xfId="27794"/>
    <cellStyle name="40% - akcent 6 3 2 3 2 2 5" xfId="27795"/>
    <cellStyle name="40% - akcent 6 3 2 3 2 2 5 2" xfId="27796"/>
    <cellStyle name="40% - akcent 6 3 2 3 2 2 6" xfId="27797"/>
    <cellStyle name="40% - akcent 6 3 2 3 2 3" xfId="27798"/>
    <cellStyle name="40% - akcent 6 3 2 3 2 3 2" xfId="27799"/>
    <cellStyle name="40% - akcent 6 3 2 3 2 3 2 2" xfId="27800"/>
    <cellStyle name="40% - akcent 6 3 2 3 2 3 3" xfId="27801"/>
    <cellStyle name="40% - akcent 6 3 2 3 2 4" xfId="27802"/>
    <cellStyle name="40% - akcent 6 3 2 3 2 4 2" xfId="27803"/>
    <cellStyle name="40% - akcent 6 3 2 3 2 4 2 2" xfId="27804"/>
    <cellStyle name="40% - akcent 6 3 2 3 2 4 3" xfId="27805"/>
    <cellStyle name="40% - akcent 6 3 2 3 2 5" xfId="27806"/>
    <cellStyle name="40% - akcent 6 3 2 3 2 5 2" xfId="27807"/>
    <cellStyle name="40% - akcent 6 3 2 3 2 5 2 2" xfId="27808"/>
    <cellStyle name="40% - akcent 6 3 2 3 2 5 3" xfId="27809"/>
    <cellStyle name="40% - akcent 6 3 2 3 2 6" xfId="27810"/>
    <cellStyle name="40% - akcent 6 3 2 3 2 6 2" xfId="27811"/>
    <cellStyle name="40% - akcent 6 3 2 3 2 7" xfId="27812"/>
    <cellStyle name="40% - akcent 6 3 2 3 3" xfId="27813"/>
    <cellStyle name="40% - akcent 6 3 2 3 3 2" xfId="27814"/>
    <cellStyle name="40% - akcent 6 3 2 3 3 2 2" xfId="27815"/>
    <cellStyle name="40% - akcent 6 3 2 3 3 2 2 2" xfId="27816"/>
    <cellStyle name="40% - akcent 6 3 2 3 3 2 3" xfId="27817"/>
    <cellStyle name="40% - akcent 6 3 2 3 3 3" xfId="27818"/>
    <cellStyle name="40% - akcent 6 3 2 3 3 3 2" xfId="27819"/>
    <cellStyle name="40% - akcent 6 3 2 3 3 3 2 2" xfId="27820"/>
    <cellStyle name="40% - akcent 6 3 2 3 3 3 3" xfId="27821"/>
    <cellStyle name="40% - akcent 6 3 2 3 3 4" xfId="27822"/>
    <cellStyle name="40% - akcent 6 3 2 3 3 4 2" xfId="27823"/>
    <cellStyle name="40% - akcent 6 3 2 3 3 4 2 2" xfId="27824"/>
    <cellStyle name="40% - akcent 6 3 2 3 3 4 3" xfId="27825"/>
    <cellStyle name="40% - akcent 6 3 2 3 3 5" xfId="27826"/>
    <cellStyle name="40% - akcent 6 3 2 3 3 5 2" xfId="27827"/>
    <cellStyle name="40% - akcent 6 3 2 3 3 6" xfId="27828"/>
    <cellStyle name="40% - akcent 6 3 2 3 4" xfId="27829"/>
    <cellStyle name="40% - akcent 6 3 2 3 4 2" xfId="27830"/>
    <cellStyle name="40% - akcent 6 3 2 3 4 2 2" xfId="27831"/>
    <cellStyle name="40% - akcent 6 3 2 3 4 2 2 2" xfId="27832"/>
    <cellStyle name="40% - akcent 6 3 2 3 4 2 3" xfId="27833"/>
    <cellStyle name="40% - akcent 6 3 2 3 4 3" xfId="27834"/>
    <cellStyle name="40% - akcent 6 3 2 3 4 3 2" xfId="27835"/>
    <cellStyle name="40% - akcent 6 3 2 3 4 3 2 2" xfId="27836"/>
    <cellStyle name="40% - akcent 6 3 2 3 4 3 3" xfId="27837"/>
    <cellStyle name="40% - akcent 6 3 2 3 4 4" xfId="27838"/>
    <cellStyle name="40% - akcent 6 3 2 3 4 4 2" xfId="27839"/>
    <cellStyle name="40% - akcent 6 3 2 3 4 4 2 2" xfId="27840"/>
    <cellStyle name="40% - akcent 6 3 2 3 4 4 3" xfId="27841"/>
    <cellStyle name="40% - akcent 6 3 2 3 4 5" xfId="27842"/>
    <cellStyle name="40% - akcent 6 3 2 3 4 5 2" xfId="27843"/>
    <cellStyle name="40% - akcent 6 3 2 3 4 6" xfId="27844"/>
    <cellStyle name="40% - akcent 6 3 2 3 5" xfId="27845"/>
    <cellStyle name="40% - akcent 6 3 2 3 5 2" xfId="27846"/>
    <cellStyle name="40% - akcent 6 3 2 3 5 2 2" xfId="27847"/>
    <cellStyle name="40% - akcent 6 3 2 3 5 3" xfId="27848"/>
    <cellStyle name="40% - akcent 6 3 2 3 6" xfId="27849"/>
    <cellStyle name="40% - akcent 6 3 2 3 6 2" xfId="27850"/>
    <cellStyle name="40% - akcent 6 3 2 3 6 2 2" xfId="27851"/>
    <cellStyle name="40% - akcent 6 3 2 3 6 3" xfId="27852"/>
    <cellStyle name="40% - akcent 6 3 2 3 7" xfId="27853"/>
    <cellStyle name="40% - akcent 6 3 2 3 7 2" xfId="27854"/>
    <cellStyle name="40% - akcent 6 3 2 3 7 2 2" xfId="27855"/>
    <cellStyle name="40% - akcent 6 3 2 3 7 3" xfId="27856"/>
    <cellStyle name="40% - akcent 6 3 2 3 8" xfId="27857"/>
    <cellStyle name="40% - akcent 6 3 2 3 8 2" xfId="27858"/>
    <cellStyle name="40% - akcent 6 3 2 3 9" xfId="27859"/>
    <cellStyle name="40% - akcent 6 3 2 4" xfId="27860"/>
    <cellStyle name="40% - akcent 6 3 2 4 2" xfId="27861"/>
    <cellStyle name="40% - akcent 6 3 2 4 2 2" xfId="27862"/>
    <cellStyle name="40% - akcent 6 3 2 4 2 2 2" xfId="27863"/>
    <cellStyle name="40% - akcent 6 3 2 4 2 2 2 2" xfId="27864"/>
    <cellStyle name="40% - akcent 6 3 2 4 2 2 3" xfId="27865"/>
    <cellStyle name="40% - akcent 6 3 2 4 2 3" xfId="27866"/>
    <cellStyle name="40% - akcent 6 3 2 4 2 3 2" xfId="27867"/>
    <cellStyle name="40% - akcent 6 3 2 4 2 3 2 2" xfId="27868"/>
    <cellStyle name="40% - akcent 6 3 2 4 2 3 3" xfId="27869"/>
    <cellStyle name="40% - akcent 6 3 2 4 2 4" xfId="27870"/>
    <cellStyle name="40% - akcent 6 3 2 4 2 4 2" xfId="27871"/>
    <cellStyle name="40% - akcent 6 3 2 4 2 4 2 2" xfId="27872"/>
    <cellStyle name="40% - akcent 6 3 2 4 2 4 3" xfId="27873"/>
    <cellStyle name="40% - akcent 6 3 2 4 2 5" xfId="27874"/>
    <cellStyle name="40% - akcent 6 3 2 4 2 5 2" xfId="27875"/>
    <cellStyle name="40% - akcent 6 3 2 4 2 6" xfId="27876"/>
    <cellStyle name="40% - akcent 6 3 2 4 3" xfId="27877"/>
    <cellStyle name="40% - akcent 6 3 2 4 3 2" xfId="27878"/>
    <cellStyle name="40% - akcent 6 3 2 4 3 2 2" xfId="27879"/>
    <cellStyle name="40% - akcent 6 3 2 4 3 3" xfId="27880"/>
    <cellStyle name="40% - akcent 6 3 2 4 4" xfId="27881"/>
    <cellStyle name="40% - akcent 6 3 2 4 4 2" xfId="27882"/>
    <cellStyle name="40% - akcent 6 3 2 4 4 2 2" xfId="27883"/>
    <cellStyle name="40% - akcent 6 3 2 4 4 3" xfId="27884"/>
    <cellStyle name="40% - akcent 6 3 2 4 5" xfId="27885"/>
    <cellStyle name="40% - akcent 6 3 2 4 5 2" xfId="27886"/>
    <cellStyle name="40% - akcent 6 3 2 4 5 2 2" xfId="27887"/>
    <cellStyle name="40% - akcent 6 3 2 4 5 3" xfId="27888"/>
    <cellStyle name="40% - akcent 6 3 2 4 6" xfId="27889"/>
    <cellStyle name="40% - akcent 6 3 2 4 6 2" xfId="27890"/>
    <cellStyle name="40% - akcent 6 3 2 4 7" xfId="27891"/>
    <cellStyle name="40% - akcent 6 3 2 5" xfId="27892"/>
    <cellStyle name="40% - akcent 6 3 2 5 2" xfId="27893"/>
    <cellStyle name="40% - akcent 6 3 2 5 2 2" xfId="27894"/>
    <cellStyle name="40% - akcent 6 3 2 5 2 2 2" xfId="27895"/>
    <cellStyle name="40% - akcent 6 3 2 5 2 3" xfId="27896"/>
    <cellStyle name="40% - akcent 6 3 2 5 3" xfId="27897"/>
    <cellStyle name="40% - akcent 6 3 2 5 3 2" xfId="27898"/>
    <cellStyle name="40% - akcent 6 3 2 5 3 2 2" xfId="27899"/>
    <cellStyle name="40% - akcent 6 3 2 5 3 3" xfId="27900"/>
    <cellStyle name="40% - akcent 6 3 2 5 4" xfId="27901"/>
    <cellStyle name="40% - akcent 6 3 2 5 4 2" xfId="27902"/>
    <cellStyle name="40% - akcent 6 3 2 5 4 2 2" xfId="27903"/>
    <cellStyle name="40% - akcent 6 3 2 5 4 3" xfId="27904"/>
    <cellStyle name="40% - akcent 6 3 2 5 5" xfId="27905"/>
    <cellStyle name="40% - akcent 6 3 2 5 5 2" xfId="27906"/>
    <cellStyle name="40% - akcent 6 3 2 5 6" xfId="27907"/>
    <cellStyle name="40% - akcent 6 3 2 6" xfId="27908"/>
    <cellStyle name="40% - akcent 6 3 2 6 2" xfId="27909"/>
    <cellStyle name="40% - akcent 6 3 2 6 2 2" xfId="27910"/>
    <cellStyle name="40% - akcent 6 3 2 6 2 2 2" xfId="27911"/>
    <cellStyle name="40% - akcent 6 3 2 6 2 3" xfId="27912"/>
    <cellStyle name="40% - akcent 6 3 2 6 3" xfId="27913"/>
    <cellStyle name="40% - akcent 6 3 2 6 3 2" xfId="27914"/>
    <cellStyle name="40% - akcent 6 3 2 6 3 2 2" xfId="27915"/>
    <cellStyle name="40% - akcent 6 3 2 6 3 3" xfId="27916"/>
    <cellStyle name="40% - akcent 6 3 2 6 4" xfId="27917"/>
    <cellStyle name="40% - akcent 6 3 2 6 4 2" xfId="27918"/>
    <cellStyle name="40% - akcent 6 3 2 6 4 2 2" xfId="27919"/>
    <cellStyle name="40% - akcent 6 3 2 6 4 3" xfId="27920"/>
    <cellStyle name="40% - akcent 6 3 2 6 5" xfId="27921"/>
    <cellStyle name="40% - akcent 6 3 2 6 5 2" xfId="27922"/>
    <cellStyle name="40% - akcent 6 3 2 6 6" xfId="27923"/>
    <cellStyle name="40% - akcent 6 3 2 7" xfId="27924"/>
    <cellStyle name="40% - akcent 6 3 2 8" xfId="27925"/>
    <cellStyle name="40% - akcent 6 3 2 8 2" xfId="27926"/>
    <cellStyle name="40% - akcent 6 3 2 8 2 2" xfId="27927"/>
    <cellStyle name="40% - akcent 6 3 2 8 2 2 2" xfId="27928"/>
    <cellStyle name="40% - akcent 6 3 2 8 2 3" xfId="27929"/>
    <cellStyle name="40% - akcent 6 3 2 8 3" xfId="27930"/>
    <cellStyle name="40% - akcent 6 3 2 8 3 2" xfId="27931"/>
    <cellStyle name="40% - akcent 6 3 2 8 3 2 2" xfId="27932"/>
    <cellStyle name="40% - akcent 6 3 2 8 3 3" xfId="27933"/>
    <cellStyle name="40% - akcent 6 3 2 8 4" xfId="27934"/>
    <cellStyle name="40% - akcent 6 3 2 8 4 2" xfId="27935"/>
    <cellStyle name="40% - akcent 6 3 2 8 4 2 2" xfId="27936"/>
    <cellStyle name="40% - akcent 6 3 2 8 4 3" xfId="27937"/>
    <cellStyle name="40% - akcent 6 3 2 8 5" xfId="27938"/>
    <cellStyle name="40% - akcent 6 3 2 8 5 2" xfId="27939"/>
    <cellStyle name="40% - akcent 6 3 2 8 6" xfId="27940"/>
    <cellStyle name="40% - akcent 6 3 3" xfId="27941"/>
    <cellStyle name="40% - akcent 6 3 3 2" xfId="27942"/>
    <cellStyle name="40% - akcent 6 3 3 2 2" xfId="27943"/>
    <cellStyle name="40% - akcent 6 3 3 2 2 2" xfId="27944"/>
    <cellStyle name="40% - akcent 6 3 3 2 2 2 2" xfId="27945"/>
    <cellStyle name="40% - akcent 6 3 3 2 2 2 2 2" xfId="27946"/>
    <cellStyle name="40% - akcent 6 3 3 2 2 2 2 2 2" xfId="27947"/>
    <cellStyle name="40% - akcent 6 3 3 2 2 2 2 3" xfId="27948"/>
    <cellStyle name="40% - akcent 6 3 3 2 2 2 3" xfId="27949"/>
    <cellStyle name="40% - akcent 6 3 3 2 2 2 3 2" xfId="27950"/>
    <cellStyle name="40% - akcent 6 3 3 2 2 2 3 2 2" xfId="27951"/>
    <cellStyle name="40% - akcent 6 3 3 2 2 2 3 3" xfId="27952"/>
    <cellStyle name="40% - akcent 6 3 3 2 2 2 4" xfId="27953"/>
    <cellStyle name="40% - akcent 6 3 3 2 2 2 4 2" xfId="27954"/>
    <cellStyle name="40% - akcent 6 3 3 2 2 2 4 2 2" xfId="27955"/>
    <cellStyle name="40% - akcent 6 3 3 2 2 2 4 3" xfId="27956"/>
    <cellStyle name="40% - akcent 6 3 3 2 2 2 5" xfId="27957"/>
    <cellStyle name="40% - akcent 6 3 3 2 2 2 5 2" xfId="27958"/>
    <cellStyle name="40% - akcent 6 3 3 2 2 2 6" xfId="27959"/>
    <cellStyle name="40% - akcent 6 3 3 2 2 3" xfId="27960"/>
    <cellStyle name="40% - akcent 6 3 3 2 2 3 2" xfId="27961"/>
    <cellStyle name="40% - akcent 6 3 3 2 2 3 2 2" xfId="27962"/>
    <cellStyle name="40% - akcent 6 3 3 2 2 3 3" xfId="27963"/>
    <cellStyle name="40% - akcent 6 3 3 2 2 4" xfId="27964"/>
    <cellStyle name="40% - akcent 6 3 3 2 2 4 2" xfId="27965"/>
    <cellStyle name="40% - akcent 6 3 3 2 2 4 2 2" xfId="27966"/>
    <cellStyle name="40% - akcent 6 3 3 2 2 4 3" xfId="27967"/>
    <cellStyle name="40% - akcent 6 3 3 2 2 5" xfId="27968"/>
    <cellStyle name="40% - akcent 6 3 3 2 2 5 2" xfId="27969"/>
    <cellStyle name="40% - akcent 6 3 3 2 2 5 2 2" xfId="27970"/>
    <cellStyle name="40% - akcent 6 3 3 2 2 5 3" xfId="27971"/>
    <cellStyle name="40% - akcent 6 3 3 2 2 6" xfId="27972"/>
    <cellStyle name="40% - akcent 6 3 3 2 2 6 2" xfId="27973"/>
    <cellStyle name="40% - akcent 6 3 3 2 2 7" xfId="27974"/>
    <cellStyle name="40% - akcent 6 3 3 2 3" xfId="27975"/>
    <cellStyle name="40% - akcent 6 3 3 2 3 2" xfId="27976"/>
    <cellStyle name="40% - akcent 6 3 3 2 3 2 2" xfId="27977"/>
    <cellStyle name="40% - akcent 6 3 3 2 3 2 2 2" xfId="27978"/>
    <cellStyle name="40% - akcent 6 3 3 2 3 2 3" xfId="27979"/>
    <cellStyle name="40% - akcent 6 3 3 2 3 3" xfId="27980"/>
    <cellStyle name="40% - akcent 6 3 3 2 3 3 2" xfId="27981"/>
    <cellStyle name="40% - akcent 6 3 3 2 3 3 2 2" xfId="27982"/>
    <cellStyle name="40% - akcent 6 3 3 2 3 3 3" xfId="27983"/>
    <cellStyle name="40% - akcent 6 3 3 2 3 4" xfId="27984"/>
    <cellStyle name="40% - akcent 6 3 3 2 3 4 2" xfId="27985"/>
    <cellStyle name="40% - akcent 6 3 3 2 3 4 2 2" xfId="27986"/>
    <cellStyle name="40% - akcent 6 3 3 2 3 4 3" xfId="27987"/>
    <cellStyle name="40% - akcent 6 3 3 2 3 5" xfId="27988"/>
    <cellStyle name="40% - akcent 6 3 3 2 3 5 2" xfId="27989"/>
    <cellStyle name="40% - akcent 6 3 3 2 3 6" xfId="27990"/>
    <cellStyle name="40% - akcent 6 3 3 2 4" xfId="27991"/>
    <cellStyle name="40% - akcent 6 3 3 2 4 2" xfId="27992"/>
    <cellStyle name="40% - akcent 6 3 3 2 4 2 2" xfId="27993"/>
    <cellStyle name="40% - akcent 6 3 3 2 4 2 2 2" xfId="27994"/>
    <cellStyle name="40% - akcent 6 3 3 2 4 2 3" xfId="27995"/>
    <cellStyle name="40% - akcent 6 3 3 2 4 3" xfId="27996"/>
    <cellStyle name="40% - akcent 6 3 3 2 4 3 2" xfId="27997"/>
    <cellStyle name="40% - akcent 6 3 3 2 4 3 2 2" xfId="27998"/>
    <cellStyle name="40% - akcent 6 3 3 2 4 3 3" xfId="27999"/>
    <cellStyle name="40% - akcent 6 3 3 2 4 4" xfId="28000"/>
    <cellStyle name="40% - akcent 6 3 3 2 4 4 2" xfId="28001"/>
    <cellStyle name="40% - akcent 6 3 3 2 4 4 2 2" xfId="28002"/>
    <cellStyle name="40% - akcent 6 3 3 2 4 4 3" xfId="28003"/>
    <cellStyle name="40% - akcent 6 3 3 2 4 5" xfId="28004"/>
    <cellStyle name="40% - akcent 6 3 3 2 4 5 2" xfId="28005"/>
    <cellStyle name="40% - akcent 6 3 3 2 4 6" xfId="28006"/>
    <cellStyle name="40% - akcent 6 3 3 2 5" xfId="28007"/>
    <cellStyle name="40% - akcent 6 3 3 2 5 2" xfId="28008"/>
    <cellStyle name="40% - akcent 6 3 3 2 5 2 2" xfId="28009"/>
    <cellStyle name="40% - akcent 6 3 3 2 5 3" xfId="28010"/>
    <cellStyle name="40% - akcent 6 3 3 2 6" xfId="28011"/>
    <cellStyle name="40% - akcent 6 3 3 2 6 2" xfId="28012"/>
    <cellStyle name="40% - akcent 6 3 3 2 6 2 2" xfId="28013"/>
    <cellStyle name="40% - akcent 6 3 3 2 6 3" xfId="28014"/>
    <cellStyle name="40% - akcent 6 3 3 2 7" xfId="28015"/>
    <cellStyle name="40% - akcent 6 3 3 2 7 2" xfId="28016"/>
    <cellStyle name="40% - akcent 6 3 3 2 7 2 2" xfId="28017"/>
    <cellStyle name="40% - akcent 6 3 3 2 7 3" xfId="28018"/>
    <cellStyle name="40% - akcent 6 3 3 2 8" xfId="28019"/>
    <cellStyle name="40% - akcent 6 3 3 2 8 2" xfId="28020"/>
    <cellStyle name="40% - akcent 6 3 3 2 9" xfId="28021"/>
    <cellStyle name="40% - akcent 6 3 3 3" xfId="28022"/>
    <cellStyle name="40% - akcent 6 3 3 3 2" xfId="28023"/>
    <cellStyle name="40% - akcent 6 3 3 3 2 2" xfId="28024"/>
    <cellStyle name="40% - akcent 6 3 3 3 2 2 2" xfId="28025"/>
    <cellStyle name="40% - akcent 6 3 3 3 2 2 2 2" xfId="28026"/>
    <cellStyle name="40% - akcent 6 3 3 3 2 2 3" xfId="28027"/>
    <cellStyle name="40% - akcent 6 3 3 3 2 3" xfId="28028"/>
    <cellStyle name="40% - akcent 6 3 3 3 2 3 2" xfId="28029"/>
    <cellStyle name="40% - akcent 6 3 3 3 2 3 2 2" xfId="28030"/>
    <cellStyle name="40% - akcent 6 3 3 3 2 3 3" xfId="28031"/>
    <cellStyle name="40% - akcent 6 3 3 3 2 4" xfId="28032"/>
    <cellStyle name="40% - akcent 6 3 3 3 2 4 2" xfId="28033"/>
    <cellStyle name="40% - akcent 6 3 3 3 2 4 2 2" xfId="28034"/>
    <cellStyle name="40% - akcent 6 3 3 3 2 4 3" xfId="28035"/>
    <cellStyle name="40% - akcent 6 3 3 3 2 5" xfId="28036"/>
    <cellStyle name="40% - akcent 6 3 3 3 2 5 2" xfId="28037"/>
    <cellStyle name="40% - akcent 6 3 3 3 2 6" xfId="28038"/>
    <cellStyle name="40% - akcent 6 3 3 3 3" xfId="28039"/>
    <cellStyle name="40% - akcent 6 3 3 3 3 2" xfId="28040"/>
    <cellStyle name="40% - akcent 6 3 3 3 3 2 2" xfId="28041"/>
    <cellStyle name="40% - akcent 6 3 3 3 3 3" xfId="28042"/>
    <cellStyle name="40% - akcent 6 3 3 3 4" xfId="28043"/>
    <cellStyle name="40% - akcent 6 3 3 3 4 2" xfId="28044"/>
    <cellStyle name="40% - akcent 6 3 3 3 4 2 2" xfId="28045"/>
    <cellStyle name="40% - akcent 6 3 3 3 4 3" xfId="28046"/>
    <cellStyle name="40% - akcent 6 3 3 3 5" xfId="28047"/>
    <cellStyle name="40% - akcent 6 3 3 3 5 2" xfId="28048"/>
    <cellStyle name="40% - akcent 6 3 3 3 5 2 2" xfId="28049"/>
    <cellStyle name="40% - akcent 6 3 3 3 5 3" xfId="28050"/>
    <cellStyle name="40% - akcent 6 3 3 3 6" xfId="28051"/>
    <cellStyle name="40% - akcent 6 3 3 3 6 2" xfId="28052"/>
    <cellStyle name="40% - akcent 6 3 3 3 7" xfId="28053"/>
    <cellStyle name="40% - akcent 6 3 3 4" xfId="28054"/>
    <cellStyle name="40% - akcent 6 3 3 4 2" xfId="28055"/>
    <cellStyle name="40% - akcent 6 3 3 4 2 2" xfId="28056"/>
    <cellStyle name="40% - akcent 6 3 3 4 2 2 2" xfId="28057"/>
    <cellStyle name="40% - akcent 6 3 3 4 2 3" xfId="28058"/>
    <cellStyle name="40% - akcent 6 3 3 4 3" xfId="28059"/>
    <cellStyle name="40% - akcent 6 3 3 4 3 2" xfId="28060"/>
    <cellStyle name="40% - akcent 6 3 3 4 3 2 2" xfId="28061"/>
    <cellStyle name="40% - akcent 6 3 3 4 3 3" xfId="28062"/>
    <cellStyle name="40% - akcent 6 3 3 4 4" xfId="28063"/>
    <cellStyle name="40% - akcent 6 3 3 4 4 2" xfId="28064"/>
    <cellStyle name="40% - akcent 6 3 3 4 4 2 2" xfId="28065"/>
    <cellStyle name="40% - akcent 6 3 3 4 4 3" xfId="28066"/>
    <cellStyle name="40% - akcent 6 3 3 4 5" xfId="28067"/>
    <cellStyle name="40% - akcent 6 3 3 4 5 2" xfId="28068"/>
    <cellStyle name="40% - akcent 6 3 3 4 6" xfId="28069"/>
    <cellStyle name="40% - akcent 6 3 3 5" xfId="28070"/>
    <cellStyle name="40% - akcent 6 3 3 5 2" xfId="28071"/>
    <cellStyle name="40% - akcent 6 3 3 5 2 2" xfId="28072"/>
    <cellStyle name="40% - akcent 6 3 3 5 2 2 2" xfId="28073"/>
    <cellStyle name="40% - akcent 6 3 3 5 2 3" xfId="28074"/>
    <cellStyle name="40% - akcent 6 3 3 5 3" xfId="28075"/>
    <cellStyle name="40% - akcent 6 3 3 5 3 2" xfId="28076"/>
    <cellStyle name="40% - akcent 6 3 3 5 3 2 2" xfId="28077"/>
    <cellStyle name="40% - akcent 6 3 3 5 3 3" xfId="28078"/>
    <cellStyle name="40% - akcent 6 3 3 5 4" xfId="28079"/>
    <cellStyle name="40% - akcent 6 3 3 5 4 2" xfId="28080"/>
    <cellStyle name="40% - akcent 6 3 3 5 4 2 2" xfId="28081"/>
    <cellStyle name="40% - akcent 6 3 3 5 4 3" xfId="28082"/>
    <cellStyle name="40% - akcent 6 3 3 5 5" xfId="28083"/>
    <cellStyle name="40% - akcent 6 3 3 5 5 2" xfId="28084"/>
    <cellStyle name="40% - akcent 6 3 3 5 6" xfId="28085"/>
    <cellStyle name="40% - akcent 6 3 3 6" xfId="28086"/>
    <cellStyle name="40% - akcent 6 3 3 6 2" xfId="28087"/>
    <cellStyle name="40% - akcent 6 3 3 6 2 2" xfId="28088"/>
    <cellStyle name="40% - akcent 6 3 3 6 2 2 2" xfId="28089"/>
    <cellStyle name="40% - akcent 6 3 3 6 2 3" xfId="28090"/>
    <cellStyle name="40% - akcent 6 3 3 6 3" xfId="28091"/>
    <cellStyle name="40% - akcent 6 3 3 6 3 2" xfId="28092"/>
    <cellStyle name="40% - akcent 6 3 3 6 3 2 2" xfId="28093"/>
    <cellStyle name="40% - akcent 6 3 3 6 3 3" xfId="28094"/>
    <cellStyle name="40% - akcent 6 3 3 6 4" xfId="28095"/>
    <cellStyle name="40% - akcent 6 3 3 6 4 2" xfId="28096"/>
    <cellStyle name="40% - akcent 6 3 3 6 4 2 2" xfId="28097"/>
    <cellStyle name="40% - akcent 6 3 3 6 4 3" xfId="28098"/>
    <cellStyle name="40% - akcent 6 3 3 6 5" xfId="28099"/>
    <cellStyle name="40% - akcent 6 3 3 6 5 2" xfId="28100"/>
    <cellStyle name="40% - akcent 6 3 3 6 6" xfId="28101"/>
    <cellStyle name="40% - akcent 6 3 4" xfId="28102"/>
    <cellStyle name="40% - akcent 6 3 4 10" xfId="28103"/>
    <cellStyle name="40% - akcent 6 3 4 2" xfId="28104"/>
    <cellStyle name="40% - akcent 6 3 4 2 2" xfId="28105"/>
    <cellStyle name="40% - akcent 6 3 4 2 2 2" xfId="28106"/>
    <cellStyle name="40% - akcent 6 3 4 2 2 2 2" xfId="28107"/>
    <cellStyle name="40% - akcent 6 3 4 2 2 2 2 2" xfId="28108"/>
    <cellStyle name="40% - akcent 6 3 4 2 2 2 2 2 2" xfId="28109"/>
    <cellStyle name="40% - akcent 6 3 4 2 2 2 2 3" xfId="28110"/>
    <cellStyle name="40% - akcent 6 3 4 2 2 2 3" xfId="28111"/>
    <cellStyle name="40% - akcent 6 3 4 2 2 2 3 2" xfId="28112"/>
    <cellStyle name="40% - akcent 6 3 4 2 2 2 3 2 2" xfId="28113"/>
    <cellStyle name="40% - akcent 6 3 4 2 2 2 3 3" xfId="28114"/>
    <cellStyle name="40% - akcent 6 3 4 2 2 2 4" xfId="28115"/>
    <cellStyle name="40% - akcent 6 3 4 2 2 2 4 2" xfId="28116"/>
    <cellStyle name="40% - akcent 6 3 4 2 2 2 4 2 2" xfId="28117"/>
    <cellStyle name="40% - akcent 6 3 4 2 2 2 4 3" xfId="28118"/>
    <cellStyle name="40% - akcent 6 3 4 2 2 2 5" xfId="28119"/>
    <cellStyle name="40% - akcent 6 3 4 2 2 2 5 2" xfId="28120"/>
    <cellStyle name="40% - akcent 6 3 4 2 2 2 6" xfId="28121"/>
    <cellStyle name="40% - akcent 6 3 4 2 2 3" xfId="28122"/>
    <cellStyle name="40% - akcent 6 3 4 2 2 3 2" xfId="28123"/>
    <cellStyle name="40% - akcent 6 3 4 2 2 3 2 2" xfId="28124"/>
    <cellStyle name="40% - akcent 6 3 4 2 2 3 3" xfId="28125"/>
    <cellStyle name="40% - akcent 6 3 4 2 2 4" xfId="28126"/>
    <cellStyle name="40% - akcent 6 3 4 2 2 4 2" xfId="28127"/>
    <cellStyle name="40% - akcent 6 3 4 2 2 4 2 2" xfId="28128"/>
    <cellStyle name="40% - akcent 6 3 4 2 2 4 3" xfId="28129"/>
    <cellStyle name="40% - akcent 6 3 4 2 2 5" xfId="28130"/>
    <cellStyle name="40% - akcent 6 3 4 2 2 5 2" xfId="28131"/>
    <cellStyle name="40% - akcent 6 3 4 2 2 5 2 2" xfId="28132"/>
    <cellStyle name="40% - akcent 6 3 4 2 2 5 3" xfId="28133"/>
    <cellStyle name="40% - akcent 6 3 4 2 2 6" xfId="28134"/>
    <cellStyle name="40% - akcent 6 3 4 2 2 6 2" xfId="28135"/>
    <cellStyle name="40% - akcent 6 3 4 2 2 7" xfId="28136"/>
    <cellStyle name="40% - akcent 6 3 4 2 3" xfId="28137"/>
    <cellStyle name="40% - akcent 6 3 4 2 3 2" xfId="28138"/>
    <cellStyle name="40% - akcent 6 3 4 2 3 2 2" xfId="28139"/>
    <cellStyle name="40% - akcent 6 3 4 2 3 2 2 2" xfId="28140"/>
    <cellStyle name="40% - akcent 6 3 4 2 3 2 3" xfId="28141"/>
    <cellStyle name="40% - akcent 6 3 4 2 3 3" xfId="28142"/>
    <cellStyle name="40% - akcent 6 3 4 2 3 3 2" xfId="28143"/>
    <cellStyle name="40% - akcent 6 3 4 2 3 3 2 2" xfId="28144"/>
    <cellStyle name="40% - akcent 6 3 4 2 3 3 3" xfId="28145"/>
    <cellStyle name="40% - akcent 6 3 4 2 3 4" xfId="28146"/>
    <cellStyle name="40% - akcent 6 3 4 2 3 4 2" xfId="28147"/>
    <cellStyle name="40% - akcent 6 3 4 2 3 4 2 2" xfId="28148"/>
    <cellStyle name="40% - akcent 6 3 4 2 3 4 3" xfId="28149"/>
    <cellStyle name="40% - akcent 6 3 4 2 3 5" xfId="28150"/>
    <cellStyle name="40% - akcent 6 3 4 2 3 5 2" xfId="28151"/>
    <cellStyle name="40% - akcent 6 3 4 2 3 6" xfId="28152"/>
    <cellStyle name="40% - akcent 6 3 4 2 4" xfId="28153"/>
    <cellStyle name="40% - akcent 6 3 4 2 4 2" xfId="28154"/>
    <cellStyle name="40% - akcent 6 3 4 2 4 2 2" xfId="28155"/>
    <cellStyle name="40% - akcent 6 3 4 2 4 2 2 2" xfId="28156"/>
    <cellStyle name="40% - akcent 6 3 4 2 4 2 3" xfId="28157"/>
    <cellStyle name="40% - akcent 6 3 4 2 4 3" xfId="28158"/>
    <cellStyle name="40% - akcent 6 3 4 2 4 3 2" xfId="28159"/>
    <cellStyle name="40% - akcent 6 3 4 2 4 3 2 2" xfId="28160"/>
    <cellStyle name="40% - akcent 6 3 4 2 4 3 3" xfId="28161"/>
    <cellStyle name="40% - akcent 6 3 4 2 4 4" xfId="28162"/>
    <cellStyle name="40% - akcent 6 3 4 2 4 4 2" xfId="28163"/>
    <cellStyle name="40% - akcent 6 3 4 2 4 4 2 2" xfId="28164"/>
    <cellStyle name="40% - akcent 6 3 4 2 4 4 3" xfId="28165"/>
    <cellStyle name="40% - akcent 6 3 4 2 4 5" xfId="28166"/>
    <cellStyle name="40% - akcent 6 3 4 2 4 5 2" xfId="28167"/>
    <cellStyle name="40% - akcent 6 3 4 2 4 6" xfId="28168"/>
    <cellStyle name="40% - akcent 6 3 4 2 5" xfId="28169"/>
    <cellStyle name="40% - akcent 6 3 4 2 5 2" xfId="28170"/>
    <cellStyle name="40% - akcent 6 3 4 2 5 2 2" xfId="28171"/>
    <cellStyle name="40% - akcent 6 3 4 2 5 3" xfId="28172"/>
    <cellStyle name="40% - akcent 6 3 4 2 6" xfId="28173"/>
    <cellStyle name="40% - akcent 6 3 4 2 6 2" xfId="28174"/>
    <cellStyle name="40% - akcent 6 3 4 2 6 2 2" xfId="28175"/>
    <cellStyle name="40% - akcent 6 3 4 2 6 3" xfId="28176"/>
    <cellStyle name="40% - akcent 6 3 4 2 7" xfId="28177"/>
    <cellStyle name="40% - akcent 6 3 4 2 7 2" xfId="28178"/>
    <cellStyle name="40% - akcent 6 3 4 2 7 2 2" xfId="28179"/>
    <cellStyle name="40% - akcent 6 3 4 2 7 3" xfId="28180"/>
    <cellStyle name="40% - akcent 6 3 4 2 8" xfId="28181"/>
    <cellStyle name="40% - akcent 6 3 4 2 8 2" xfId="28182"/>
    <cellStyle name="40% - akcent 6 3 4 2 9" xfId="28183"/>
    <cellStyle name="40% - akcent 6 3 4 3" xfId="28184"/>
    <cellStyle name="40% - akcent 6 3 4 3 2" xfId="28185"/>
    <cellStyle name="40% - akcent 6 3 4 3 2 2" xfId="28186"/>
    <cellStyle name="40% - akcent 6 3 4 3 2 2 2" xfId="28187"/>
    <cellStyle name="40% - akcent 6 3 4 3 2 2 2 2" xfId="28188"/>
    <cellStyle name="40% - akcent 6 3 4 3 2 2 3" xfId="28189"/>
    <cellStyle name="40% - akcent 6 3 4 3 2 3" xfId="28190"/>
    <cellStyle name="40% - akcent 6 3 4 3 2 3 2" xfId="28191"/>
    <cellStyle name="40% - akcent 6 3 4 3 2 3 2 2" xfId="28192"/>
    <cellStyle name="40% - akcent 6 3 4 3 2 3 3" xfId="28193"/>
    <cellStyle name="40% - akcent 6 3 4 3 2 4" xfId="28194"/>
    <cellStyle name="40% - akcent 6 3 4 3 2 4 2" xfId="28195"/>
    <cellStyle name="40% - akcent 6 3 4 3 2 4 2 2" xfId="28196"/>
    <cellStyle name="40% - akcent 6 3 4 3 2 4 3" xfId="28197"/>
    <cellStyle name="40% - akcent 6 3 4 3 2 5" xfId="28198"/>
    <cellStyle name="40% - akcent 6 3 4 3 2 5 2" xfId="28199"/>
    <cellStyle name="40% - akcent 6 3 4 3 2 6" xfId="28200"/>
    <cellStyle name="40% - akcent 6 3 4 3 3" xfId="28201"/>
    <cellStyle name="40% - akcent 6 3 4 3 3 2" xfId="28202"/>
    <cellStyle name="40% - akcent 6 3 4 3 3 2 2" xfId="28203"/>
    <cellStyle name="40% - akcent 6 3 4 3 3 3" xfId="28204"/>
    <cellStyle name="40% - akcent 6 3 4 3 4" xfId="28205"/>
    <cellStyle name="40% - akcent 6 3 4 3 4 2" xfId="28206"/>
    <cellStyle name="40% - akcent 6 3 4 3 4 2 2" xfId="28207"/>
    <cellStyle name="40% - akcent 6 3 4 3 4 3" xfId="28208"/>
    <cellStyle name="40% - akcent 6 3 4 3 5" xfId="28209"/>
    <cellStyle name="40% - akcent 6 3 4 3 5 2" xfId="28210"/>
    <cellStyle name="40% - akcent 6 3 4 3 5 2 2" xfId="28211"/>
    <cellStyle name="40% - akcent 6 3 4 3 5 3" xfId="28212"/>
    <cellStyle name="40% - akcent 6 3 4 3 6" xfId="28213"/>
    <cellStyle name="40% - akcent 6 3 4 3 6 2" xfId="28214"/>
    <cellStyle name="40% - akcent 6 3 4 3 7" xfId="28215"/>
    <cellStyle name="40% - akcent 6 3 4 4" xfId="28216"/>
    <cellStyle name="40% - akcent 6 3 4 4 2" xfId="28217"/>
    <cellStyle name="40% - akcent 6 3 4 4 2 2" xfId="28218"/>
    <cellStyle name="40% - akcent 6 3 4 4 2 2 2" xfId="28219"/>
    <cellStyle name="40% - akcent 6 3 4 4 2 3" xfId="28220"/>
    <cellStyle name="40% - akcent 6 3 4 4 3" xfId="28221"/>
    <cellStyle name="40% - akcent 6 3 4 4 3 2" xfId="28222"/>
    <cellStyle name="40% - akcent 6 3 4 4 3 2 2" xfId="28223"/>
    <cellStyle name="40% - akcent 6 3 4 4 3 3" xfId="28224"/>
    <cellStyle name="40% - akcent 6 3 4 4 4" xfId="28225"/>
    <cellStyle name="40% - akcent 6 3 4 4 4 2" xfId="28226"/>
    <cellStyle name="40% - akcent 6 3 4 4 4 2 2" xfId="28227"/>
    <cellStyle name="40% - akcent 6 3 4 4 4 3" xfId="28228"/>
    <cellStyle name="40% - akcent 6 3 4 4 5" xfId="28229"/>
    <cellStyle name="40% - akcent 6 3 4 4 5 2" xfId="28230"/>
    <cellStyle name="40% - akcent 6 3 4 4 6" xfId="28231"/>
    <cellStyle name="40% - akcent 6 3 4 5" xfId="28232"/>
    <cellStyle name="40% - akcent 6 3 4 5 2" xfId="28233"/>
    <cellStyle name="40% - akcent 6 3 4 5 2 2" xfId="28234"/>
    <cellStyle name="40% - akcent 6 3 4 5 2 2 2" xfId="28235"/>
    <cellStyle name="40% - akcent 6 3 4 5 2 3" xfId="28236"/>
    <cellStyle name="40% - akcent 6 3 4 5 3" xfId="28237"/>
    <cellStyle name="40% - akcent 6 3 4 5 3 2" xfId="28238"/>
    <cellStyle name="40% - akcent 6 3 4 5 3 2 2" xfId="28239"/>
    <cellStyle name="40% - akcent 6 3 4 5 3 3" xfId="28240"/>
    <cellStyle name="40% - akcent 6 3 4 5 4" xfId="28241"/>
    <cellStyle name="40% - akcent 6 3 4 5 4 2" xfId="28242"/>
    <cellStyle name="40% - akcent 6 3 4 5 4 2 2" xfId="28243"/>
    <cellStyle name="40% - akcent 6 3 4 5 4 3" xfId="28244"/>
    <cellStyle name="40% - akcent 6 3 4 5 5" xfId="28245"/>
    <cellStyle name="40% - akcent 6 3 4 5 5 2" xfId="28246"/>
    <cellStyle name="40% - akcent 6 3 4 5 6" xfId="28247"/>
    <cellStyle name="40% - akcent 6 3 4 6" xfId="28248"/>
    <cellStyle name="40% - akcent 6 3 4 6 2" xfId="28249"/>
    <cellStyle name="40% - akcent 6 3 4 6 2 2" xfId="28250"/>
    <cellStyle name="40% - akcent 6 3 4 6 3" xfId="28251"/>
    <cellStyle name="40% - akcent 6 3 4 7" xfId="28252"/>
    <cellStyle name="40% - akcent 6 3 4 7 2" xfId="28253"/>
    <cellStyle name="40% - akcent 6 3 4 7 2 2" xfId="28254"/>
    <cellStyle name="40% - akcent 6 3 4 7 3" xfId="28255"/>
    <cellStyle name="40% - akcent 6 3 4 8" xfId="28256"/>
    <cellStyle name="40% - akcent 6 3 4 8 2" xfId="28257"/>
    <cellStyle name="40% - akcent 6 3 4 8 2 2" xfId="28258"/>
    <cellStyle name="40% - akcent 6 3 4 8 3" xfId="28259"/>
    <cellStyle name="40% - akcent 6 3 4 9" xfId="28260"/>
    <cellStyle name="40% - akcent 6 3 4 9 2" xfId="28261"/>
    <cellStyle name="40% - akcent 6 3 5" xfId="28262"/>
    <cellStyle name="40% - akcent 6 3 5 2" xfId="28263"/>
    <cellStyle name="40% - akcent 6 3 5 2 2" xfId="28264"/>
    <cellStyle name="40% - akcent 6 3 5 2 2 2" xfId="28265"/>
    <cellStyle name="40% - akcent 6 3 5 2 2 2 2" xfId="28266"/>
    <cellStyle name="40% - akcent 6 3 5 2 2 2 2 2" xfId="28267"/>
    <cellStyle name="40% - akcent 6 3 5 2 2 2 3" xfId="28268"/>
    <cellStyle name="40% - akcent 6 3 5 2 2 3" xfId="28269"/>
    <cellStyle name="40% - akcent 6 3 5 2 2 3 2" xfId="28270"/>
    <cellStyle name="40% - akcent 6 3 5 2 2 3 2 2" xfId="28271"/>
    <cellStyle name="40% - akcent 6 3 5 2 2 3 3" xfId="28272"/>
    <cellStyle name="40% - akcent 6 3 5 2 2 4" xfId="28273"/>
    <cellStyle name="40% - akcent 6 3 5 2 2 4 2" xfId="28274"/>
    <cellStyle name="40% - akcent 6 3 5 2 2 4 2 2" xfId="28275"/>
    <cellStyle name="40% - akcent 6 3 5 2 2 4 3" xfId="28276"/>
    <cellStyle name="40% - akcent 6 3 5 2 2 5" xfId="28277"/>
    <cellStyle name="40% - akcent 6 3 5 2 2 5 2" xfId="28278"/>
    <cellStyle name="40% - akcent 6 3 5 2 2 6" xfId="28279"/>
    <cellStyle name="40% - akcent 6 3 5 2 3" xfId="28280"/>
    <cellStyle name="40% - akcent 6 3 5 2 3 2" xfId="28281"/>
    <cellStyle name="40% - akcent 6 3 5 2 3 2 2" xfId="28282"/>
    <cellStyle name="40% - akcent 6 3 5 2 3 3" xfId="28283"/>
    <cellStyle name="40% - akcent 6 3 5 2 4" xfId="28284"/>
    <cellStyle name="40% - akcent 6 3 5 2 4 2" xfId="28285"/>
    <cellStyle name="40% - akcent 6 3 5 2 4 2 2" xfId="28286"/>
    <cellStyle name="40% - akcent 6 3 5 2 4 3" xfId="28287"/>
    <cellStyle name="40% - akcent 6 3 5 2 5" xfId="28288"/>
    <cellStyle name="40% - akcent 6 3 5 2 5 2" xfId="28289"/>
    <cellStyle name="40% - akcent 6 3 5 2 5 2 2" xfId="28290"/>
    <cellStyle name="40% - akcent 6 3 5 2 5 3" xfId="28291"/>
    <cellStyle name="40% - akcent 6 3 5 2 6" xfId="28292"/>
    <cellStyle name="40% - akcent 6 3 5 2 6 2" xfId="28293"/>
    <cellStyle name="40% - akcent 6 3 5 2 7" xfId="28294"/>
    <cellStyle name="40% - akcent 6 3 5 3" xfId="28295"/>
    <cellStyle name="40% - akcent 6 3 5 3 2" xfId="28296"/>
    <cellStyle name="40% - akcent 6 3 5 3 2 2" xfId="28297"/>
    <cellStyle name="40% - akcent 6 3 5 3 2 2 2" xfId="28298"/>
    <cellStyle name="40% - akcent 6 3 5 3 2 3" xfId="28299"/>
    <cellStyle name="40% - akcent 6 3 5 3 3" xfId="28300"/>
    <cellStyle name="40% - akcent 6 3 5 3 3 2" xfId="28301"/>
    <cellStyle name="40% - akcent 6 3 5 3 3 2 2" xfId="28302"/>
    <cellStyle name="40% - akcent 6 3 5 3 3 3" xfId="28303"/>
    <cellStyle name="40% - akcent 6 3 5 3 4" xfId="28304"/>
    <cellStyle name="40% - akcent 6 3 5 3 4 2" xfId="28305"/>
    <cellStyle name="40% - akcent 6 3 5 3 4 2 2" xfId="28306"/>
    <cellStyle name="40% - akcent 6 3 5 3 4 3" xfId="28307"/>
    <cellStyle name="40% - akcent 6 3 5 3 5" xfId="28308"/>
    <cellStyle name="40% - akcent 6 3 5 3 5 2" xfId="28309"/>
    <cellStyle name="40% - akcent 6 3 5 3 6" xfId="28310"/>
    <cellStyle name="40% - akcent 6 3 5 4" xfId="28311"/>
    <cellStyle name="40% - akcent 6 3 5 4 2" xfId="28312"/>
    <cellStyle name="40% - akcent 6 3 5 4 2 2" xfId="28313"/>
    <cellStyle name="40% - akcent 6 3 5 4 2 2 2" xfId="28314"/>
    <cellStyle name="40% - akcent 6 3 5 4 2 3" xfId="28315"/>
    <cellStyle name="40% - akcent 6 3 5 4 3" xfId="28316"/>
    <cellStyle name="40% - akcent 6 3 5 4 3 2" xfId="28317"/>
    <cellStyle name="40% - akcent 6 3 5 4 3 2 2" xfId="28318"/>
    <cellStyle name="40% - akcent 6 3 5 4 3 3" xfId="28319"/>
    <cellStyle name="40% - akcent 6 3 5 4 4" xfId="28320"/>
    <cellStyle name="40% - akcent 6 3 5 4 4 2" xfId="28321"/>
    <cellStyle name="40% - akcent 6 3 5 4 4 2 2" xfId="28322"/>
    <cellStyle name="40% - akcent 6 3 5 4 4 3" xfId="28323"/>
    <cellStyle name="40% - akcent 6 3 5 4 5" xfId="28324"/>
    <cellStyle name="40% - akcent 6 3 5 4 5 2" xfId="28325"/>
    <cellStyle name="40% - akcent 6 3 5 4 6" xfId="28326"/>
    <cellStyle name="40% - akcent 6 3 5 5" xfId="28327"/>
    <cellStyle name="40% - akcent 6 3 5 5 2" xfId="28328"/>
    <cellStyle name="40% - akcent 6 3 5 5 2 2" xfId="28329"/>
    <cellStyle name="40% - akcent 6 3 5 5 3" xfId="28330"/>
    <cellStyle name="40% - akcent 6 3 5 6" xfId="28331"/>
    <cellStyle name="40% - akcent 6 3 5 6 2" xfId="28332"/>
    <cellStyle name="40% - akcent 6 3 5 6 2 2" xfId="28333"/>
    <cellStyle name="40% - akcent 6 3 5 6 3" xfId="28334"/>
    <cellStyle name="40% - akcent 6 3 5 7" xfId="28335"/>
    <cellStyle name="40% - akcent 6 3 5 7 2" xfId="28336"/>
    <cellStyle name="40% - akcent 6 3 5 7 2 2" xfId="28337"/>
    <cellStyle name="40% - akcent 6 3 5 7 3" xfId="28338"/>
    <cellStyle name="40% - akcent 6 3 5 8" xfId="28339"/>
    <cellStyle name="40% - akcent 6 3 5 8 2" xfId="28340"/>
    <cellStyle name="40% - akcent 6 3 5 9" xfId="28341"/>
    <cellStyle name="40% - akcent 6 3 6" xfId="28342"/>
    <cellStyle name="40% - akcent 6 3 6 2" xfId="28343"/>
    <cellStyle name="40% - akcent 6 3 6 2 2" xfId="28344"/>
    <cellStyle name="40% - akcent 6 3 6 2 2 2" xfId="28345"/>
    <cellStyle name="40% - akcent 6 3 6 2 2 2 2" xfId="28346"/>
    <cellStyle name="40% - akcent 6 3 6 2 2 2 2 2" xfId="28347"/>
    <cellStyle name="40% - akcent 6 3 6 2 2 2 3" xfId="28348"/>
    <cellStyle name="40% - akcent 6 3 6 2 2 3" xfId="28349"/>
    <cellStyle name="40% - akcent 6 3 6 2 2 3 2" xfId="28350"/>
    <cellStyle name="40% - akcent 6 3 6 2 2 3 2 2" xfId="28351"/>
    <cellStyle name="40% - akcent 6 3 6 2 2 3 3" xfId="28352"/>
    <cellStyle name="40% - akcent 6 3 6 2 2 4" xfId="28353"/>
    <cellStyle name="40% - akcent 6 3 6 2 2 4 2" xfId="28354"/>
    <cellStyle name="40% - akcent 6 3 6 2 2 4 2 2" xfId="28355"/>
    <cellStyle name="40% - akcent 6 3 6 2 2 4 3" xfId="28356"/>
    <cellStyle name="40% - akcent 6 3 6 2 2 5" xfId="28357"/>
    <cellStyle name="40% - akcent 6 3 6 2 2 5 2" xfId="28358"/>
    <cellStyle name="40% - akcent 6 3 6 2 2 6" xfId="28359"/>
    <cellStyle name="40% - akcent 6 3 6 2 3" xfId="28360"/>
    <cellStyle name="40% - akcent 6 3 6 2 3 2" xfId="28361"/>
    <cellStyle name="40% - akcent 6 3 6 2 3 2 2" xfId="28362"/>
    <cellStyle name="40% - akcent 6 3 6 2 3 3" xfId="28363"/>
    <cellStyle name="40% - akcent 6 3 6 2 4" xfId="28364"/>
    <cellStyle name="40% - akcent 6 3 6 2 4 2" xfId="28365"/>
    <cellStyle name="40% - akcent 6 3 6 2 4 2 2" xfId="28366"/>
    <cellStyle name="40% - akcent 6 3 6 2 4 3" xfId="28367"/>
    <cellStyle name="40% - akcent 6 3 6 2 5" xfId="28368"/>
    <cellStyle name="40% - akcent 6 3 6 2 5 2" xfId="28369"/>
    <cellStyle name="40% - akcent 6 3 6 2 5 2 2" xfId="28370"/>
    <cellStyle name="40% - akcent 6 3 6 2 5 3" xfId="28371"/>
    <cellStyle name="40% - akcent 6 3 6 2 6" xfId="28372"/>
    <cellStyle name="40% - akcent 6 3 6 2 6 2" xfId="28373"/>
    <cellStyle name="40% - akcent 6 3 6 2 7" xfId="28374"/>
    <cellStyle name="40% - akcent 6 3 6 3" xfId="28375"/>
    <cellStyle name="40% - akcent 6 3 6 3 2" xfId="28376"/>
    <cellStyle name="40% - akcent 6 3 6 3 2 2" xfId="28377"/>
    <cellStyle name="40% - akcent 6 3 6 3 2 2 2" xfId="28378"/>
    <cellStyle name="40% - akcent 6 3 6 3 2 3" xfId="28379"/>
    <cellStyle name="40% - akcent 6 3 6 3 3" xfId="28380"/>
    <cellStyle name="40% - akcent 6 3 6 3 3 2" xfId="28381"/>
    <cellStyle name="40% - akcent 6 3 6 3 3 2 2" xfId="28382"/>
    <cellStyle name="40% - akcent 6 3 6 3 3 3" xfId="28383"/>
    <cellStyle name="40% - akcent 6 3 6 3 4" xfId="28384"/>
    <cellStyle name="40% - akcent 6 3 6 3 4 2" xfId="28385"/>
    <cellStyle name="40% - akcent 6 3 6 3 4 2 2" xfId="28386"/>
    <cellStyle name="40% - akcent 6 3 6 3 4 3" xfId="28387"/>
    <cellStyle name="40% - akcent 6 3 6 3 5" xfId="28388"/>
    <cellStyle name="40% - akcent 6 3 6 3 5 2" xfId="28389"/>
    <cellStyle name="40% - akcent 6 3 6 3 6" xfId="28390"/>
    <cellStyle name="40% - akcent 6 3 6 4" xfId="28391"/>
    <cellStyle name="40% - akcent 6 3 6 4 2" xfId="28392"/>
    <cellStyle name="40% - akcent 6 3 6 4 2 2" xfId="28393"/>
    <cellStyle name="40% - akcent 6 3 6 4 2 2 2" xfId="28394"/>
    <cellStyle name="40% - akcent 6 3 6 4 2 3" xfId="28395"/>
    <cellStyle name="40% - akcent 6 3 6 4 3" xfId="28396"/>
    <cellStyle name="40% - akcent 6 3 6 4 3 2" xfId="28397"/>
    <cellStyle name="40% - akcent 6 3 6 4 3 2 2" xfId="28398"/>
    <cellStyle name="40% - akcent 6 3 6 4 3 3" xfId="28399"/>
    <cellStyle name="40% - akcent 6 3 6 4 4" xfId="28400"/>
    <cellStyle name="40% - akcent 6 3 6 4 4 2" xfId="28401"/>
    <cellStyle name="40% - akcent 6 3 6 4 4 2 2" xfId="28402"/>
    <cellStyle name="40% - akcent 6 3 6 4 4 3" xfId="28403"/>
    <cellStyle name="40% - akcent 6 3 6 4 5" xfId="28404"/>
    <cellStyle name="40% - akcent 6 3 6 4 5 2" xfId="28405"/>
    <cellStyle name="40% - akcent 6 3 6 4 6" xfId="28406"/>
    <cellStyle name="40% - akcent 6 3 6 5" xfId="28407"/>
    <cellStyle name="40% - akcent 6 3 6 5 2" xfId="28408"/>
    <cellStyle name="40% - akcent 6 3 6 5 2 2" xfId="28409"/>
    <cellStyle name="40% - akcent 6 3 6 5 3" xfId="28410"/>
    <cellStyle name="40% - akcent 6 3 6 6" xfId="28411"/>
    <cellStyle name="40% - akcent 6 3 6 6 2" xfId="28412"/>
    <cellStyle name="40% - akcent 6 3 6 6 2 2" xfId="28413"/>
    <cellStyle name="40% - akcent 6 3 6 6 3" xfId="28414"/>
    <cellStyle name="40% - akcent 6 3 6 7" xfId="28415"/>
    <cellStyle name="40% - akcent 6 3 6 7 2" xfId="28416"/>
    <cellStyle name="40% - akcent 6 3 6 7 2 2" xfId="28417"/>
    <cellStyle name="40% - akcent 6 3 6 7 3" xfId="28418"/>
    <cellStyle name="40% - akcent 6 3 6 8" xfId="28419"/>
    <cellStyle name="40% - akcent 6 3 6 8 2" xfId="28420"/>
    <cellStyle name="40% - akcent 6 3 6 9" xfId="28421"/>
    <cellStyle name="40% - akcent 6 3 7" xfId="28422"/>
    <cellStyle name="40% - akcent 6 3 7 2" xfId="28423"/>
    <cellStyle name="40% - akcent 6 3 7 2 2" xfId="28424"/>
    <cellStyle name="40% - akcent 6 3 7 2 2 2" xfId="28425"/>
    <cellStyle name="40% - akcent 6 3 7 2 2 2 2" xfId="28426"/>
    <cellStyle name="40% - akcent 6 3 7 2 2 3" xfId="28427"/>
    <cellStyle name="40% - akcent 6 3 7 2 3" xfId="28428"/>
    <cellStyle name="40% - akcent 6 3 7 2 3 2" xfId="28429"/>
    <cellStyle name="40% - akcent 6 3 7 2 3 2 2" xfId="28430"/>
    <cellStyle name="40% - akcent 6 3 7 2 3 3" xfId="28431"/>
    <cellStyle name="40% - akcent 6 3 7 2 4" xfId="28432"/>
    <cellStyle name="40% - akcent 6 3 7 2 4 2" xfId="28433"/>
    <cellStyle name="40% - akcent 6 3 7 2 4 2 2" xfId="28434"/>
    <cellStyle name="40% - akcent 6 3 7 2 4 3" xfId="28435"/>
    <cellStyle name="40% - akcent 6 3 7 2 5" xfId="28436"/>
    <cellStyle name="40% - akcent 6 3 7 2 5 2" xfId="28437"/>
    <cellStyle name="40% - akcent 6 3 7 2 6" xfId="28438"/>
    <cellStyle name="40% - akcent 6 3 7 3" xfId="28439"/>
    <cellStyle name="40% - akcent 6 3 7 3 2" xfId="28440"/>
    <cellStyle name="40% - akcent 6 3 7 3 2 2" xfId="28441"/>
    <cellStyle name="40% - akcent 6 3 7 3 3" xfId="28442"/>
    <cellStyle name="40% - akcent 6 3 7 4" xfId="28443"/>
    <cellStyle name="40% - akcent 6 3 7 4 2" xfId="28444"/>
    <cellStyle name="40% - akcent 6 3 7 4 2 2" xfId="28445"/>
    <cellStyle name="40% - akcent 6 3 7 4 3" xfId="28446"/>
    <cellStyle name="40% - akcent 6 3 7 5" xfId="28447"/>
    <cellStyle name="40% - akcent 6 3 7 5 2" xfId="28448"/>
    <cellStyle name="40% - akcent 6 3 7 5 2 2" xfId="28449"/>
    <cellStyle name="40% - akcent 6 3 7 5 3" xfId="28450"/>
    <cellStyle name="40% - akcent 6 3 7 6" xfId="28451"/>
    <cellStyle name="40% - akcent 6 3 7 6 2" xfId="28452"/>
    <cellStyle name="40% - akcent 6 3 7 7" xfId="28453"/>
    <cellStyle name="40% - akcent 6 3 8" xfId="28454"/>
    <cellStyle name="40% - akcent 6 3 8 2" xfId="28455"/>
    <cellStyle name="40% - akcent 6 3 8 2 2" xfId="28456"/>
    <cellStyle name="40% - akcent 6 3 8 2 2 2" xfId="28457"/>
    <cellStyle name="40% - akcent 6 3 8 2 3" xfId="28458"/>
    <cellStyle name="40% - akcent 6 3 8 3" xfId="28459"/>
    <cellStyle name="40% - akcent 6 3 8 3 2" xfId="28460"/>
    <cellStyle name="40% - akcent 6 3 8 3 2 2" xfId="28461"/>
    <cellStyle name="40% - akcent 6 3 8 3 3" xfId="28462"/>
    <cellStyle name="40% - akcent 6 3 8 4" xfId="28463"/>
    <cellStyle name="40% - akcent 6 3 8 4 2" xfId="28464"/>
    <cellStyle name="40% - akcent 6 3 8 4 2 2" xfId="28465"/>
    <cellStyle name="40% - akcent 6 3 8 4 3" xfId="28466"/>
    <cellStyle name="40% - akcent 6 3 8 5" xfId="28467"/>
    <cellStyle name="40% - akcent 6 3 8 5 2" xfId="28468"/>
    <cellStyle name="40% - akcent 6 3 8 6" xfId="28469"/>
    <cellStyle name="40% - akcent 6 3 9" xfId="28470"/>
    <cellStyle name="40% - akcent 6 3 9 2" xfId="28471"/>
    <cellStyle name="40% - akcent 6 3 9 2 2" xfId="28472"/>
    <cellStyle name="40% - akcent 6 3 9 2 2 2" xfId="28473"/>
    <cellStyle name="40% - akcent 6 3 9 2 3" xfId="28474"/>
    <cellStyle name="40% - akcent 6 3 9 3" xfId="28475"/>
    <cellStyle name="40% - akcent 6 3 9 3 2" xfId="28476"/>
    <cellStyle name="40% - akcent 6 3 9 3 2 2" xfId="28477"/>
    <cellStyle name="40% - akcent 6 3 9 3 3" xfId="28478"/>
    <cellStyle name="40% - akcent 6 3 9 4" xfId="28479"/>
    <cellStyle name="40% - akcent 6 3 9 4 2" xfId="28480"/>
    <cellStyle name="40% - akcent 6 3 9 4 2 2" xfId="28481"/>
    <cellStyle name="40% - akcent 6 3 9 4 3" xfId="28482"/>
    <cellStyle name="40% - akcent 6 3 9 5" xfId="28483"/>
    <cellStyle name="40% - akcent 6 3 9 5 2" xfId="28484"/>
    <cellStyle name="40% - akcent 6 3 9 6" xfId="28485"/>
    <cellStyle name="40% - akcent 6 3_2011'05 Raport PGE_DO-CO2" xfId="28486"/>
    <cellStyle name="40% - akcent 6 4" xfId="28487"/>
    <cellStyle name="40% - akcent 6 4 2" xfId="28488"/>
    <cellStyle name="40% - akcent 6 4 2 2" xfId="28489"/>
    <cellStyle name="40% - akcent 6 4 2 2 2" xfId="28490"/>
    <cellStyle name="40% - akcent 6 4 2 2 2 2" xfId="28491"/>
    <cellStyle name="40% - akcent 6 4 2 2 2 2 2" xfId="28492"/>
    <cellStyle name="40% - akcent 6 4 2 2 2 2 2 2" xfId="28493"/>
    <cellStyle name="40% - akcent 6 4 2 2 2 2 2 2 2" xfId="28494"/>
    <cellStyle name="40% - akcent 6 4 2 2 2 2 2 3" xfId="28495"/>
    <cellStyle name="40% - akcent 6 4 2 2 2 2 3" xfId="28496"/>
    <cellStyle name="40% - akcent 6 4 2 2 2 2 3 2" xfId="28497"/>
    <cellStyle name="40% - akcent 6 4 2 2 2 2 3 2 2" xfId="28498"/>
    <cellStyle name="40% - akcent 6 4 2 2 2 2 3 3" xfId="28499"/>
    <cellStyle name="40% - akcent 6 4 2 2 2 2 4" xfId="28500"/>
    <cellStyle name="40% - akcent 6 4 2 2 2 2 4 2" xfId="28501"/>
    <cellStyle name="40% - akcent 6 4 2 2 2 2 4 2 2" xfId="28502"/>
    <cellStyle name="40% - akcent 6 4 2 2 2 2 4 3" xfId="28503"/>
    <cellStyle name="40% - akcent 6 4 2 2 2 2 5" xfId="28504"/>
    <cellStyle name="40% - akcent 6 4 2 2 2 2 5 2" xfId="28505"/>
    <cellStyle name="40% - akcent 6 4 2 2 2 2 6" xfId="28506"/>
    <cellStyle name="40% - akcent 6 4 2 2 2 3" xfId="28507"/>
    <cellStyle name="40% - akcent 6 4 2 2 2 3 2" xfId="28508"/>
    <cellStyle name="40% - akcent 6 4 2 2 2 3 2 2" xfId="28509"/>
    <cellStyle name="40% - akcent 6 4 2 2 2 3 3" xfId="28510"/>
    <cellStyle name="40% - akcent 6 4 2 2 2 4" xfId="28511"/>
    <cellStyle name="40% - akcent 6 4 2 2 2 4 2" xfId="28512"/>
    <cellStyle name="40% - akcent 6 4 2 2 2 4 2 2" xfId="28513"/>
    <cellStyle name="40% - akcent 6 4 2 2 2 4 3" xfId="28514"/>
    <cellStyle name="40% - akcent 6 4 2 2 2 5" xfId="28515"/>
    <cellStyle name="40% - akcent 6 4 2 2 2 5 2" xfId="28516"/>
    <cellStyle name="40% - akcent 6 4 2 2 2 5 2 2" xfId="28517"/>
    <cellStyle name="40% - akcent 6 4 2 2 2 5 3" xfId="28518"/>
    <cellStyle name="40% - akcent 6 4 2 2 2 6" xfId="28519"/>
    <cellStyle name="40% - akcent 6 4 2 2 2 6 2" xfId="28520"/>
    <cellStyle name="40% - akcent 6 4 2 2 2 7" xfId="28521"/>
    <cellStyle name="40% - akcent 6 4 2 2 3" xfId="28522"/>
    <cellStyle name="40% - akcent 6 4 2 2 3 2" xfId="28523"/>
    <cellStyle name="40% - akcent 6 4 2 2 3 2 2" xfId="28524"/>
    <cellStyle name="40% - akcent 6 4 2 2 3 2 2 2" xfId="28525"/>
    <cellStyle name="40% - akcent 6 4 2 2 3 2 3" xfId="28526"/>
    <cellStyle name="40% - akcent 6 4 2 2 3 3" xfId="28527"/>
    <cellStyle name="40% - akcent 6 4 2 2 3 3 2" xfId="28528"/>
    <cellStyle name="40% - akcent 6 4 2 2 3 3 2 2" xfId="28529"/>
    <cellStyle name="40% - akcent 6 4 2 2 3 3 3" xfId="28530"/>
    <cellStyle name="40% - akcent 6 4 2 2 3 4" xfId="28531"/>
    <cellStyle name="40% - akcent 6 4 2 2 3 4 2" xfId="28532"/>
    <cellStyle name="40% - akcent 6 4 2 2 3 4 2 2" xfId="28533"/>
    <cellStyle name="40% - akcent 6 4 2 2 3 4 3" xfId="28534"/>
    <cellStyle name="40% - akcent 6 4 2 2 3 5" xfId="28535"/>
    <cellStyle name="40% - akcent 6 4 2 2 3 5 2" xfId="28536"/>
    <cellStyle name="40% - akcent 6 4 2 2 3 6" xfId="28537"/>
    <cellStyle name="40% - akcent 6 4 2 2 4" xfId="28538"/>
    <cellStyle name="40% - akcent 6 4 2 2 4 2" xfId="28539"/>
    <cellStyle name="40% - akcent 6 4 2 2 4 2 2" xfId="28540"/>
    <cellStyle name="40% - akcent 6 4 2 2 4 2 2 2" xfId="28541"/>
    <cellStyle name="40% - akcent 6 4 2 2 4 2 3" xfId="28542"/>
    <cellStyle name="40% - akcent 6 4 2 2 4 3" xfId="28543"/>
    <cellStyle name="40% - akcent 6 4 2 2 4 3 2" xfId="28544"/>
    <cellStyle name="40% - akcent 6 4 2 2 4 3 2 2" xfId="28545"/>
    <cellStyle name="40% - akcent 6 4 2 2 4 3 3" xfId="28546"/>
    <cellStyle name="40% - akcent 6 4 2 2 4 4" xfId="28547"/>
    <cellStyle name="40% - akcent 6 4 2 2 4 4 2" xfId="28548"/>
    <cellStyle name="40% - akcent 6 4 2 2 4 4 2 2" xfId="28549"/>
    <cellStyle name="40% - akcent 6 4 2 2 4 4 3" xfId="28550"/>
    <cellStyle name="40% - akcent 6 4 2 2 4 5" xfId="28551"/>
    <cellStyle name="40% - akcent 6 4 2 2 4 5 2" xfId="28552"/>
    <cellStyle name="40% - akcent 6 4 2 2 4 6" xfId="28553"/>
    <cellStyle name="40% - akcent 6 4 2 2 5" xfId="28554"/>
    <cellStyle name="40% - akcent 6 4 2 2 5 2" xfId="28555"/>
    <cellStyle name="40% - akcent 6 4 2 2 5 2 2" xfId="28556"/>
    <cellStyle name="40% - akcent 6 4 2 2 5 3" xfId="28557"/>
    <cellStyle name="40% - akcent 6 4 2 2 6" xfId="28558"/>
    <cellStyle name="40% - akcent 6 4 2 2 6 2" xfId="28559"/>
    <cellStyle name="40% - akcent 6 4 2 2 6 2 2" xfId="28560"/>
    <cellStyle name="40% - akcent 6 4 2 2 6 3" xfId="28561"/>
    <cellStyle name="40% - akcent 6 4 2 2 7" xfId="28562"/>
    <cellStyle name="40% - akcent 6 4 2 2 7 2" xfId="28563"/>
    <cellStyle name="40% - akcent 6 4 2 2 7 2 2" xfId="28564"/>
    <cellStyle name="40% - akcent 6 4 2 2 7 3" xfId="28565"/>
    <cellStyle name="40% - akcent 6 4 2 2 8" xfId="28566"/>
    <cellStyle name="40% - akcent 6 4 2 2 8 2" xfId="28567"/>
    <cellStyle name="40% - akcent 6 4 2 2 9" xfId="28568"/>
    <cellStyle name="40% - akcent 6 4 2 3" xfId="28569"/>
    <cellStyle name="40% - akcent 6 4 2 3 2" xfId="28570"/>
    <cellStyle name="40% - akcent 6 4 2 3 2 2" xfId="28571"/>
    <cellStyle name="40% - akcent 6 4 2 3 2 2 2" xfId="28572"/>
    <cellStyle name="40% - akcent 6 4 2 3 2 2 2 2" xfId="28573"/>
    <cellStyle name="40% - akcent 6 4 2 3 2 2 3" xfId="28574"/>
    <cellStyle name="40% - akcent 6 4 2 3 2 3" xfId="28575"/>
    <cellStyle name="40% - akcent 6 4 2 3 2 3 2" xfId="28576"/>
    <cellStyle name="40% - akcent 6 4 2 3 2 3 2 2" xfId="28577"/>
    <cellStyle name="40% - akcent 6 4 2 3 2 3 3" xfId="28578"/>
    <cellStyle name="40% - akcent 6 4 2 3 2 4" xfId="28579"/>
    <cellStyle name="40% - akcent 6 4 2 3 2 4 2" xfId="28580"/>
    <cellStyle name="40% - akcent 6 4 2 3 2 4 2 2" xfId="28581"/>
    <cellStyle name="40% - akcent 6 4 2 3 2 4 3" xfId="28582"/>
    <cellStyle name="40% - akcent 6 4 2 3 2 5" xfId="28583"/>
    <cellStyle name="40% - akcent 6 4 2 3 2 5 2" xfId="28584"/>
    <cellStyle name="40% - akcent 6 4 2 3 2 6" xfId="28585"/>
    <cellStyle name="40% - akcent 6 4 2 3 3" xfId="28586"/>
    <cellStyle name="40% - akcent 6 4 2 3 3 2" xfId="28587"/>
    <cellStyle name="40% - akcent 6 4 2 3 3 2 2" xfId="28588"/>
    <cellStyle name="40% - akcent 6 4 2 3 3 3" xfId="28589"/>
    <cellStyle name="40% - akcent 6 4 2 3 4" xfId="28590"/>
    <cellStyle name="40% - akcent 6 4 2 3 4 2" xfId="28591"/>
    <cellStyle name="40% - akcent 6 4 2 3 4 2 2" xfId="28592"/>
    <cellStyle name="40% - akcent 6 4 2 3 4 3" xfId="28593"/>
    <cellStyle name="40% - akcent 6 4 2 3 5" xfId="28594"/>
    <cellStyle name="40% - akcent 6 4 2 3 5 2" xfId="28595"/>
    <cellStyle name="40% - akcent 6 4 2 3 5 2 2" xfId="28596"/>
    <cellStyle name="40% - akcent 6 4 2 3 5 3" xfId="28597"/>
    <cellStyle name="40% - akcent 6 4 2 3 6" xfId="28598"/>
    <cellStyle name="40% - akcent 6 4 2 3 6 2" xfId="28599"/>
    <cellStyle name="40% - akcent 6 4 2 3 7" xfId="28600"/>
    <cellStyle name="40% - akcent 6 4 2 4" xfId="28601"/>
    <cellStyle name="40% - akcent 6 4 2 4 2" xfId="28602"/>
    <cellStyle name="40% - akcent 6 4 2 4 2 2" xfId="28603"/>
    <cellStyle name="40% - akcent 6 4 2 4 2 2 2" xfId="28604"/>
    <cellStyle name="40% - akcent 6 4 2 4 2 3" xfId="28605"/>
    <cellStyle name="40% - akcent 6 4 2 4 3" xfId="28606"/>
    <cellStyle name="40% - akcent 6 4 2 4 3 2" xfId="28607"/>
    <cellStyle name="40% - akcent 6 4 2 4 3 2 2" xfId="28608"/>
    <cellStyle name="40% - akcent 6 4 2 4 3 3" xfId="28609"/>
    <cellStyle name="40% - akcent 6 4 2 4 4" xfId="28610"/>
    <cellStyle name="40% - akcent 6 4 2 4 4 2" xfId="28611"/>
    <cellStyle name="40% - akcent 6 4 2 4 4 2 2" xfId="28612"/>
    <cellStyle name="40% - akcent 6 4 2 4 4 3" xfId="28613"/>
    <cellStyle name="40% - akcent 6 4 2 4 5" xfId="28614"/>
    <cellStyle name="40% - akcent 6 4 2 4 5 2" xfId="28615"/>
    <cellStyle name="40% - akcent 6 4 2 4 6" xfId="28616"/>
    <cellStyle name="40% - akcent 6 4 2 5" xfId="28617"/>
    <cellStyle name="40% - akcent 6 4 2 5 2" xfId="28618"/>
    <cellStyle name="40% - akcent 6 4 2 5 2 2" xfId="28619"/>
    <cellStyle name="40% - akcent 6 4 2 5 2 2 2" xfId="28620"/>
    <cellStyle name="40% - akcent 6 4 2 5 2 3" xfId="28621"/>
    <cellStyle name="40% - akcent 6 4 2 5 3" xfId="28622"/>
    <cellStyle name="40% - akcent 6 4 2 5 3 2" xfId="28623"/>
    <cellStyle name="40% - akcent 6 4 2 5 3 2 2" xfId="28624"/>
    <cellStyle name="40% - akcent 6 4 2 5 3 3" xfId="28625"/>
    <cellStyle name="40% - akcent 6 4 2 5 4" xfId="28626"/>
    <cellStyle name="40% - akcent 6 4 2 5 4 2" xfId="28627"/>
    <cellStyle name="40% - akcent 6 4 2 5 4 2 2" xfId="28628"/>
    <cellStyle name="40% - akcent 6 4 2 5 4 3" xfId="28629"/>
    <cellStyle name="40% - akcent 6 4 2 5 5" xfId="28630"/>
    <cellStyle name="40% - akcent 6 4 2 5 5 2" xfId="28631"/>
    <cellStyle name="40% - akcent 6 4 2 5 6" xfId="28632"/>
    <cellStyle name="40% - akcent 6 4 2 6" xfId="28633"/>
    <cellStyle name="40% - akcent 6 4 2 7" xfId="28634"/>
    <cellStyle name="40% - akcent 6 4 2 7 2" xfId="28635"/>
    <cellStyle name="40% - akcent 6 4 2 7 2 2" xfId="28636"/>
    <cellStyle name="40% - akcent 6 4 2 7 2 2 2" xfId="28637"/>
    <cellStyle name="40% - akcent 6 4 2 7 2 3" xfId="28638"/>
    <cellStyle name="40% - akcent 6 4 2 7 3" xfId="28639"/>
    <cellStyle name="40% - akcent 6 4 2 7 3 2" xfId="28640"/>
    <cellStyle name="40% - akcent 6 4 2 7 3 2 2" xfId="28641"/>
    <cellStyle name="40% - akcent 6 4 2 7 3 3" xfId="28642"/>
    <cellStyle name="40% - akcent 6 4 2 7 4" xfId="28643"/>
    <cellStyle name="40% - akcent 6 4 2 7 4 2" xfId="28644"/>
    <cellStyle name="40% - akcent 6 4 2 7 4 2 2" xfId="28645"/>
    <cellStyle name="40% - akcent 6 4 2 7 4 3" xfId="28646"/>
    <cellStyle name="40% - akcent 6 4 2 7 5" xfId="28647"/>
    <cellStyle name="40% - akcent 6 4 2 7 5 2" xfId="28648"/>
    <cellStyle name="40% - akcent 6 4 2 7 6" xfId="28649"/>
    <cellStyle name="40% - akcent 6 4 3" xfId="28650"/>
    <cellStyle name="40% - akcent 6 4 3 2" xfId="28651"/>
    <cellStyle name="40% - akcent 6 4 3 2 2" xfId="28652"/>
    <cellStyle name="40% - akcent 6 4 3 2 2 2" xfId="28653"/>
    <cellStyle name="40% - akcent 6 4 3 2 2 2 2" xfId="28654"/>
    <cellStyle name="40% - akcent 6 4 3 2 2 2 2 2" xfId="28655"/>
    <cellStyle name="40% - akcent 6 4 3 2 2 2 3" xfId="28656"/>
    <cellStyle name="40% - akcent 6 4 3 2 2 3" xfId="28657"/>
    <cellStyle name="40% - akcent 6 4 3 2 2 3 2" xfId="28658"/>
    <cellStyle name="40% - akcent 6 4 3 2 2 3 2 2" xfId="28659"/>
    <cellStyle name="40% - akcent 6 4 3 2 2 3 3" xfId="28660"/>
    <cellStyle name="40% - akcent 6 4 3 2 2 4" xfId="28661"/>
    <cellStyle name="40% - akcent 6 4 3 2 2 4 2" xfId="28662"/>
    <cellStyle name="40% - akcent 6 4 3 2 2 4 2 2" xfId="28663"/>
    <cellStyle name="40% - akcent 6 4 3 2 2 4 3" xfId="28664"/>
    <cellStyle name="40% - akcent 6 4 3 2 2 5" xfId="28665"/>
    <cellStyle name="40% - akcent 6 4 3 2 2 5 2" xfId="28666"/>
    <cellStyle name="40% - akcent 6 4 3 2 2 6" xfId="28667"/>
    <cellStyle name="40% - akcent 6 4 3 2 3" xfId="28668"/>
    <cellStyle name="40% - akcent 6 4 3 2 3 2" xfId="28669"/>
    <cellStyle name="40% - akcent 6 4 3 2 3 2 2" xfId="28670"/>
    <cellStyle name="40% - akcent 6 4 3 2 3 3" xfId="28671"/>
    <cellStyle name="40% - akcent 6 4 3 2 4" xfId="28672"/>
    <cellStyle name="40% - akcent 6 4 3 2 4 2" xfId="28673"/>
    <cellStyle name="40% - akcent 6 4 3 2 4 2 2" xfId="28674"/>
    <cellStyle name="40% - akcent 6 4 3 2 4 3" xfId="28675"/>
    <cellStyle name="40% - akcent 6 4 3 2 5" xfId="28676"/>
    <cellStyle name="40% - akcent 6 4 3 2 5 2" xfId="28677"/>
    <cellStyle name="40% - akcent 6 4 3 2 5 2 2" xfId="28678"/>
    <cellStyle name="40% - akcent 6 4 3 2 5 3" xfId="28679"/>
    <cellStyle name="40% - akcent 6 4 3 2 6" xfId="28680"/>
    <cellStyle name="40% - akcent 6 4 3 2 6 2" xfId="28681"/>
    <cellStyle name="40% - akcent 6 4 3 2 7" xfId="28682"/>
    <cellStyle name="40% - akcent 6 4 3 3" xfId="28683"/>
    <cellStyle name="40% - akcent 6 4 3 3 2" xfId="28684"/>
    <cellStyle name="40% - akcent 6 4 3 3 2 2" xfId="28685"/>
    <cellStyle name="40% - akcent 6 4 3 3 2 2 2" xfId="28686"/>
    <cellStyle name="40% - akcent 6 4 3 3 2 3" xfId="28687"/>
    <cellStyle name="40% - akcent 6 4 3 3 3" xfId="28688"/>
    <cellStyle name="40% - akcent 6 4 3 3 3 2" xfId="28689"/>
    <cellStyle name="40% - akcent 6 4 3 3 3 2 2" xfId="28690"/>
    <cellStyle name="40% - akcent 6 4 3 3 3 3" xfId="28691"/>
    <cellStyle name="40% - akcent 6 4 3 3 4" xfId="28692"/>
    <cellStyle name="40% - akcent 6 4 3 3 4 2" xfId="28693"/>
    <cellStyle name="40% - akcent 6 4 3 3 4 2 2" xfId="28694"/>
    <cellStyle name="40% - akcent 6 4 3 3 4 3" xfId="28695"/>
    <cellStyle name="40% - akcent 6 4 3 3 5" xfId="28696"/>
    <cellStyle name="40% - akcent 6 4 3 3 5 2" xfId="28697"/>
    <cellStyle name="40% - akcent 6 4 3 3 6" xfId="28698"/>
    <cellStyle name="40% - akcent 6 4 3 4" xfId="28699"/>
    <cellStyle name="40% - akcent 6 4 3 4 2" xfId="28700"/>
    <cellStyle name="40% - akcent 6 4 3 4 2 2" xfId="28701"/>
    <cellStyle name="40% - akcent 6 4 3 4 2 2 2" xfId="28702"/>
    <cellStyle name="40% - akcent 6 4 3 4 2 3" xfId="28703"/>
    <cellStyle name="40% - akcent 6 4 3 4 3" xfId="28704"/>
    <cellStyle name="40% - akcent 6 4 3 4 3 2" xfId="28705"/>
    <cellStyle name="40% - akcent 6 4 3 4 3 2 2" xfId="28706"/>
    <cellStyle name="40% - akcent 6 4 3 4 3 3" xfId="28707"/>
    <cellStyle name="40% - akcent 6 4 3 4 4" xfId="28708"/>
    <cellStyle name="40% - akcent 6 4 3 4 4 2" xfId="28709"/>
    <cellStyle name="40% - akcent 6 4 3 4 4 2 2" xfId="28710"/>
    <cellStyle name="40% - akcent 6 4 3 4 4 3" xfId="28711"/>
    <cellStyle name="40% - akcent 6 4 3 4 5" xfId="28712"/>
    <cellStyle name="40% - akcent 6 4 3 4 5 2" xfId="28713"/>
    <cellStyle name="40% - akcent 6 4 3 4 6" xfId="28714"/>
    <cellStyle name="40% - akcent 6 4 3 5" xfId="28715"/>
    <cellStyle name="40% - akcent 6 4 3 5 2" xfId="28716"/>
    <cellStyle name="40% - akcent 6 4 3 5 2 2" xfId="28717"/>
    <cellStyle name="40% - akcent 6 4 3 5 2 2 2" xfId="28718"/>
    <cellStyle name="40% - akcent 6 4 3 5 2 3" xfId="28719"/>
    <cellStyle name="40% - akcent 6 4 3 5 3" xfId="28720"/>
    <cellStyle name="40% - akcent 6 4 3 5 3 2" xfId="28721"/>
    <cellStyle name="40% - akcent 6 4 3 5 3 2 2" xfId="28722"/>
    <cellStyle name="40% - akcent 6 4 3 5 3 3" xfId="28723"/>
    <cellStyle name="40% - akcent 6 4 3 5 4" xfId="28724"/>
    <cellStyle name="40% - akcent 6 4 3 5 4 2" xfId="28725"/>
    <cellStyle name="40% - akcent 6 4 3 5 4 2 2" xfId="28726"/>
    <cellStyle name="40% - akcent 6 4 3 5 4 3" xfId="28727"/>
    <cellStyle name="40% - akcent 6 4 3 5 5" xfId="28728"/>
    <cellStyle name="40% - akcent 6 4 3 5 5 2" xfId="28729"/>
    <cellStyle name="40% - akcent 6 4 3 5 6" xfId="28730"/>
    <cellStyle name="40% - akcent 6 4 4" xfId="28731"/>
    <cellStyle name="40% - akcent 6 4 4 2" xfId="28732"/>
    <cellStyle name="40% - akcent 6 4 4 2 2" xfId="28733"/>
    <cellStyle name="40% - akcent 6 4 4 2 2 2" xfId="28734"/>
    <cellStyle name="40% - akcent 6 4 4 2 2 2 2" xfId="28735"/>
    <cellStyle name="40% - akcent 6 4 4 2 2 3" xfId="28736"/>
    <cellStyle name="40% - akcent 6 4 4 2 3" xfId="28737"/>
    <cellStyle name="40% - akcent 6 4 4 2 3 2" xfId="28738"/>
    <cellStyle name="40% - akcent 6 4 4 2 3 2 2" xfId="28739"/>
    <cellStyle name="40% - akcent 6 4 4 2 3 3" xfId="28740"/>
    <cellStyle name="40% - akcent 6 4 4 2 4" xfId="28741"/>
    <cellStyle name="40% - akcent 6 4 4 2 4 2" xfId="28742"/>
    <cellStyle name="40% - akcent 6 4 4 2 4 2 2" xfId="28743"/>
    <cellStyle name="40% - akcent 6 4 4 2 4 3" xfId="28744"/>
    <cellStyle name="40% - akcent 6 4 4 2 5" xfId="28745"/>
    <cellStyle name="40% - akcent 6 4 4 2 5 2" xfId="28746"/>
    <cellStyle name="40% - akcent 6 4 4 2 6" xfId="28747"/>
    <cellStyle name="40% - akcent 6 4 4 3" xfId="28748"/>
    <cellStyle name="40% - akcent 6 4 4 3 2" xfId="28749"/>
    <cellStyle name="40% - akcent 6 4 4 3 2 2" xfId="28750"/>
    <cellStyle name="40% - akcent 6 4 4 3 2 2 2" xfId="28751"/>
    <cellStyle name="40% - akcent 6 4 4 3 2 3" xfId="28752"/>
    <cellStyle name="40% - akcent 6 4 4 3 3" xfId="28753"/>
    <cellStyle name="40% - akcent 6 4 4 3 3 2" xfId="28754"/>
    <cellStyle name="40% - akcent 6 4 4 3 3 2 2" xfId="28755"/>
    <cellStyle name="40% - akcent 6 4 4 3 3 3" xfId="28756"/>
    <cellStyle name="40% - akcent 6 4 4 3 4" xfId="28757"/>
    <cellStyle name="40% - akcent 6 4 4 3 4 2" xfId="28758"/>
    <cellStyle name="40% - akcent 6 4 4 3 4 2 2" xfId="28759"/>
    <cellStyle name="40% - akcent 6 4 4 3 4 3" xfId="28760"/>
    <cellStyle name="40% - akcent 6 4 4 3 5" xfId="28761"/>
    <cellStyle name="40% - akcent 6 4 4 3 5 2" xfId="28762"/>
    <cellStyle name="40% - akcent 6 4 4 3 6" xfId="28763"/>
    <cellStyle name="40% - akcent 6 4 5" xfId="28764"/>
    <cellStyle name="40% - akcent 6 4 5 2" xfId="28765"/>
    <cellStyle name="40% - akcent 6 4 5 2 2" xfId="28766"/>
    <cellStyle name="40% - akcent 6 4 5 2 2 2" xfId="28767"/>
    <cellStyle name="40% - akcent 6 4 5 2 3" xfId="28768"/>
    <cellStyle name="40% - akcent 6 4 5 3" xfId="28769"/>
    <cellStyle name="40% - akcent 6 4 5 3 2" xfId="28770"/>
    <cellStyle name="40% - akcent 6 4 5 3 2 2" xfId="28771"/>
    <cellStyle name="40% - akcent 6 4 5 3 3" xfId="28772"/>
    <cellStyle name="40% - akcent 6 4 5 4" xfId="28773"/>
    <cellStyle name="40% - akcent 6 4 5 4 2" xfId="28774"/>
    <cellStyle name="40% - akcent 6 4 5 4 2 2" xfId="28775"/>
    <cellStyle name="40% - akcent 6 4 5 4 3" xfId="28776"/>
    <cellStyle name="40% - akcent 6 4 5 5" xfId="28777"/>
    <cellStyle name="40% - akcent 6 4 5 5 2" xfId="28778"/>
    <cellStyle name="40% - akcent 6 4 5 6" xfId="28779"/>
    <cellStyle name="40% - akcent 6 4 6" xfId="28780"/>
    <cellStyle name="40% - akcent 6 4 6 2" xfId="28781"/>
    <cellStyle name="40% - akcent 6 4 6 2 2" xfId="28782"/>
    <cellStyle name="40% - akcent 6 4 6 2 2 2" xfId="28783"/>
    <cellStyle name="40% - akcent 6 4 6 2 3" xfId="28784"/>
    <cellStyle name="40% - akcent 6 4 6 3" xfId="28785"/>
    <cellStyle name="40% - akcent 6 4 6 3 2" xfId="28786"/>
    <cellStyle name="40% - akcent 6 4 6 3 2 2" xfId="28787"/>
    <cellStyle name="40% - akcent 6 4 6 3 3" xfId="28788"/>
    <cellStyle name="40% - akcent 6 4 6 4" xfId="28789"/>
    <cellStyle name="40% - akcent 6 4 6 4 2" xfId="28790"/>
    <cellStyle name="40% - akcent 6 4 6 4 2 2" xfId="28791"/>
    <cellStyle name="40% - akcent 6 4 6 4 3" xfId="28792"/>
    <cellStyle name="40% - akcent 6 4 6 5" xfId="28793"/>
    <cellStyle name="40% - akcent 6 4 6 5 2" xfId="28794"/>
    <cellStyle name="40% - akcent 6 4 6 6" xfId="28795"/>
    <cellStyle name="40% - akcent 6 4 7" xfId="28796"/>
    <cellStyle name="40% - akcent 6 4 7 2" xfId="28797"/>
    <cellStyle name="40% - akcent 6 4 7 2 2" xfId="28798"/>
    <cellStyle name="40% - akcent 6 4 7 2 2 2" xfId="28799"/>
    <cellStyle name="40% - akcent 6 4 7 2 3" xfId="28800"/>
    <cellStyle name="40% - akcent 6 4 7 3" xfId="28801"/>
    <cellStyle name="40% - akcent 6 4 7 3 2" xfId="28802"/>
    <cellStyle name="40% - akcent 6 4 7 3 2 2" xfId="28803"/>
    <cellStyle name="40% - akcent 6 4 7 3 3" xfId="28804"/>
    <cellStyle name="40% - akcent 6 4 7 4" xfId="28805"/>
    <cellStyle name="40% - akcent 6 4 7 4 2" xfId="28806"/>
    <cellStyle name="40% - akcent 6 4 7 4 2 2" xfId="28807"/>
    <cellStyle name="40% - akcent 6 4 7 4 3" xfId="28808"/>
    <cellStyle name="40% - akcent 6 4 7 5" xfId="28809"/>
    <cellStyle name="40% - akcent 6 4 7 5 2" xfId="28810"/>
    <cellStyle name="40% - akcent 6 4 7 6" xfId="28811"/>
    <cellStyle name="40% - akcent 6 4_2011'05 Raport PGE_DO-CO2" xfId="28812"/>
    <cellStyle name="40% - akcent 6 5" xfId="28813"/>
    <cellStyle name="40% - akcent 6 5 2" xfId="28814"/>
    <cellStyle name="40% - akcent 6 5 2 2" xfId="28815"/>
    <cellStyle name="40% - akcent 6 5 2 2 2" xfId="28816"/>
    <cellStyle name="40% - akcent 6 5 2 2 2 2" xfId="28817"/>
    <cellStyle name="40% - akcent 6 5 2 2 2 2 2" xfId="28818"/>
    <cellStyle name="40% - akcent 6 5 2 2 2 2 2 2" xfId="28819"/>
    <cellStyle name="40% - akcent 6 5 2 2 2 2 3" xfId="28820"/>
    <cellStyle name="40% - akcent 6 5 2 2 2 3" xfId="28821"/>
    <cellStyle name="40% - akcent 6 5 2 2 2 3 2" xfId="28822"/>
    <cellStyle name="40% - akcent 6 5 2 2 2 3 2 2" xfId="28823"/>
    <cellStyle name="40% - akcent 6 5 2 2 2 3 3" xfId="28824"/>
    <cellStyle name="40% - akcent 6 5 2 2 2 4" xfId="28825"/>
    <cellStyle name="40% - akcent 6 5 2 2 2 4 2" xfId="28826"/>
    <cellStyle name="40% - akcent 6 5 2 2 2 4 2 2" xfId="28827"/>
    <cellStyle name="40% - akcent 6 5 2 2 2 4 3" xfId="28828"/>
    <cellStyle name="40% - akcent 6 5 2 2 2 5" xfId="28829"/>
    <cellStyle name="40% - akcent 6 5 2 2 2 5 2" xfId="28830"/>
    <cellStyle name="40% - akcent 6 5 2 2 2 6" xfId="28831"/>
    <cellStyle name="40% - akcent 6 5 2 2 3" xfId="28832"/>
    <cellStyle name="40% - akcent 6 5 2 2 3 2" xfId="28833"/>
    <cellStyle name="40% - akcent 6 5 2 2 3 2 2" xfId="28834"/>
    <cellStyle name="40% - akcent 6 5 2 2 3 3" xfId="28835"/>
    <cellStyle name="40% - akcent 6 5 2 2 4" xfId="28836"/>
    <cellStyle name="40% - akcent 6 5 2 2 4 2" xfId="28837"/>
    <cellStyle name="40% - akcent 6 5 2 2 4 2 2" xfId="28838"/>
    <cellStyle name="40% - akcent 6 5 2 2 4 3" xfId="28839"/>
    <cellStyle name="40% - akcent 6 5 2 2 5" xfId="28840"/>
    <cellStyle name="40% - akcent 6 5 2 2 5 2" xfId="28841"/>
    <cellStyle name="40% - akcent 6 5 2 2 5 2 2" xfId="28842"/>
    <cellStyle name="40% - akcent 6 5 2 2 5 3" xfId="28843"/>
    <cellStyle name="40% - akcent 6 5 2 2 6" xfId="28844"/>
    <cellStyle name="40% - akcent 6 5 2 2 6 2" xfId="28845"/>
    <cellStyle name="40% - akcent 6 5 2 2 7" xfId="28846"/>
    <cellStyle name="40% - akcent 6 5 2 3" xfId="28847"/>
    <cellStyle name="40% - akcent 6 5 2 3 2" xfId="28848"/>
    <cellStyle name="40% - akcent 6 5 2 3 2 2" xfId="28849"/>
    <cellStyle name="40% - akcent 6 5 2 3 2 2 2" xfId="28850"/>
    <cellStyle name="40% - akcent 6 5 2 3 2 3" xfId="28851"/>
    <cellStyle name="40% - akcent 6 5 2 3 3" xfId="28852"/>
    <cellStyle name="40% - akcent 6 5 2 3 3 2" xfId="28853"/>
    <cellStyle name="40% - akcent 6 5 2 3 3 2 2" xfId="28854"/>
    <cellStyle name="40% - akcent 6 5 2 3 3 3" xfId="28855"/>
    <cellStyle name="40% - akcent 6 5 2 3 4" xfId="28856"/>
    <cellStyle name="40% - akcent 6 5 2 3 4 2" xfId="28857"/>
    <cellStyle name="40% - akcent 6 5 2 3 4 2 2" xfId="28858"/>
    <cellStyle name="40% - akcent 6 5 2 3 4 3" xfId="28859"/>
    <cellStyle name="40% - akcent 6 5 2 3 5" xfId="28860"/>
    <cellStyle name="40% - akcent 6 5 2 3 5 2" xfId="28861"/>
    <cellStyle name="40% - akcent 6 5 2 3 6" xfId="28862"/>
    <cellStyle name="40% - akcent 6 5 2 4" xfId="28863"/>
    <cellStyle name="40% - akcent 6 5 2 4 2" xfId="28864"/>
    <cellStyle name="40% - akcent 6 5 2 4 2 2" xfId="28865"/>
    <cellStyle name="40% - akcent 6 5 2 4 2 2 2" xfId="28866"/>
    <cellStyle name="40% - akcent 6 5 2 4 2 3" xfId="28867"/>
    <cellStyle name="40% - akcent 6 5 2 4 3" xfId="28868"/>
    <cellStyle name="40% - akcent 6 5 2 4 3 2" xfId="28869"/>
    <cellStyle name="40% - akcent 6 5 2 4 3 2 2" xfId="28870"/>
    <cellStyle name="40% - akcent 6 5 2 4 3 3" xfId="28871"/>
    <cellStyle name="40% - akcent 6 5 2 4 4" xfId="28872"/>
    <cellStyle name="40% - akcent 6 5 2 4 4 2" xfId="28873"/>
    <cellStyle name="40% - akcent 6 5 2 4 4 2 2" xfId="28874"/>
    <cellStyle name="40% - akcent 6 5 2 4 4 3" xfId="28875"/>
    <cellStyle name="40% - akcent 6 5 2 4 5" xfId="28876"/>
    <cellStyle name="40% - akcent 6 5 2 4 5 2" xfId="28877"/>
    <cellStyle name="40% - akcent 6 5 2 4 6" xfId="28878"/>
    <cellStyle name="40% - akcent 6 5 2 5" xfId="28879"/>
    <cellStyle name="40% - akcent 6 5 2 6" xfId="28880"/>
    <cellStyle name="40% - akcent 6 5 2 6 2" xfId="28881"/>
    <cellStyle name="40% - akcent 6 5 2 6 2 2" xfId="28882"/>
    <cellStyle name="40% - akcent 6 5 2 6 2 2 2" xfId="28883"/>
    <cellStyle name="40% - akcent 6 5 2 6 2 3" xfId="28884"/>
    <cellStyle name="40% - akcent 6 5 2 6 3" xfId="28885"/>
    <cellStyle name="40% - akcent 6 5 2 6 3 2" xfId="28886"/>
    <cellStyle name="40% - akcent 6 5 2 6 3 2 2" xfId="28887"/>
    <cellStyle name="40% - akcent 6 5 2 6 3 3" xfId="28888"/>
    <cellStyle name="40% - akcent 6 5 2 6 4" xfId="28889"/>
    <cellStyle name="40% - akcent 6 5 2 6 4 2" xfId="28890"/>
    <cellStyle name="40% - akcent 6 5 2 6 4 2 2" xfId="28891"/>
    <cellStyle name="40% - akcent 6 5 2 6 4 3" xfId="28892"/>
    <cellStyle name="40% - akcent 6 5 2 6 5" xfId="28893"/>
    <cellStyle name="40% - akcent 6 5 2 6 5 2" xfId="28894"/>
    <cellStyle name="40% - akcent 6 5 2 6 6" xfId="28895"/>
    <cellStyle name="40% - akcent 6 5 3" xfId="28896"/>
    <cellStyle name="40% - akcent 6 5 3 2" xfId="28897"/>
    <cellStyle name="40% - akcent 6 5 3 2 2" xfId="28898"/>
    <cellStyle name="40% - akcent 6 5 3 2 2 2" xfId="28899"/>
    <cellStyle name="40% - akcent 6 5 3 2 2 2 2" xfId="28900"/>
    <cellStyle name="40% - akcent 6 5 3 2 2 3" xfId="28901"/>
    <cellStyle name="40% - akcent 6 5 3 2 3" xfId="28902"/>
    <cellStyle name="40% - akcent 6 5 3 2 3 2" xfId="28903"/>
    <cellStyle name="40% - akcent 6 5 3 2 3 2 2" xfId="28904"/>
    <cellStyle name="40% - akcent 6 5 3 2 3 3" xfId="28905"/>
    <cellStyle name="40% - akcent 6 5 3 2 4" xfId="28906"/>
    <cellStyle name="40% - akcent 6 5 3 2 4 2" xfId="28907"/>
    <cellStyle name="40% - akcent 6 5 3 2 4 2 2" xfId="28908"/>
    <cellStyle name="40% - akcent 6 5 3 2 4 3" xfId="28909"/>
    <cellStyle name="40% - akcent 6 5 3 2 5" xfId="28910"/>
    <cellStyle name="40% - akcent 6 5 3 2 5 2" xfId="28911"/>
    <cellStyle name="40% - akcent 6 5 3 2 6" xfId="28912"/>
    <cellStyle name="40% - akcent 6 5 3 3" xfId="28913"/>
    <cellStyle name="40% - akcent 6 5 3 3 2" xfId="28914"/>
    <cellStyle name="40% - akcent 6 5 3 3 2 2" xfId="28915"/>
    <cellStyle name="40% - akcent 6 5 3 3 3" xfId="28916"/>
    <cellStyle name="40% - akcent 6 5 3 4" xfId="28917"/>
    <cellStyle name="40% - akcent 6 5 3 4 2" xfId="28918"/>
    <cellStyle name="40% - akcent 6 5 3 4 2 2" xfId="28919"/>
    <cellStyle name="40% - akcent 6 5 3 4 3" xfId="28920"/>
    <cellStyle name="40% - akcent 6 5 3 5" xfId="28921"/>
    <cellStyle name="40% - akcent 6 5 3 5 2" xfId="28922"/>
    <cellStyle name="40% - akcent 6 5 3 5 2 2" xfId="28923"/>
    <cellStyle name="40% - akcent 6 5 3 5 3" xfId="28924"/>
    <cellStyle name="40% - akcent 6 5 3 6" xfId="28925"/>
    <cellStyle name="40% - akcent 6 5 3 6 2" xfId="28926"/>
    <cellStyle name="40% - akcent 6 5 3 7" xfId="28927"/>
    <cellStyle name="40% - akcent 6 5 4" xfId="28928"/>
    <cellStyle name="40% - akcent 6 5 4 2" xfId="28929"/>
    <cellStyle name="40% - akcent 6 5 4 2 2" xfId="28930"/>
    <cellStyle name="40% - akcent 6 5 4 2 2 2" xfId="28931"/>
    <cellStyle name="40% - akcent 6 5 4 2 3" xfId="28932"/>
    <cellStyle name="40% - akcent 6 5 4 3" xfId="28933"/>
    <cellStyle name="40% - akcent 6 5 4 3 2" xfId="28934"/>
    <cellStyle name="40% - akcent 6 5 4 3 2 2" xfId="28935"/>
    <cellStyle name="40% - akcent 6 5 4 3 3" xfId="28936"/>
    <cellStyle name="40% - akcent 6 5 4 4" xfId="28937"/>
    <cellStyle name="40% - akcent 6 5 4 4 2" xfId="28938"/>
    <cellStyle name="40% - akcent 6 5 4 4 2 2" xfId="28939"/>
    <cellStyle name="40% - akcent 6 5 4 4 3" xfId="28940"/>
    <cellStyle name="40% - akcent 6 5 4 5" xfId="28941"/>
    <cellStyle name="40% - akcent 6 5 4 5 2" xfId="28942"/>
    <cellStyle name="40% - akcent 6 5 4 6" xfId="28943"/>
    <cellStyle name="40% - akcent 6 5 5" xfId="28944"/>
    <cellStyle name="40% - akcent 6 5 5 2" xfId="28945"/>
    <cellStyle name="40% - akcent 6 5 5 2 2" xfId="28946"/>
    <cellStyle name="40% - akcent 6 5 5 2 2 2" xfId="28947"/>
    <cellStyle name="40% - akcent 6 5 5 2 3" xfId="28948"/>
    <cellStyle name="40% - akcent 6 5 5 3" xfId="28949"/>
    <cellStyle name="40% - akcent 6 5 5 3 2" xfId="28950"/>
    <cellStyle name="40% - akcent 6 5 5 3 2 2" xfId="28951"/>
    <cellStyle name="40% - akcent 6 5 5 3 3" xfId="28952"/>
    <cellStyle name="40% - akcent 6 5 5 4" xfId="28953"/>
    <cellStyle name="40% - akcent 6 5 5 4 2" xfId="28954"/>
    <cellStyle name="40% - akcent 6 5 5 4 2 2" xfId="28955"/>
    <cellStyle name="40% - akcent 6 5 5 4 3" xfId="28956"/>
    <cellStyle name="40% - akcent 6 5 5 5" xfId="28957"/>
    <cellStyle name="40% - akcent 6 5 5 5 2" xfId="28958"/>
    <cellStyle name="40% - akcent 6 5 5 6" xfId="28959"/>
    <cellStyle name="40% - akcent 6 5 6" xfId="28960"/>
    <cellStyle name="40% - akcent 6 5 6 2" xfId="28961"/>
    <cellStyle name="40% - akcent 6 5 6 2 2" xfId="28962"/>
    <cellStyle name="40% - akcent 6 5 6 2 2 2" xfId="28963"/>
    <cellStyle name="40% - akcent 6 5 6 2 3" xfId="28964"/>
    <cellStyle name="40% - akcent 6 5 6 3" xfId="28965"/>
    <cellStyle name="40% - akcent 6 5 6 3 2" xfId="28966"/>
    <cellStyle name="40% - akcent 6 5 6 3 2 2" xfId="28967"/>
    <cellStyle name="40% - akcent 6 5 6 3 3" xfId="28968"/>
    <cellStyle name="40% - akcent 6 5 6 4" xfId="28969"/>
    <cellStyle name="40% - akcent 6 5 6 4 2" xfId="28970"/>
    <cellStyle name="40% - akcent 6 5 6 4 2 2" xfId="28971"/>
    <cellStyle name="40% - akcent 6 5 6 4 3" xfId="28972"/>
    <cellStyle name="40% - akcent 6 5 6 5" xfId="28973"/>
    <cellStyle name="40% - akcent 6 5 6 5 2" xfId="28974"/>
    <cellStyle name="40% - akcent 6 5 6 6" xfId="28975"/>
    <cellStyle name="40% - akcent 6 5 7" xfId="28976"/>
    <cellStyle name="40% - akcent 6 5 8" xfId="28977"/>
    <cellStyle name="40% - akcent 6 5_2011'05 Raport PGE_DO-CO2" xfId="28978"/>
    <cellStyle name="40% - akcent 6 6" xfId="28979"/>
    <cellStyle name="40% - akcent 6 6 2" xfId="28980"/>
    <cellStyle name="40% - akcent 6 6 2 10" xfId="28981"/>
    <cellStyle name="40% - akcent 6 6 2 2" xfId="28982"/>
    <cellStyle name="40% - akcent 6 6 2 2 2" xfId="28983"/>
    <cellStyle name="40% - akcent 6 6 2 2 2 2" xfId="28984"/>
    <cellStyle name="40% - akcent 6 6 2 2 2 2 2" xfId="28985"/>
    <cellStyle name="40% - akcent 6 6 2 2 2 2 2 2" xfId="28986"/>
    <cellStyle name="40% - akcent 6 6 2 2 2 2 3" xfId="28987"/>
    <cellStyle name="40% - akcent 6 6 2 2 2 3" xfId="28988"/>
    <cellStyle name="40% - akcent 6 6 2 2 2 3 2" xfId="28989"/>
    <cellStyle name="40% - akcent 6 6 2 2 2 3 2 2" xfId="28990"/>
    <cellStyle name="40% - akcent 6 6 2 2 2 3 3" xfId="28991"/>
    <cellStyle name="40% - akcent 6 6 2 2 2 4" xfId="28992"/>
    <cellStyle name="40% - akcent 6 6 2 2 2 4 2" xfId="28993"/>
    <cellStyle name="40% - akcent 6 6 2 2 2 4 2 2" xfId="28994"/>
    <cellStyle name="40% - akcent 6 6 2 2 2 4 3" xfId="28995"/>
    <cellStyle name="40% - akcent 6 6 2 2 2 5" xfId="28996"/>
    <cellStyle name="40% - akcent 6 6 2 2 2 5 2" xfId="28997"/>
    <cellStyle name="40% - akcent 6 6 2 2 2 6" xfId="28998"/>
    <cellStyle name="40% - akcent 6 6 2 2 3" xfId="28999"/>
    <cellStyle name="40% - akcent 6 6 2 2 3 2" xfId="29000"/>
    <cellStyle name="40% - akcent 6 6 2 2 3 2 2" xfId="29001"/>
    <cellStyle name="40% - akcent 6 6 2 2 3 3" xfId="29002"/>
    <cellStyle name="40% - akcent 6 6 2 2 4" xfId="29003"/>
    <cellStyle name="40% - akcent 6 6 2 2 4 2" xfId="29004"/>
    <cellStyle name="40% - akcent 6 6 2 2 4 2 2" xfId="29005"/>
    <cellStyle name="40% - akcent 6 6 2 2 4 3" xfId="29006"/>
    <cellStyle name="40% - akcent 6 6 2 2 5" xfId="29007"/>
    <cellStyle name="40% - akcent 6 6 2 2 5 2" xfId="29008"/>
    <cellStyle name="40% - akcent 6 6 2 2 5 2 2" xfId="29009"/>
    <cellStyle name="40% - akcent 6 6 2 2 5 3" xfId="29010"/>
    <cellStyle name="40% - akcent 6 6 2 2 6" xfId="29011"/>
    <cellStyle name="40% - akcent 6 6 2 2 6 2" xfId="29012"/>
    <cellStyle name="40% - akcent 6 6 2 2 7" xfId="29013"/>
    <cellStyle name="40% - akcent 6 6 2 3" xfId="29014"/>
    <cellStyle name="40% - akcent 6 6 2 3 2" xfId="29015"/>
    <cellStyle name="40% - akcent 6 6 2 3 2 2" xfId="29016"/>
    <cellStyle name="40% - akcent 6 6 2 3 2 2 2" xfId="29017"/>
    <cellStyle name="40% - akcent 6 6 2 3 2 3" xfId="29018"/>
    <cellStyle name="40% - akcent 6 6 2 3 3" xfId="29019"/>
    <cellStyle name="40% - akcent 6 6 2 3 3 2" xfId="29020"/>
    <cellStyle name="40% - akcent 6 6 2 3 3 2 2" xfId="29021"/>
    <cellStyle name="40% - akcent 6 6 2 3 3 3" xfId="29022"/>
    <cellStyle name="40% - akcent 6 6 2 3 4" xfId="29023"/>
    <cellStyle name="40% - akcent 6 6 2 3 4 2" xfId="29024"/>
    <cellStyle name="40% - akcent 6 6 2 3 4 2 2" xfId="29025"/>
    <cellStyle name="40% - akcent 6 6 2 3 4 3" xfId="29026"/>
    <cellStyle name="40% - akcent 6 6 2 3 5" xfId="29027"/>
    <cellStyle name="40% - akcent 6 6 2 3 5 2" xfId="29028"/>
    <cellStyle name="40% - akcent 6 6 2 3 6" xfId="29029"/>
    <cellStyle name="40% - akcent 6 6 2 4" xfId="29030"/>
    <cellStyle name="40% - akcent 6 6 2 4 2" xfId="29031"/>
    <cellStyle name="40% - akcent 6 6 2 4 2 2" xfId="29032"/>
    <cellStyle name="40% - akcent 6 6 2 4 2 2 2" xfId="29033"/>
    <cellStyle name="40% - akcent 6 6 2 4 2 3" xfId="29034"/>
    <cellStyle name="40% - akcent 6 6 2 4 3" xfId="29035"/>
    <cellStyle name="40% - akcent 6 6 2 4 3 2" xfId="29036"/>
    <cellStyle name="40% - akcent 6 6 2 4 3 2 2" xfId="29037"/>
    <cellStyle name="40% - akcent 6 6 2 4 3 3" xfId="29038"/>
    <cellStyle name="40% - akcent 6 6 2 4 4" xfId="29039"/>
    <cellStyle name="40% - akcent 6 6 2 4 4 2" xfId="29040"/>
    <cellStyle name="40% - akcent 6 6 2 4 4 2 2" xfId="29041"/>
    <cellStyle name="40% - akcent 6 6 2 4 4 3" xfId="29042"/>
    <cellStyle name="40% - akcent 6 6 2 4 5" xfId="29043"/>
    <cellStyle name="40% - akcent 6 6 2 4 5 2" xfId="29044"/>
    <cellStyle name="40% - akcent 6 6 2 4 6" xfId="29045"/>
    <cellStyle name="40% - akcent 6 6 2 5" xfId="29046"/>
    <cellStyle name="40% - akcent 6 6 2 6" xfId="29047"/>
    <cellStyle name="40% - akcent 6 6 2 6 2" xfId="29048"/>
    <cellStyle name="40% - akcent 6 6 2 6 2 2" xfId="29049"/>
    <cellStyle name="40% - akcent 6 6 2 6 3" xfId="29050"/>
    <cellStyle name="40% - akcent 6 6 2 7" xfId="29051"/>
    <cellStyle name="40% - akcent 6 6 2 7 2" xfId="29052"/>
    <cellStyle name="40% - akcent 6 6 2 7 2 2" xfId="29053"/>
    <cellStyle name="40% - akcent 6 6 2 7 3" xfId="29054"/>
    <cellStyle name="40% - akcent 6 6 2 8" xfId="29055"/>
    <cellStyle name="40% - akcent 6 6 2 8 2" xfId="29056"/>
    <cellStyle name="40% - akcent 6 6 2 8 2 2" xfId="29057"/>
    <cellStyle name="40% - akcent 6 6 2 8 3" xfId="29058"/>
    <cellStyle name="40% - akcent 6 6 2 9" xfId="29059"/>
    <cellStyle name="40% - akcent 6 6 2 9 2" xfId="29060"/>
    <cellStyle name="40% - akcent 6 6 3" xfId="29061"/>
    <cellStyle name="40% - akcent 6 6 3 2" xfId="29062"/>
    <cellStyle name="40% - akcent 6 6 3 2 2" xfId="29063"/>
    <cellStyle name="40% - akcent 6 6 3 2 2 2" xfId="29064"/>
    <cellStyle name="40% - akcent 6 6 3 2 2 2 2" xfId="29065"/>
    <cellStyle name="40% - akcent 6 6 3 2 2 3" xfId="29066"/>
    <cellStyle name="40% - akcent 6 6 3 2 3" xfId="29067"/>
    <cellStyle name="40% - akcent 6 6 3 2 3 2" xfId="29068"/>
    <cellStyle name="40% - akcent 6 6 3 2 3 2 2" xfId="29069"/>
    <cellStyle name="40% - akcent 6 6 3 2 3 3" xfId="29070"/>
    <cellStyle name="40% - akcent 6 6 3 2 4" xfId="29071"/>
    <cellStyle name="40% - akcent 6 6 3 2 4 2" xfId="29072"/>
    <cellStyle name="40% - akcent 6 6 3 2 4 2 2" xfId="29073"/>
    <cellStyle name="40% - akcent 6 6 3 2 4 3" xfId="29074"/>
    <cellStyle name="40% - akcent 6 6 3 2 5" xfId="29075"/>
    <cellStyle name="40% - akcent 6 6 3 2 5 2" xfId="29076"/>
    <cellStyle name="40% - akcent 6 6 3 2 6" xfId="29077"/>
    <cellStyle name="40% - akcent 6 6 3 3" xfId="29078"/>
    <cellStyle name="40% - akcent 6 6 3 3 2" xfId="29079"/>
    <cellStyle name="40% - akcent 6 6 3 3 2 2" xfId="29080"/>
    <cellStyle name="40% - akcent 6 6 3 3 3" xfId="29081"/>
    <cellStyle name="40% - akcent 6 6 3 4" xfId="29082"/>
    <cellStyle name="40% - akcent 6 6 3 4 2" xfId="29083"/>
    <cellStyle name="40% - akcent 6 6 3 4 2 2" xfId="29084"/>
    <cellStyle name="40% - akcent 6 6 3 4 3" xfId="29085"/>
    <cellStyle name="40% - akcent 6 6 3 5" xfId="29086"/>
    <cellStyle name="40% - akcent 6 6 3 5 2" xfId="29087"/>
    <cellStyle name="40% - akcent 6 6 3 5 2 2" xfId="29088"/>
    <cellStyle name="40% - akcent 6 6 3 5 3" xfId="29089"/>
    <cellStyle name="40% - akcent 6 6 3 6" xfId="29090"/>
    <cellStyle name="40% - akcent 6 6 3 6 2" xfId="29091"/>
    <cellStyle name="40% - akcent 6 6 3 7" xfId="29092"/>
    <cellStyle name="40% - akcent 6 6 4" xfId="29093"/>
    <cellStyle name="40% - akcent 6 6 4 2" xfId="29094"/>
    <cellStyle name="40% - akcent 6 6 4 2 2" xfId="29095"/>
    <cellStyle name="40% - akcent 6 6 4 2 2 2" xfId="29096"/>
    <cellStyle name="40% - akcent 6 6 4 2 3" xfId="29097"/>
    <cellStyle name="40% - akcent 6 6 4 3" xfId="29098"/>
    <cellStyle name="40% - akcent 6 6 4 3 2" xfId="29099"/>
    <cellStyle name="40% - akcent 6 6 4 3 2 2" xfId="29100"/>
    <cellStyle name="40% - akcent 6 6 4 3 3" xfId="29101"/>
    <cellStyle name="40% - akcent 6 6 4 4" xfId="29102"/>
    <cellStyle name="40% - akcent 6 6 4 4 2" xfId="29103"/>
    <cellStyle name="40% - akcent 6 6 4 4 2 2" xfId="29104"/>
    <cellStyle name="40% - akcent 6 6 4 4 3" xfId="29105"/>
    <cellStyle name="40% - akcent 6 6 4 5" xfId="29106"/>
    <cellStyle name="40% - akcent 6 6 4 5 2" xfId="29107"/>
    <cellStyle name="40% - akcent 6 6 4 6" xfId="29108"/>
    <cellStyle name="40% - akcent 6 6 5" xfId="29109"/>
    <cellStyle name="40% - akcent 6 6 5 2" xfId="29110"/>
    <cellStyle name="40% - akcent 6 6 5 2 2" xfId="29111"/>
    <cellStyle name="40% - akcent 6 6 5 2 2 2" xfId="29112"/>
    <cellStyle name="40% - akcent 6 6 5 2 3" xfId="29113"/>
    <cellStyle name="40% - akcent 6 6 5 3" xfId="29114"/>
    <cellStyle name="40% - akcent 6 6 5 3 2" xfId="29115"/>
    <cellStyle name="40% - akcent 6 6 5 3 2 2" xfId="29116"/>
    <cellStyle name="40% - akcent 6 6 5 3 3" xfId="29117"/>
    <cellStyle name="40% - akcent 6 6 5 4" xfId="29118"/>
    <cellStyle name="40% - akcent 6 6 5 4 2" xfId="29119"/>
    <cellStyle name="40% - akcent 6 6 5 4 2 2" xfId="29120"/>
    <cellStyle name="40% - akcent 6 6 5 4 3" xfId="29121"/>
    <cellStyle name="40% - akcent 6 6 5 5" xfId="29122"/>
    <cellStyle name="40% - akcent 6 6 5 5 2" xfId="29123"/>
    <cellStyle name="40% - akcent 6 6 5 6" xfId="29124"/>
    <cellStyle name="40% - akcent 6 6 6" xfId="29125"/>
    <cellStyle name="40% - akcent 6 6 7" xfId="29126"/>
    <cellStyle name="40% - akcent 6 6 7 2" xfId="29127"/>
    <cellStyle name="40% - akcent 6 6 7 2 2" xfId="29128"/>
    <cellStyle name="40% - akcent 6 6 7 2 2 2" xfId="29129"/>
    <cellStyle name="40% - akcent 6 6 7 2 3" xfId="29130"/>
    <cellStyle name="40% - akcent 6 6 7 3" xfId="29131"/>
    <cellStyle name="40% - akcent 6 6 7 3 2" xfId="29132"/>
    <cellStyle name="40% - akcent 6 6 7 3 2 2" xfId="29133"/>
    <cellStyle name="40% - akcent 6 6 7 3 3" xfId="29134"/>
    <cellStyle name="40% - akcent 6 6 7 4" xfId="29135"/>
    <cellStyle name="40% - akcent 6 6 7 4 2" xfId="29136"/>
    <cellStyle name="40% - akcent 6 6 7 4 2 2" xfId="29137"/>
    <cellStyle name="40% - akcent 6 6 7 4 3" xfId="29138"/>
    <cellStyle name="40% - akcent 6 6 7 5" xfId="29139"/>
    <cellStyle name="40% - akcent 6 6 7 5 2" xfId="29140"/>
    <cellStyle name="40% - akcent 6 6 7 6" xfId="29141"/>
    <cellStyle name="40% - akcent 6 6_Arkusz1" xfId="29142"/>
    <cellStyle name="40% - akcent 6 7" xfId="29143"/>
    <cellStyle name="40% - akcent 6 7 2" xfId="29144"/>
    <cellStyle name="40% - akcent 6 7 2 10" xfId="29145"/>
    <cellStyle name="40% - akcent 6 7 2 2" xfId="29146"/>
    <cellStyle name="40% - akcent 6 7 2 2 2" xfId="29147"/>
    <cellStyle name="40% - akcent 6 7 2 2 2 2" xfId="29148"/>
    <cellStyle name="40% - akcent 6 7 2 2 2 2 2" xfId="29149"/>
    <cellStyle name="40% - akcent 6 7 2 2 2 2 2 2" xfId="29150"/>
    <cellStyle name="40% - akcent 6 7 2 2 2 2 3" xfId="29151"/>
    <cellStyle name="40% - akcent 6 7 2 2 2 3" xfId="29152"/>
    <cellStyle name="40% - akcent 6 7 2 2 2 3 2" xfId="29153"/>
    <cellStyle name="40% - akcent 6 7 2 2 2 3 2 2" xfId="29154"/>
    <cellStyle name="40% - akcent 6 7 2 2 2 3 3" xfId="29155"/>
    <cellStyle name="40% - akcent 6 7 2 2 2 4" xfId="29156"/>
    <cellStyle name="40% - akcent 6 7 2 2 2 4 2" xfId="29157"/>
    <cellStyle name="40% - akcent 6 7 2 2 2 4 2 2" xfId="29158"/>
    <cellStyle name="40% - akcent 6 7 2 2 2 4 3" xfId="29159"/>
    <cellStyle name="40% - akcent 6 7 2 2 2 5" xfId="29160"/>
    <cellStyle name="40% - akcent 6 7 2 2 2 5 2" xfId="29161"/>
    <cellStyle name="40% - akcent 6 7 2 2 2 6" xfId="29162"/>
    <cellStyle name="40% - akcent 6 7 2 2 3" xfId="29163"/>
    <cellStyle name="40% - akcent 6 7 2 2 3 2" xfId="29164"/>
    <cellStyle name="40% - akcent 6 7 2 2 3 2 2" xfId="29165"/>
    <cellStyle name="40% - akcent 6 7 2 2 3 3" xfId="29166"/>
    <cellStyle name="40% - akcent 6 7 2 2 4" xfId="29167"/>
    <cellStyle name="40% - akcent 6 7 2 2 4 2" xfId="29168"/>
    <cellStyle name="40% - akcent 6 7 2 2 4 2 2" xfId="29169"/>
    <cellStyle name="40% - akcent 6 7 2 2 4 3" xfId="29170"/>
    <cellStyle name="40% - akcent 6 7 2 2 5" xfId="29171"/>
    <cellStyle name="40% - akcent 6 7 2 2 5 2" xfId="29172"/>
    <cellStyle name="40% - akcent 6 7 2 2 5 2 2" xfId="29173"/>
    <cellStyle name="40% - akcent 6 7 2 2 5 3" xfId="29174"/>
    <cellStyle name="40% - akcent 6 7 2 2 6" xfId="29175"/>
    <cellStyle name="40% - akcent 6 7 2 2 6 2" xfId="29176"/>
    <cellStyle name="40% - akcent 6 7 2 2 7" xfId="29177"/>
    <cellStyle name="40% - akcent 6 7 2 3" xfId="29178"/>
    <cellStyle name="40% - akcent 6 7 2 3 2" xfId="29179"/>
    <cellStyle name="40% - akcent 6 7 2 3 2 2" xfId="29180"/>
    <cellStyle name="40% - akcent 6 7 2 3 2 2 2" xfId="29181"/>
    <cellStyle name="40% - akcent 6 7 2 3 2 3" xfId="29182"/>
    <cellStyle name="40% - akcent 6 7 2 3 3" xfId="29183"/>
    <cellStyle name="40% - akcent 6 7 2 3 3 2" xfId="29184"/>
    <cellStyle name="40% - akcent 6 7 2 3 3 2 2" xfId="29185"/>
    <cellStyle name="40% - akcent 6 7 2 3 3 3" xfId="29186"/>
    <cellStyle name="40% - akcent 6 7 2 3 4" xfId="29187"/>
    <cellStyle name="40% - akcent 6 7 2 3 4 2" xfId="29188"/>
    <cellStyle name="40% - akcent 6 7 2 3 4 2 2" xfId="29189"/>
    <cellStyle name="40% - akcent 6 7 2 3 4 3" xfId="29190"/>
    <cellStyle name="40% - akcent 6 7 2 3 5" xfId="29191"/>
    <cellStyle name="40% - akcent 6 7 2 3 5 2" xfId="29192"/>
    <cellStyle name="40% - akcent 6 7 2 3 6" xfId="29193"/>
    <cellStyle name="40% - akcent 6 7 2 4" xfId="29194"/>
    <cellStyle name="40% - akcent 6 7 2 4 2" xfId="29195"/>
    <cellStyle name="40% - akcent 6 7 2 4 2 2" xfId="29196"/>
    <cellStyle name="40% - akcent 6 7 2 4 2 2 2" xfId="29197"/>
    <cellStyle name="40% - akcent 6 7 2 4 2 3" xfId="29198"/>
    <cellStyle name="40% - akcent 6 7 2 4 3" xfId="29199"/>
    <cellStyle name="40% - akcent 6 7 2 4 3 2" xfId="29200"/>
    <cellStyle name="40% - akcent 6 7 2 4 3 2 2" xfId="29201"/>
    <cellStyle name="40% - akcent 6 7 2 4 3 3" xfId="29202"/>
    <cellStyle name="40% - akcent 6 7 2 4 4" xfId="29203"/>
    <cellStyle name="40% - akcent 6 7 2 4 4 2" xfId="29204"/>
    <cellStyle name="40% - akcent 6 7 2 4 4 2 2" xfId="29205"/>
    <cellStyle name="40% - akcent 6 7 2 4 4 3" xfId="29206"/>
    <cellStyle name="40% - akcent 6 7 2 4 5" xfId="29207"/>
    <cellStyle name="40% - akcent 6 7 2 4 5 2" xfId="29208"/>
    <cellStyle name="40% - akcent 6 7 2 4 6" xfId="29209"/>
    <cellStyle name="40% - akcent 6 7 2 5" xfId="29210"/>
    <cellStyle name="40% - akcent 6 7 2 6" xfId="29211"/>
    <cellStyle name="40% - akcent 6 7 2 6 2" xfId="29212"/>
    <cellStyle name="40% - akcent 6 7 2 6 2 2" xfId="29213"/>
    <cellStyle name="40% - akcent 6 7 2 6 3" xfId="29214"/>
    <cellStyle name="40% - akcent 6 7 2 7" xfId="29215"/>
    <cellStyle name="40% - akcent 6 7 2 7 2" xfId="29216"/>
    <cellStyle name="40% - akcent 6 7 2 7 2 2" xfId="29217"/>
    <cellStyle name="40% - akcent 6 7 2 7 3" xfId="29218"/>
    <cellStyle name="40% - akcent 6 7 2 8" xfId="29219"/>
    <cellStyle name="40% - akcent 6 7 2 8 2" xfId="29220"/>
    <cellStyle name="40% - akcent 6 7 2 8 2 2" xfId="29221"/>
    <cellStyle name="40% - akcent 6 7 2 8 3" xfId="29222"/>
    <cellStyle name="40% - akcent 6 7 2 9" xfId="29223"/>
    <cellStyle name="40% - akcent 6 7 2 9 2" xfId="29224"/>
    <cellStyle name="40% - akcent 6 7 3" xfId="29225"/>
    <cellStyle name="40% - akcent 6 7 3 2" xfId="29226"/>
    <cellStyle name="40% - akcent 6 7 3 2 2" xfId="29227"/>
    <cellStyle name="40% - akcent 6 7 3 2 2 2" xfId="29228"/>
    <cellStyle name="40% - akcent 6 7 3 2 2 2 2" xfId="29229"/>
    <cellStyle name="40% - akcent 6 7 3 2 2 3" xfId="29230"/>
    <cellStyle name="40% - akcent 6 7 3 2 3" xfId="29231"/>
    <cellStyle name="40% - akcent 6 7 3 2 3 2" xfId="29232"/>
    <cellStyle name="40% - akcent 6 7 3 2 3 2 2" xfId="29233"/>
    <cellStyle name="40% - akcent 6 7 3 2 3 3" xfId="29234"/>
    <cellStyle name="40% - akcent 6 7 3 2 4" xfId="29235"/>
    <cellStyle name="40% - akcent 6 7 3 2 4 2" xfId="29236"/>
    <cellStyle name="40% - akcent 6 7 3 2 4 2 2" xfId="29237"/>
    <cellStyle name="40% - akcent 6 7 3 2 4 3" xfId="29238"/>
    <cellStyle name="40% - akcent 6 7 3 2 5" xfId="29239"/>
    <cellStyle name="40% - akcent 6 7 3 2 5 2" xfId="29240"/>
    <cellStyle name="40% - akcent 6 7 3 2 6" xfId="29241"/>
    <cellStyle name="40% - akcent 6 7 3 3" xfId="29242"/>
    <cellStyle name="40% - akcent 6 7 3 3 2" xfId="29243"/>
    <cellStyle name="40% - akcent 6 7 3 3 2 2" xfId="29244"/>
    <cellStyle name="40% - akcent 6 7 3 3 3" xfId="29245"/>
    <cellStyle name="40% - akcent 6 7 3 4" xfId="29246"/>
    <cellStyle name="40% - akcent 6 7 3 4 2" xfId="29247"/>
    <cellStyle name="40% - akcent 6 7 3 4 2 2" xfId="29248"/>
    <cellStyle name="40% - akcent 6 7 3 4 3" xfId="29249"/>
    <cellStyle name="40% - akcent 6 7 3 5" xfId="29250"/>
    <cellStyle name="40% - akcent 6 7 3 5 2" xfId="29251"/>
    <cellStyle name="40% - akcent 6 7 3 5 2 2" xfId="29252"/>
    <cellStyle name="40% - akcent 6 7 3 5 3" xfId="29253"/>
    <cellStyle name="40% - akcent 6 7 3 6" xfId="29254"/>
    <cellStyle name="40% - akcent 6 7 3 6 2" xfId="29255"/>
    <cellStyle name="40% - akcent 6 7 3 7" xfId="29256"/>
    <cellStyle name="40% - akcent 6 7 4" xfId="29257"/>
    <cellStyle name="40% - akcent 6 7 4 2" xfId="29258"/>
    <cellStyle name="40% - akcent 6 7 4 2 2" xfId="29259"/>
    <cellStyle name="40% - akcent 6 7 4 2 2 2" xfId="29260"/>
    <cellStyle name="40% - akcent 6 7 4 2 3" xfId="29261"/>
    <cellStyle name="40% - akcent 6 7 4 3" xfId="29262"/>
    <cellStyle name="40% - akcent 6 7 4 3 2" xfId="29263"/>
    <cellStyle name="40% - akcent 6 7 4 3 2 2" xfId="29264"/>
    <cellStyle name="40% - akcent 6 7 4 3 3" xfId="29265"/>
    <cellStyle name="40% - akcent 6 7 4 4" xfId="29266"/>
    <cellStyle name="40% - akcent 6 7 4 4 2" xfId="29267"/>
    <cellStyle name="40% - akcent 6 7 4 4 2 2" xfId="29268"/>
    <cellStyle name="40% - akcent 6 7 4 4 3" xfId="29269"/>
    <cellStyle name="40% - akcent 6 7 4 5" xfId="29270"/>
    <cellStyle name="40% - akcent 6 7 4 5 2" xfId="29271"/>
    <cellStyle name="40% - akcent 6 7 4 6" xfId="29272"/>
    <cellStyle name="40% - akcent 6 7 5" xfId="29273"/>
    <cellStyle name="40% - akcent 6 7 5 2" xfId="29274"/>
    <cellStyle name="40% - akcent 6 7 5 2 2" xfId="29275"/>
    <cellStyle name="40% - akcent 6 7 5 2 2 2" xfId="29276"/>
    <cellStyle name="40% - akcent 6 7 5 2 3" xfId="29277"/>
    <cellStyle name="40% - akcent 6 7 5 3" xfId="29278"/>
    <cellStyle name="40% - akcent 6 7 5 3 2" xfId="29279"/>
    <cellStyle name="40% - akcent 6 7 5 3 2 2" xfId="29280"/>
    <cellStyle name="40% - akcent 6 7 5 3 3" xfId="29281"/>
    <cellStyle name="40% - akcent 6 7 5 4" xfId="29282"/>
    <cellStyle name="40% - akcent 6 7 5 4 2" xfId="29283"/>
    <cellStyle name="40% - akcent 6 7 5 4 2 2" xfId="29284"/>
    <cellStyle name="40% - akcent 6 7 5 4 3" xfId="29285"/>
    <cellStyle name="40% - akcent 6 7 5 5" xfId="29286"/>
    <cellStyle name="40% - akcent 6 7 5 5 2" xfId="29287"/>
    <cellStyle name="40% - akcent 6 7 5 6" xfId="29288"/>
    <cellStyle name="40% - akcent 6 7 6" xfId="29289"/>
    <cellStyle name="40% - akcent 6 7 7" xfId="29290"/>
    <cellStyle name="40% - akcent 6 7 7 2" xfId="29291"/>
    <cellStyle name="40% - akcent 6 7 7 2 2" xfId="29292"/>
    <cellStyle name="40% - akcent 6 7 7 2 2 2" xfId="29293"/>
    <cellStyle name="40% - akcent 6 7 7 2 3" xfId="29294"/>
    <cellStyle name="40% - akcent 6 7 7 3" xfId="29295"/>
    <cellStyle name="40% - akcent 6 7 7 3 2" xfId="29296"/>
    <cellStyle name="40% - akcent 6 7 7 3 2 2" xfId="29297"/>
    <cellStyle name="40% - akcent 6 7 7 3 3" xfId="29298"/>
    <cellStyle name="40% - akcent 6 7 7 4" xfId="29299"/>
    <cellStyle name="40% - akcent 6 7 7 4 2" xfId="29300"/>
    <cellStyle name="40% - akcent 6 7 7 4 2 2" xfId="29301"/>
    <cellStyle name="40% - akcent 6 7 7 4 3" xfId="29302"/>
    <cellStyle name="40% - akcent 6 7 7 5" xfId="29303"/>
    <cellStyle name="40% - akcent 6 7 7 5 2" xfId="29304"/>
    <cellStyle name="40% - akcent 6 7 7 6" xfId="29305"/>
    <cellStyle name="40% - akcent 6 7_Arkusz1" xfId="29306"/>
    <cellStyle name="40% - akcent 6 8" xfId="29307"/>
    <cellStyle name="40% - akcent 6 8 2" xfId="29308"/>
    <cellStyle name="40% - akcent 6 8 3" xfId="29309"/>
    <cellStyle name="40% - akcent 6 8_Arkusz1" xfId="29310"/>
    <cellStyle name="40% - akcent 6 9" xfId="29311"/>
    <cellStyle name="40% - akcent 6 9 2" xfId="29312"/>
    <cellStyle name="40% - akcent 6 9_Arkusz1" xfId="29313"/>
    <cellStyle name="60% - Accent1" xfId="29314"/>
    <cellStyle name="60% - Accent1 2" xfId="29315"/>
    <cellStyle name="60% - Accent1 2 2" xfId="29316"/>
    <cellStyle name="60% - Accent1 2 3" xfId="42972"/>
    <cellStyle name="60% - Accent1 3" xfId="29317"/>
    <cellStyle name="60% - Accent2" xfId="29318"/>
    <cellStyle name="60% - Accent2 2" xfId="29319"/>
    <cellStyle name="60% - Accent2 2 2" xfId="29320"/>
    <cellStyle name="60% - Accent2 2 3" xfId="42973"/>
    <cellStyle name="60% - Accent2 3" xfId="29321"/>
    <cellStyle name="60% - Accent3" xfId="29322"/>
    <cellStyle name="60% - Accent3 2" xfId="29323"/>
    <cellStyle name="60% - Accent3 2 2" xfId="29324"/>
    <cellStyle name="60% - Accent3 2 3" xfId="42974"/>
    <cellStyle name="60% - Accent3 3" xfId="29325"/>
    <cellStyle name="60% - Accent4" xfId="29326"/>
    <cellStyle name="60% - Accent4 2" xfId="29327"/>
    <cellStyle name="60% - Accent4 2 2" xfId="29328"/>
    <cellStyle name="60% - Accent4 2 3" xfId="42975"/>
    <cellStyle name="60% - Accent4 3" xfId="29329"/>
    <cellStyle name="60% - Accent5" xfId="29330"/>
    <cellStyle name="60% - Accent5 2" xfId="29331"/>
    <cellStyle name="60% - Accent5 2 2" xfId="29332"/>
    <cellStyle name="60% - Accent5 2 3" xfId="42976"/>
    <cellStyle name="60% - Accent5 3" xfId="29333"/>
    <cellStyle name="60% - Accent6" xfId="29334"/>
    <cellStyle name="60% - Accent6 2" xfId="29335"/>
    <cellStyle name="60% - Accent6 2 2" xfId="29336"/>
    <cellStyle name="60% - Accent6 2 3" xfId="42977"/>
    <cellStyle name="60% - Accent6 3" xfId="29337"/>
    <cellStyle name="60% - akcent 1 10" xfId="29338"/>
    <cellStyle name="60% - akcent 1 2" xfId="29339"/>
    <cellStyle name="60% - akcent 1 2 2" xfId="29340"/>
    <cellStyle name="60% - akcent 1 2 2 2" xfId="29341"/>
    <cellStyle name="60% - akcent 1 2 3" xfId="29342"/>
    <cellStyle name="60% - akcent 1 2 4" xfId="29343"/>
    <cellStyle name="60% - akcent 1 2 5" xfId="29344"/>
    <cellStyle name="60% - akcent 1 2 6" xfId="29345"/>
    <cellStyle name="60% - akcent 1 2 7" xfId="29346"/>
    <cellStyle name="60% - akcent 1 2 8" xfId="29347"/>
    <cellStyle name="60% - akcent 1 2 9" xfId="29348"/>
    <cellStyle name="60% - akcent 1 2 9 2" xfId="29349"/>
    <cellStyle name="60% - akcent 1 3" xfId="29350"/>
    <cellStyle name="60% - akcent 1 4" xfId="29351"/>
    <cellStyle name="60% - akcent 1 4 2" xfId="29352"/>
    <cellStyle name="60% - akcent 1 4 3" xfId="29353"/>
    <cellStyle name="60% - akcent 1 5" xfId="29354"/>
    <cellStyle name="60% - akcent 1 5 2" xfId="29355"/>
    <cellStyle name="60% - akcent 1 5 3" xfId="29356"/>
    <cellStyle name="60% - akcent 1 6" xfId="29357"/>
    <cellStyle name="60% - akcent 1 7" xfId="29358"/>
    <cellStyle name="60% - akcent 1 8" xfId="29359"/>
    <cellStyle name="60% - akcent 1 8 2" xfId="29360"/>
    <cellStyle name="60% - akcent 1 9" xfId="29361"/>
    <cellStyle name="60% - akcent 2 10" xfId="29362"/>
    <cellStyle name="60% - akcent 2 2" xfId="29363"/>
    <cellStyle name="60% - akcent 2 2 2" xfId="29364"/>
    <cellStyle name="60% - akcent 2 2 2 2" xfId="29365"/>
    <cellStyle name="60% - akcent 2 2 3" xfId="29366"/>
    <cellStyle name="60% - akcent 2 2 4" xfId="29367"/>
    <cellStyle name="60% - akcent 2 2 5" xfId="29368"/>
    <cellStyle name="60% - akcent 2 2 6" xfId="29369"/>
    <cellStyle name="60% - akcent 2 2 7" xfId="29370"/>
    <cellStyle name="60% - akcent 2 2 8" xfId="29371"/>
    <cellStyle name="60% - akcent 2 2 9" xfId="29372"/>
    <cellStyle name="60% - akcent 2 2 9 2" xfId="29373"/>
    <cellStyle name="60% - akcent 2 3" xfId="29374"/>
    <cellStyle name="60% - akcent 2 4" xfId="29375"/>
    <cellStyle name="60% - akcent 2 4 2" xfId="29376"/>
    <cellStyle name="60% - akcent 2 4 3" xfId="29377"/>
    <cellStyle name="60% - akcent 2 5" xfId="29378"/>
    <cellStyle name="60% - akcent 2 5 2" xfId="29379"/>
    <cellStyle name="60% - akcent 2 5 3" xfId="29380"/>
    <cellStyle name="60% - akcent 2 6" xfId="29381"/>
    <cellStyle name="60% - akcent 2 7" xfId="29382"/>
    <cellStyle name="60% - akcent 2 8" xfId="29383"/>
    <cellStyle name="60% - akcent 2 8 2" xfId="29384"/>
    <cellStyle name="60% - akcent 2 9" xfId="29385"/>
    <cellStyle name="60% - akcent 3 10" xfId="29386"/>
    <cellStyle name="60% - akcent 3 2" xfId="29387"/>
    <cellStyle name="60% - akcent 3 2 2" xfId="29388"/>
    <cellStyle name="60% - akcent 3 2 2 2" xfId="29389"/>
    <cellStyle name="60% - akcent 3 2 3" xfId="29390"/>
    <cellStyle name="60% - akcent 3 2 4" xfId="29391"/>
    <cellStyle name="60% - akcent 3 2 5" xfId="29392"/>
    <cellStyle name="60% - akcent 3 2 6" xfId="29393"/>
    <cellStyle name="60% - akcent 3 2 7" xfId="29394"/>
    <cellStyle name="60% - akcent 3 2 8" xfId="29395"/>
    <cellStyle name="60% - akcent 3 2 9" xfId="29396"/>
    <cellStyle name="60% - akcent 3 2 9 2" xfId="29397"/>
    <cellStyle name="60% - akcent 3 3" xfId="29398"/>
    <cellStyle name="60% - akcent 3 4" xfId="29399"/>
    <cellStyle name="60% - akcent 3 4 2" xfId="29400"/>
    <cellStyle name="60% - akcent 3 4 3" xfId="29401"/>
    <cellStyle name="60% - akcent 3 5" xfId="29402"/>
    <cellStyle name="60% - akcent 3 5 2" xfId="29403"/>
    <cellStyle name="60% - akcent 3 5 3" xfId="29404"/>
    <cellStyle name="60% - akcent 3 6" xfId="29405"/>
    <cellStyle name="60% - akcent 3 7" xfId="29406"/>
    <cellStyle name="60% - akcent 3 8" xfId="29407"/>
    <cellStyle name="60% - akcent 3 8 2" xfId="29408"/>
    <cellStyle name="60% - akcent 3 9" xfId="29409"/>
    <cellStyle name="60% - akcent 4 10" xfId="29410"/>
    <cellStyle name="60% - akcent 4 2" xfId="29411"/>
    <cellStyle name="60% - akcent 4 2 2" xfId="29412"/>
    <cellStyle name="60% - akcent 4 2 2 2" xfId="29413"/>
    <cellStyle name="60% - akcent 4 2 3" xfId="29414"/>
    <cellStyle name="60% - akcent 4 2 4" xfId="29415"/>
    <cellStyle name="60% - akcent 4 2 5" xfId="29416"/>
    <cellStyle name="60% - akcent 4 2 6" xfId="29417"/>
    <cellStyle name="60% - akcent 4 2 7" xfId="29418"/>
    <cellStyle name="60% - akcent 4 2 8" xfId="29419"/>
    <cellStyle name="60% - akcent 4 2 9" xfId="29420"/>
    <cellStyle name="60% - akcent 4 2 9 2" xfId="29421"/>
    <cellStyle name="60% - akcent 4 3" xfId="29422"/>
    <cellStyle name="60% - akcent 4 4" xfId="29423"/>
    <cellStyle name="60% - akcent 4 4 2" xfId="29424"/>
    <cellStyle name="60% - akcent 4 4 3" xfId="29425"/>
    <cellStyle name="60% - akcent 4 5" xfId="29426"/>
    <cellStyle name="60% - akcent 4 5 2" xfId="29427"/>
    <cellStyle name="60% - akcent 4 5 3" xfId="29428"/>
    <cellStyle name="60% - akcent 4 6" xfId="29429"/>
    <cellStyle name="60% - akcent 4 7" xfId="29430"/>
    <cellStyle name="60% - akcent 4 8" xfId="29431"/>
    <cellStyle name="60% - akcent 4 8 2" xfId="29432"/>
    <cellStyle name="60% - akcent 4 9" xfId="29433"/>
    <cellStyle name="60% - akcent 5 10" xfId="29434"/>
    <cellStyle name="60% - akcent 5 2" xfId="29435"/>
    <cellStyle name="60% - akcent 5 2 2" xfId="29436"/>
    <cellStyle name="60% - akcent 5 2 2 2" xfId="29437"/>
    <cellStyle name="60% - akcent 5 2 3" xfId="29438"/>
    <cellStyle name="60% - akcent 5 2 4" xfId="29439"/>
    <cellStyle name="60% - akcent 5 2 5" xfId="29440"/>
    <cellStyle name="60% - akcent 5 2 6" xfId="29441"/>
    <cellStyle name="60% - akcent 5 2 7" xfId="29442"/>
    <cellStyle name="60% - akcent 5 2 8" xfId="29443"/>
    <cellStyle name="60% - akcent 5 2 9" xfId="29444"/>
    <cellStyle name="60% - akcent 5 2 9 2" xfId="29445"/>
    <cellStyle name="60% - akcent 5 3" xfId="29446"/>
    <cellStyle name="60% - akcent 5 4" xfId="29447"/>
    <cellStyle name="60% - akcent 5 4 2" xfId="29448"/>
    <cellStyle name="60% - akcent 5 4 3" xfId="29449"/>
    <cellStyle name="60% - akcent 5 5" xfId="29450"/>
    <cellStyle name="60% - akcent 5 5 2" xfId="29451"/>
    <cellStyle name="60% - akcent 5 5 3" xfId="29452"/>
    <cellStyle name="60% - akcent 5 6" xfId="29453"/>
    <cellStyle name="60% - akcent 5 7" xfId="29454"/>
    <cellStyle name="60% - akcent 5 8" xfId="29455"/>
    <cellStyle name="60% - akcent 5 8 2" xfId="29456"/>
    <cellStyle name="60% - akcent 5 9" xfId="29457"/>
    <cellStyle name="60% - akcent 6 10" xfId="29458"/>
    <cellStyle name="60% - akcent 6 2" xfId="29459"/>
    <cellStyle name="60% - akcent 6 2 2" xfId="29460"/>
    <cellStyle name="60% - akcent 6 2 2 2" xfId="29461"/>
    <cellStyle name="60% - akcent 6 2 3" xfId="29462"/>
    <cellStyle name="60% - akcent 6 2 4" xfId="29463"/>
    <cellStyle name="60% - akcent 6 2 5" xfId="29464"/>
    <cellStyle name="60% - akcent 6 2 6" xfId="29465"/>
    <cellStyle name="60% - akcent 6 2 7" xfId="29466"/>
    <cellStyle name="60% - akcent 6 2 8" xfId="29467"/>
    <cellStyle name="60% - akcent 6 2 9" xfId="29468"/>
    <cellStyle name="60% - akcent 6 2 9 2" xfId="29469"/>
    <cellStyle name="60% - akcent 6 3" xfId="29470"/>
    <cellStyle name="60% - akcent 6 4" xfId="29471"/>
    <cellStyle name="60% - akcent 6 4 2" xfId="29472"/>
    <cellStyle name="60% - akcent 6 4 3" xfId="29473"/>
    <cellStyle name="60% - akcent 6 5" xfId="29474"/>
    <cellStyle name="60% - akcent 6 5 2" xfId="29475"/>
    <cellStyle name="60% - akcent 6 5 3" xfId="29476"/>
    <cellStyle name="60% - akcent 6 6" xfId="29477"/>
    <cellStyle name="60% - akcent 6 7" xfId="29478"/>
    <cellStyle name="60% - akcent 6 8" xfId="29479"/>
    <cellStyle name="60% - akcent 6 8 2" xfId="29480"/>
    <cellStyle name="60% - akcent 6 9" xfId="29481"/>
    <cellStyle name="A3 297 x 420 mm" xfId="29482"/>
    <cellStyle name="A3 297 x 420 mm 10" xfId="29483"/>
    <cellStyle name="A3 297 x 420 mm 11" xfId="29484"/>
    <cellStyle name="A3 297 x 420 mm 12" xfId="29485"/>
    <cellStyle name="A3 297 x 420 mm 2" xfId="29486"/>
    <cellStyle name="A3 297 x 420 mm 2 2" xfId="29487"/>
    <cellStyle name="A3 297 x 420 mm 2 3" xfId="29488"/>
    <cellStyle name="A3 297 x 420 mm 3" xfId="29489"/>
    <cellStyle name="A3 297 x 420 mm 4" xfId="29490"/>
    <cellStyle name="A3 297 x 420 mm 5" xfId="29491"/>
    <cellStyle name="A3 297 x 420 mm 6" xfId="29492"/>
    <cellStyle name="A3 297 x 420 mm 7" xfId="29493"/>
    <cellStyle name="A3 297 x 420 mm 8" xfId="29494"/>
    <cellStyle name="A3 297 x 420 mm 9" xfId="29495"/>
    <cellStyle name="A3 297 x 420 mm_Kluczowe wielkości oper" xfId="29496"/>
    <cellStyle name="Accent1" xfId="29497"/>
    <cellStyle name="Accent1 - 20%" xfId="29498"/>
    <cellStyle name="Accent1 - 40%" xfId="29499"/>
    <cellStyle name="Accent1 - 60%" xfId="29500"/>
    <cellStyle name="Accent1 2" xfId="29501"/>
    <cellStyle name="Accent1 2 2" xfId="29502"/>
    <cellStyle name="Accent1 3" xfId="29503"/>
    <cellStyle name="Accent1 3 2" xfId="29504"/>
    <cellStyle name="Accent1 4" xfId="29505"/>
    <cellStyle name="Accent1_2011'05 Raport PGE_DO-węgiel" xfId="29506"/>
    <cellStyle name="Accent2" xfId="29507"/>
    <cellStyle name="Accent2 - 20%" xfId="29508"/>
    <cellStyle name="Accent2 - 40%" xfId="29509"/>
    <cellStyle name="Accent2 - 60%" xfId="29510"/>
    <cellStyle name="Accent2 2" xfId="29511"/>
    <cellStyle name="Accent2 2 2" xfId="29512"/>
    <cellStyle name="Accent2 3" xfId="29513"/>
    <cellStyle name="Accent2 3 2" xfId="29514"/>
    <cellStyle name="Accent2 4" xfId="29515"/>
    <cellStyle name="Accent2_2011'05 Raport PGE_DO-węgiel" xfId="29516"/>
    <cellStyle name="Accent3" xfId="29517"/>
    <cellStyle name="Accent3 - 20%" xfId="29518"/>
    <cellStyle name="Accent3 - 40%" xfId="29519"/>
    <cellStyle name="Accent3 - 60%" xfId="29520"/>
    <cellStyle name="Accent3 2" xfId="29521"/>
    <cellStyle name="Accent3 2 2" xfId="29522"/>
    <cellStyle name="Accent3 3" xfId="29523"/>
    <cellStyle name="Accent3 3 2" xfId="29524"/>
    <cellStyle name="Accent3 4" xfId="29525"/>
    <cellStyle name="Accent3_2011'05 Raport PGE_DO-węgiel" xfId="29526"/>
    <cellStyle name="Accent4" xfId="29527"/>
    <cellStyle name="Accent4 - 20%" xfId="29528"/>
    <cellStyle name="Accent4 - 40%" xfId="29529"/>
    <cellStyle name="Accent4 - 60%" xfId="29530"/>
    <cellStyle name="Accent4 2" xfId="29531"/>
    <cellStyle name="Accent4 2 2" xfId="29532"/>
    <cellStyle name="Accent4 3" xfId="29533"/>
    <cellStyle name="Accent4 3 2" xfId="29534"/>
    <cellStyle name="Accent4 4" xfId="29535"/>
    <cellStyle name="Accent4_2011'05 Raport PGE_DO-węgiel" xfId="29536"/>
    <cellStyle name="Accent5" xfId="29537"/>
    <cellStyle name="Accent5 - 20%" xfId="29538"/>
    <cellStyle name="Accent5 - 40%" xfId="29539"/>
    <cellStyle name="Accent5 - 60%" xfId="29540"/>
    <cellStyle name="Accent5 2" xfId="29541"/>
    <cellStyle name="Accent5 3" xfId="29542"/>
    <cellStyle name="Accent5 4" xfId="29543"/>
    <cellStyle name="Accent5_2011'05 Raport PGE_DO-węgiel" xfId="29544"/>
    <cellStyle name="Accent6" xfId="29545"/>
    <cellStyle name="Accent6 - 20%" xfId="29546"/>
    <cellStyle name="Accent6 - 40%" xfId="29547"/>
    <cellStyle name="Accent6 - 60%" xfId="29548"/>
    <cellStyle name="Accent6 2" xfId="29549"/>
    <cellStyle name="Accent6 2 2" xfId="29550"/>
    <cellStyle name="Accent6 3" xfId="29551"/>
    <cellStyle name="Accent6 3 2" xfId="29552"/>
    <cellStyle name="Accent6 4" xfId="29553"/>
    <cellStyle name="Accent6_2011'05 Raport PGE_DO-węgiel" xfId="29554"/>
    <cellStyle name="adj_share" xfId="29555"/>
    <cellStyle name="Afjusted" xfId="29556"/>
    <cellStyle name="Afjusted 2" xfId="29557"/>
    <cellStyle name="Afjusted 3" xfId="29558"/>
    <cellStyle name="Afjusted_Kluczowe wielkości oper" xfId="29559"/>
    <cellStyle name="Akcent 1 10" xfId="29560"/>
    <cellStyle name="Akcent 1 2" xfId="29561"/>
    <cellStyle name="Akcent 1 2 2" xfId="29562"/>
    <cellStyle name="Akcent 1 2 2 2" xfId="29563"/>
    <cellStyle name="Akcent 1 2 3" xfId="29564"/>
    <cellStyle name="Akcent 1 2 4" xfId="29565"/>
    <cellStyle name="Akcent 1 2 5" xfId="29566"/>
    <cellStyle name="Akcent 1 2 6" xfId="29567"/>
    <cellStyle name="Akcent 1 2 7" xfId="29568"/>
    <cellStyle name="Akcent 1 2 8" xfId="29569"/>
    <cellStyle name="Akcent 1 2 9" xfId="29570"/>
    <cellStyle name="Akcent 1 2 9 2" xfId="29571"/>
    <cellStyle name="Akcent 1 3" xfId="29572"/>
    <cellStyle name="Akcent 1 4" xfId="29573"/>
    <cellStyle name="Akcent 1 4 2" xfId="29574"/>
    <cellStyle name="Akcent 1 4 3" xfId="29575"/>
    <cellStyle name="Akcent 1 5" xfId="29576"/>
    <cellStyle name="Akcent 1 5 2" xfId="29577"/>
    <cellStyle name="Akcent 1 5 3" xfId="29578"/>
    <cellStyle name="Akcent 1 6" xfId="29579"/>
    <cellStyle name="Akcent 1 7" xfId="29580"/>
    <cellStyle name="Akcent 1 8" xfId="29581"/>
    <cellStyle name="Akcent 1 8 2" xfId="29582"/>
    <cellStyle name="Akcent 1 9" xfId="29583"/>
    <cellStyle name="Akcent 2 10" xfId="29584"/>
    <cellStyle name="Akcent 2 2" xfId="29585"/>
    <cellStyle name="Akcent 2 2 2" xfId="29586"/>
    <cellStyle name="Akcent 2 2 2 2" xfId="29587"/>
    <cellStyle name="Akcent 2 2 3" xfId="29588"/>
    <cellStyle name="Akcent 2 2 4" xfId="29589"/>
    <cellStyle name="Akcent 2 2 5" xfId="29590"/>
    <cellStyle name="Akcent 2 2 6" xfId="29591"/>
    <cellStyle name="Akcent 2 2 7" xfId="29592"/>
    <cellStyle name="Akcent 2 2 8" xfId="29593"/>
    <cellStyle name="Akcent 2 2 9" xfId="29594"/>
    <cellStyle name="Akcent 2 2 9 2" xfId="29595"/>
    <cellStyle name="Akcent 2 3" xfId="29596"/>
    <cellStyle name="Akcent 2 4" xfId="29597"/>
    <cellStyle name="Akcent 2 4 2" xfId="29598"/>
    <cellStyle name="Akcent 2 4 3" xfId="29599"/>
    <cellStyle name="Akcent 2 5" xfId="29600"/>
    <cellStyle name="Akcent 2 5 2" xfId="29601"/>
    <cellStyle name="Akcent 2 5 3" xfId="29602"/>
    <cellStyle name="Akcent 2 6" xfId="29603"/>
    <cellStyle name="Akcent 2 7" xfId="29604"/>
    <cellStyle name="Akcent 2 8" xfId="29605"/>
    <cellStyle name="Akcent 2 8 2" xfId="29606"/>
    <cellStyle name="Akcent 2 9" xfId="29607"/>
    <cellStyle name="Akcent 3 10" xfId="29608"/>
    <cellStyle name="Akcent 3 2" xfId="29609"/>
    <cellStyle name="Akcent 3 2 2" xfId="29610"/>
    <cellStyle name="Akcent 3 2 2 2" xfId="29611"/>
    <cellStyle name="Akcent 3 2 3" xfId="29612"/>
    <cellStyle name="Akcent 3 2 4" xfId="29613"/>
    <cellStyle name="Akcent 3 2 5" xfId="29614"/>
    <cellStyle name="Akcent 3 2 6" xfId="29615"/>
    <cellStyle name="Akcent 3 2 7" xfId="29616"/>
    <cellStyle name="Akcent 3 2 8" xfId="29617"/>
    <cellStyle name="Akcent 3 2 9" xfId="29618"/>
    <cellStyle name="Akcent 3 2 9 2" xfId="29619"/>
    <cellStyle name="Akcent 3 3" xfId="29620"/>
    <cellStyle name="Akcent 3 4" xfId="29621"/>
    <cellStyle name="Akcent 3 4 2" xfId="29622"/>
    <cellStyle name="Akcent 3 4 3" xfId="29623"/>
    <cellStyle name="Akcent 3 5" xfId="29624"/>
    <cellStyle name="Akcent 3 5 2" xfId="29625"/>
    <cellStyle name="Akcent 3 5 3" xfId="29626"/>
    <cellStyle name="Akcent 3 6" xfId="29627"/>
    <cellStyle name="Akcent 3 7" xfId="29628"/>
    <cellStyle name="Akcent 3 8" xfId="29629"/>
    <cellStyle name="Akcent 3 8 2" xfId="29630"/>
    <cellStyle name="Akcent 3 9" xfId="29631"/>
    <cellStyle name="Akcent 4 10" xfId="29632"/>
    <cellStyle name="Akcent 4 2" xfId="29633"/>
    <cellStyle name="Akcent 4 2 2" xfId="29634"/>
    <cellStyle name="Akcent 4 2 2 2" xfId="29635"/>
    <cellStyle name="Akcent 4 2 3" xfId="29636"/>
    <cellStyle name="Akcent 4 2 4" xfId="29637"/>
    <cellStyle name="Akcent 4 2 5" xfId="29638"/>
    <cellStyle name="Akcent 4 2 6" xfId="29639"/>
    <cellStyle name="Akcent 4 2 7" xfId="29640"/>
    <cellStyle name="Akcent 4 2 8" xfId="29641"/>
    <cellStyle name="Akcent 4 2 9" xfId="29642"/>
    <cellStyle name="Akcent 4 2 9 2" xfId="29643"/>
    <cellStyle name="Akcent 4 3" xfId="29644"/>
    <cellStyle name="Akcent 4 4" xfId="29645"/>
    <cellStyle name="Akcent 4 4 2" xfId="29646"/>
    <cellStyle name="Akcent 4 4 3" xfId="29647"/>
    <cellStyle name="Akcent 4 5" xfId="29648"/>
    <cellStyle name="Akcent 4 5 2" xfId="29649"/>
    <cellStyle name="Akcent 4 5 3" xfId="29650"/>
    <cellStyle name="Akcent 4 6" xfId="29651"/>
    <cellStyle name="Akcent 4 7" xfId="29652"/>
    <cellStyle name="Akcent 4 8" xfId="29653"/>
    <cellStyle name="Akcent 4 8 2" xfId="29654"/>
    <cellStyle name="Akcent 4 9" xfId="29655"/>
    <cellStyle name="Akcent 5 10" xfId="29656"/>
    <cellStyle name="Akcent 5 2" xfId="29657"/>
    <cellStyle name="Akcent 5 2 2" xfId="29658"/>
    <cellStyle name="Akcent 5 2 2 2" xfId="29659"/>
    <cellStyle name="Akcent 5 2 3" xfId="29660"/>
    <cellStyle name="Akcent 5 2 4" xfId="29661"/>
    <cellStyle name="Akcent 5 2 5" xfId="29662"/>
    <cellStyle name="Akcent 5 2 6" xfId="29663"/>
    <cellStyle name="Akcent 5 2 7" xfId="29664"/>
    <cellStyle name="Akcent 5 2 8" xfId="29665"/>
    <cellStyle name="Akcent 5 3" xfId="29666"/>
    <cellStyle name="Akcent 5 4" xfId="29667"/>
    <cellStyle name="Akcent 5 4 2" xfId="29668"/>
    <cellStyle name="Akcent 5 4 3" xfId="29669"/>
    <cellStyle name="Akcent 5 5" xfId="29670"/>
    <cellStyle name="Akcent 5 5 2" xfId="29671"/>
    <cellStyle name="Akcent 5 6" xfId="29672"/>
    <cellStyle name="Akcent 5 7" xfId="29673"/>
    <cellStyle name="Akcent 5 8" xfId="29674"/>
    <cellStyle name="Akcent 5 8 2" xfId="29675"/>
    <cellStyle name="Akcent 5 9" xfId="29676"/>
    <cellStyle name="Akcent 6 10" xfId="29677"/>
    <cellStyle name="Akcent 6 2" xfId="29678"/>
    <cellStyle name="Akcent 6 2 2" xfId="29679"/>
    <cellStyle name="Akcent 6 2 2 2" xfId="29680"/>
    <cellStyle name="Akcent 6 2 3" xfId="29681"/>
    <cellStyle name="Akcent 6 2 4" xfId="29682"/>
    <cellStyle name="Akcent 6 2 5" xfId="29683"/>
    <cellStyle name="Akcent 6 2 6" xfId="29684"/>
    <cellStyle name="Akcent 6 2 7" xfId="29685"/>
    <cellStyle name="Akcent 6 2 8" xfId="29686"/>
    <cellStyle name="Akcent 6 2 9" xfId="29687"/>
    <cellStyle name="Akcent 6 2 9 2" xfId="29688"/>
    <cellStyle name="Akcent 6 3" xfId="29689"/>
    <cellStyle name="Akcent 6 4" xfId="29690"/>
    <cellStyle name="Akcent 6 4 2" xfId="29691"/>
    <cellStyle name="Akcent 6 4 3" xfId="29692"/>
    <cellStyle name="Akcent 6 5" xfId="29693"/>
    <cellStyle name="Akcent 6 5 2" xfId="29694"/>
    <cellStyle name="Akcent 6 5 3" xfId="29695"/>
    <cellStyle name="Akcent 6 6" xfId="29696"/>
    <cellStyle name="Akcent 6 7" xfId="29697"/>
    <cellStyle name="Akcent 6 8" xfId="29698"/>
    <cellStyle name="Akcent 6 8 2" xfId="29699"/>
    <cellStyle name="Akcent 6 9" xfId="29700"/>
    <cellStyle name="Bad" xfId="29701"/>
    <cellStyle name="Bad 2" xfId="29702"/>
    <cellStyle name="Bad 2 2" xfId="29703"/>
    <cellStyle name="Bad 3" xfId="29704"/>
    <cellStyle name="Basis points" xfId="29705"/>
    <cellStyle name="Basis points 2" xfId="29706"/>
    <cellStyle name="Calc Currency (0)" xfId="29707"/>
    <cellStyle name="Calc Currency (2)" xfId="29708"/>
    <cellStyle name="Calc Percent (0)" xfId="29709"/>
    <cellStyle name="Calc Percent (1)" xfId="29710"/>
    <cellStyle name="Calc Percent (2)" xfId="29711"/>
    <cellStyle name="Calc Units (0)" xfId="29712"/>
    <cellStyle name="Calc Units (1)" xfId="29713"/>
    <cellStyle name="Calc Units (2)" xfId="29714"/>
    <cellStyle name="Calculation" xfId="29715"/>
    <cellStyle name="Calculation 10" xfId="29716"/>
    <cellStyle name="Calculation 10 2" xfId="29717"/>
    <cellStyle name="Calculation 10 3" xfId="29718"/>
    <cellStyle name="Calculation 11" xfId="29719"/>
    <cellStyle name="Calculation 11 2" xfId="29720"/>
    <cellStyle name="Calculation 11 3" xfId="29721"/>
    <cellStyle name="Calculation 12" xfId="29722"/>
    <cellStyle name="Calculation 12 2" xfId="29723"/>
    <cellStyle name="Calculation 12 3" xfId="29724"/>
    <cellStyle name="Calculation 13" xfId="29725"/>
    <cellStyle name="Calculation 13 2" xfId="29726"/>
    <cellStyle name="Calculation 13 3" xfId="29727"/>
    <cellStyle name="Calculation 14" xfId="29728"/>
    <cellStyle name="Calculation 14 2" xfId="29729"/>
    <cellStyle name="Calculation 14 3" xfId="29730"/>
    <cellStyle name="Calculation 15" xfId="29731"/>
    <cellStyle name="Calculation 15 2" xfId="29732"/>
    <cellStyle name="Calculation 15 3" xfId="29733"/>
    <cellStyle name="Calculation 16" xfId="29734"/>
    <cellStyle name="Calculation 16 2" xfId="29735"/>
    <cellStyle name="Calculation 16 3" xfId="29736"/>
    <cellStyle name="Calculation 17" xfId="29737"/>
    <cellStyle name="Calculation 17 2" xfId="29738"/>
    <cellStyle name="Calculation 17 3" xfId="29739"/>
    <cellStyle name="Calculation 18" xfId="29740"/>
    <cellStyle name="Calculation 18 2" xfId="29741"/>
    <cellStyle name="Calculation 18 3" xfId="29742"/>
    <cellStyle name="Calculation 19" xfId="29743"/>
    <cellStyle name="Calculation 19 2" xfId="29744"/>
    <cellStyle name="Calculation 19 3" xfId="29745"/>
    <cellStyle name="Calculation 2" xfId="29746"/>
    <cellStyle name="Calculation 2 2" xfId="29747"/>
    <cellStyle name="Calculation 2 2 2" xfId="29748"/>
    <cellStyle name="Calculation 2 3" xfId="29749"/>
    <cellStyle name="Calculation 20" xfId="29750"/>
    <cellStyle name="Calculation 20 2" xfId="29751"/>
    <cellStyle name="Calculation 20 3" xfId="29752"/>
    <cellStyle name="Calculation 3" xfId="29753"/>
    <cellStyle name="Calculation 3 2" xfId="29754"/>
    <cellStyle name="Calculation 3 2 2" xfId="29755"/>
    <cellStyle name="Calculation 3 3" xfId="29756"/>
    <cellStyle name="Calculation 4" xfId="29757"/>
    <cellStyle name="Calculation 4 2" xfId="29758"/>
    <cellStyle name="Calculation 4 3" xfId="29759"/>
    <cellStyle name="Calculation 5" xfId="29760"/>
    <cellStyle name="Calculation 5 2" xfId="29761"/>
    <cellStyle name="Calculation 5 3" xfId="29762"/>
    <cellStyle name="Calculation 6" xfId="29763"/>
    <cellStyle name="Calculation 6 2" xfId="29764"/>
    <cellStyle name="Calculation 6 3" xfId="29765"/>
    <cellStyle name="Calculation 7" xfId="29766"/>
    <cellStyle name="Calculation 7 2" xfId="29767"/>
    <cellStyle name="Calculation 7 3" xfId="29768"/>
    <cellStyle name="Calculation 8" xfId="29769"/>
    <cellStyle name="Calculation 8 2" xfId="29770"/>
    <cellStyle name="Calculation 8 3" xfId="29771"/>
    <cellStyle name="Calculation 9" xfId="29772"/>
    <cellStyle name="Calculation 9 2" xfId="29773"/>
    <cellStyle name="Calculation 9 3" xfId="29774"/>
    <cellStyle name="Calculation_2011'05 Raport PGE_DO-węgiel" xfId="29775"/>
    <cellStyle name="Check Cell" xfId="29776"/>
    <cellStyle name="Check Cell 2" xfId="29777"/>
    <cellStyle name="Check Cell 3" xfId="29778"/>
    <cellStyle name="Code" xfId="29779"/>
    <cellStyle name="Code 2" xfId="29780"/>
    <cellStyle name="Code Section" xfId="29781"/>
    <cellStyle name="Code Section 2" xfId="29782"/>
    <cellStyle name="Code Section 2 2" xfId="29783"/>
    <cellStyle name="Code Section 3" xfId="29784"/>
    <cellStyle name="Code Section_Kluczowe wielkości oper" xfId="29785"/>
    <cellStyle name="Comma" xfId="29786"/>
    <cellStyle name="Comma (1)" xfId="29787"/>
    <cellStyle name="Comma [0]" xfId="29788"/>
    <cellStyle name="Comma [00]" xfId="29789"/>
    <cellStyle name="Comma [2]" xfId="29790"/>
    <cellStyle name="Comma [2] 2" xfId="29791"/>
    <cellStyle name="Comma [2]_2011'05 Raport PGE_DO-CO2" xfId="29792"/>
    <cellStyle name="Comma 10" xfId="29793"/>
    <cellStyle name="Comma 11" xfId="29794"/>
    <cellStyle name="Comma 2" xfId="29795"/>
    <cellStyle name="Comma 3" xfId="29796"/>
    <cellStyle name="Comma 4" xfId="29797"/>
    <cellStyle name="Comma 5" xfId="29798"/>
    <cellStyle name="Comma 6" xfId="29799"/>
    <cellStyle name="Comma 7" xfId="29800"/>
    <cellStyle name="Comma 8" xfId="29801"/>
    <cellStyle name="Comma 9" xfId="29802"/>
    <cellStyle name="Comma_#6 Temps &amp; Contractors" xfId="29803"/>
    <cellStyle name="Comma0" xfId="29804"/>
    <cellStyle name="Comma0 10" xfId="29805"/>
    <cellStyle name="Comma0 11" xfId="29806"/>
    <cellStyle name="Comma0 2" xfId="29807"/>
    <cellStyle name="Comma0 2 2" xfId="29808"/>
    <cellStyle name="Comma0 3" xfId="29809"/>
    <cellStyle name="Comma0 4" xfId="29810"/>
    <cellStyle name="Comma0 5" xfId="29811"/>
    <cellStyle name="Comma0 6" xfId="29812"/>
    <cellStyle name="Comma0 7" xfId="29813"/>
    <cellStyle name="Comma0 8" xfId="29814"/>
    <cellStyle name="Comma0 9" xfId="29815"/>
    <cellStyle name="Currency [0]" xfId="29816"/>
    <cellStyle name="Currency [00]" xfId="29817"/>
    <cellStyle name="Currency_#6 Temps &amp; Contractors" xfId="29818"/>
    <cellStyle name="d0" xfId="29819"/>
    <cellStyle name="d1" xfId="29820"/>
    <cellStyle name="d2" xfId="29821"/>
    <cellStyle name="Dane wejściowe 10" xfId="29822"/>
    <cellStyle name="Dane wejściowe 10 2" xfId="29823"/>
    <cellStyle name="Dane wejściowe 10 2 2" xfId="29824"/>
    <cellStyle name="Dane wejściowe 10 3" xfId="29825"/>
    <cellStyle name="Dane wejściowe 11" xfId="29826"/>
    <cellStyle name="Dane wejściowe 11 2" xfId="29827"/>
    <cellStyle name="Dane wejściowe 11 3" xfId="29828"/>
    <cellStyle name="Dane wejściowe 12" xfId="29829"/>
    <cellStyle name="Dane wejściowe 12 2" xfId="29830"/>
    <cellStyle name="Dane wejściowe 12 3" xfId="29831"/>
    <cellStyle name="Dane wejściowe 13" xfId="29832"/>
    <cellStyle name="Dane wejściowe 13 2" xfId="29833"/>
    <cellStyle name="Dane wejściowe 13 3" xfId="29834"/>
    <cellStyle name="Dane wejściowe 14" xfId="29835"/>
    <cellStyle name="Dane wejściowe 14 2" xfId="29836"/>
    <cellStyle name="Dane wejściowe 14 3" xfId="29837"/>
    <cellStyle name="Dane wejściowe 15" xfId="29838"/>
    <cellStyle name="Dane wejściowe 15 2" xfId="29839"/>
    <cellStyle name="Dane wejściowe 15 3" xfId="29840"/>
    <cellStyle name="Dane wejściowe 16" xfId="29841"/>
    <cellStyle name="Dane wejściowe 16 2" xfId="29842"/>
    <cellStyle name="Dane wejściowe 16 3" xfId="29843"/>
    <cellStyle name="Dane wejściowe 17" xfId="29844"/>
    <cellStyle name="Dane wejściowe 17 2" xfId="29845"/>
    <cellStyle name="Dane wejściowe 17 3" xfId="29846"/>
    <cellStyle name="Dane wejściowe 18" xfId="29847"/>
    <cellStyle name="Dane wejściowe 18 2" xfId="29848"/>
    <cellStyle name="Dane wejściowe 18 3" xfId="29849"/>
    <cellStyle name="Dane wejściowe 19" xfId="29850"/>
    <cellStyle name="Dane wejściowe 19 2" xfId="29851"/>
    <cellStyle name="Dane wejściowe 19 3" xfId="29852"/>
    <cellStyle name="Dane wejściowe 2" xfId="29853"/>
    <cellStyle name="Dane wejściowe 2 10" xfId="29854"/>
    <cellStyle name="Dane wejściowe 2 10 2" xfId="29855"/>
    <cellStyle name="Dane wejściowe 2 10 3" xfId="29856"/>
    <cellStyle name="Dane wejściowe 2 11" xfId="29857"/>
    <cellStyle name="Dane wejściowe 2 11 2" xfId="29858"/>
    <cellStyle name="Dane wejściowe 2 11 3" xfId="29859"/>
    <cellStyle name="Dane wejściowe 2 12" xfId="29860"/>
    <cellStyle name="Dane wejściowe 2 12 2" xfId="29861"/>
    <cellStyle name="Dane wejściowe 2 12 3" xfId="29862"/>
    <cellStyle name="Dane wejściowe 2 13" xfId="29863"/>
    <cellStyle name="Dane wejściowe 2 13 2" xfId="29864"/>
    <cellStyle name="Dane wejściowe 2 13 3" xfId="29865"/>
    <cellStyle name="Dane wejściowe 2 14" xfId="29866"/>
    <cellStyle name="Dane wejściowe 2 14 2" xfId="29867"/>
    <cellStyle name="Dane wejściowe 2 14 3" xfId="29868"/>
    <cellStyle name="Dane wejściowe 2 15" xfId="29869"/>
    <cellStyle name="Dane wejściowe 2 15 2" xfId="29870"/>
    <cellStyle name="Dane wejściowe 2 15 3" xfId="29871"/>
    <cellStyle name="Dane wejściowe 2 16" xfId="29872"/>
    <cellStyle name="Dane wejściowe 2 16 2" xfId="29873"/>
    <cellStyle name="Dane wejściowe 2 16 3" xfId="29874"/>
    <cellStyle name="Dane wejściowe 2 17" xfId="29875"/>
    <cellStyle name="Dane wejściowe 2 17 2" xfId="29876"/>
    <cellStyle name="Dane wejściowe 2 17 3" xfId="29877"/>
    <cellStyle name="Dane wejściowe 2 18" xfId="29878"/>
    <cellStyle name="Dane wejściowe 2 18 2" xfId="29879"/>
    <cellStyle name="Dane wejściowe 2 18 3" xfId="29880"/>
    <cellStyle name="Dane wejściowe 2 19" xfId="29881"/>
    <cellStyle name="Dane wejściowe 2 19 2" xfId="29882"/>
    <cellStyle name="Dane wejściowe 2 19 3" xfId="29883"/>
    <cellStyle name="Dane wejściowe 2 2" xfId="29884"/>
    <cellStyle name="Dane wejściowe 2 2 10" xfId="29885"/>
    <cellStyle name="Dane wejściowe 2 2 10 2" xfId="29886"/>
    <cellStyle name="Dane wejściowe 2 2 10 3" xfId="29887"/>
    <cellStyle name="Dane wejściowe 2 2 11" xfId="29888"/>
    <cellStyle name="Dane wejściowe 2 2 11 2" xfId="29889"/>
    <cellStyle name="Dane wejściowe 2 2 11 3" xfId="29890"/>
    <cellStyle name="Dane wejściowe 2 2 12" xfId="29891"/>
    <cellStyle name="Dane wejściowe 2 2 12 2" xfId="29892"/>
    <cellStyle name="Dane wejściowe 2 2 12 3" xfId="29893"/>
    <cellStyle name="Dane wejściowe 2 2 13" xfId="29894"/>
    <cellStyle name="Dane wejściowe 2 2 13 2" xfId="29895"/>
    <cellStyle name="Dane wejściowe 2 2 13 3" xfId="29896"/>
    <cellStyle name="Dane wejściowe 2 2 14" xfId="29897"/>
    <cellStyle name="Dane wejściowe 2 2 14 2" xfId="29898"/>
    <cellStyle name="Dane wejściowe 2 2 14 3" xfId="29899"/>
    <cellStyle name="Dane wejściowe 2 2 15" xfId="29900"/>
    <cellStyle name="Dane wejściowe 2 2 15 2" xfId="29901"/>
    <cellStyle name="Dane wejściowe 2 2 15 3" xfId="29902"/>
    <cellStyle name="Dane wejściowe 2 2 16" xfId="29903"/>
    <cellStyle name="Dane wejściowe 2 2 16 2" xfId="29904"/>
    <cellStyle name="Dane wejściowe 2 2 16 3" xfId="29905"/>
    <cellStyle name="Dane wejściowe 2 2 17" xfId="29906"/>
    <cellStyle name="Dane wejściowe 2 2 17 2" xfId="29907"/>
    <cellStyle name="Dane wejściowe 2 2 17 3" xfId="29908"/>
    <cellStyle name="Dane wejściowe 2 2 18" xfId="29909"/>
    <cellStyle name="Dane wejściowe 2 2 18 2" xfId="29910"/>
    <cellStyle name="Dane wejściowe 2 2 18 3" xfId="29911"/>
    <cellStyle name="Dane wejściowe 2 2 19" xfId="29912"/>
    <cellStyle name="Dane wejściowe 2 2 19 2" xfId="29913"/>
    <cellStyle name="Dane wejściowe 2 2 19 3" xfId="29914"/>
    <cellStyle name="Dane wejściowe 2 2 2" xfId="29915"/>
    <cellStyle name="Dane wejściowe 2 2 2 2" xfId="29916"/>
    <cellStyle name="Dane wejściowe 2 2 2 3" xfId="29917"/>
    <cellStyle name="Dane wejściowe 2 2 20" xfId="29918"/>
    <cellStyle name="Dane wejściowe 2 2 20 2" xfId="29919"/>
    <cellStyle name="Dane wejściowe 2 2 20 3" xfId="29920"/>
    <cellStyle name="Dane wejściowe 2 2 3" xfId="29921"/>
    <cellStyle name="Dane wejściowe 2 2 3 2" xfId="29922"/>
    <cellStyle name="Dane wejściowe 2 2 3 2 2" xfId="29923"/>
    <cellStyle name="Dane wejściowe 2 2 3 3" xfId="29924"/>
    <cellStyle name="Dane wejściowe 2 2 4" xfId="29925"/>
    <cellStyle name="Dane wejściowe 2 2 4 2" xfId="29926"/>
    <cellStyle name="Dane wejściowe 2 2 4 3" xfId="29927"/>
    <cellStyle name="Dane wejściowe 2 2 5" xfId="29928"/>
    <cellStyle name="Dane wejściowe 2 2 5 2" xfId="29929"/>
    <cellStyle name="Dane wejściowe 2 2 5 3" xfId="29930"/>
    <cellStyle name="Dane wejściowe 2 2 6" xfId="29931"/>
    <cellStyle name="Dane wejściowe 2 2 6 2" xfId="29932"/>
    <cellStyle name="Dane wejściowe 2 2 6 3" xfId="29933"/>
    <cellStyle name="Dane wejściowe 2 2 7" xfId="29934"/>
    <cellStyle name="Dane wejściowe 2 2 7 2" xfId="29935"/>
    <cellStyle name="Dane wejściowe 2 2 7 3" xfId="29936"/>
    <cellStyle name="Dane wejściowe 2 2 8" xfId="29937"/>
    <cellStyle name="Dane wejściowe 2 2 8 2" xfId="29938"/>
    <cellStyle name="Dane wejściowe 2 2 8 3" xfId="29939"/>
    <cellStyle name="Dane wejściowe 2 2 9" xfId="29940"/>
    <cellStyle name="Dane wejściowe 2 2 9 2" xfId="29941"/>
    <cellStyle name="Dane wejściowe 2 2 9 3" xfId="29942"/>
    <cellStyle name="Dane wejściowe 2 20" xfId="29943"/>
    <cellStyle name="Dane wejściowe 2 20 2" xfId="29944"/>
    <cellStyle name="Dane wejściowe 2 20 3" xfId="29945"/>
    <cellStyle name="Dane wejściowe 2 21" xfId="29946"/>
    <cellStyle name="Dane wejściowe 2 21 2" xfId="29947"/>
    <cellStyle name="Dane wejściowe 2 21 3" xfId="29948"/>
    <cellStyle name="Dane wejściowe 2 22" xfId="29949"/>
    <cellStyle name="Dane wejściowe 2 22 2" xfId="29950"/>
    <cellStyle name="Dane wejściowe 2 22 3" xfId="29951"/>
    <cellStyle name="Dane wejściowe 2 23" xfId="29952"/>
    <cellStyle name="Dane wejściowe 2 23 2" xfId="29953"/>
    <cellStyle name="Dane wejściowe 2 23 3" xfId="29954"/>
    <cellStyle name="Dane wejściowe 2 24" xfId="29955"/>
    <cellStyle name="Dane wejściowe 2 24 2" xfId="29956"/>
    <cellStyle name="Dane wejściowe 2 24 3" xfId="29957"/>
    <cellStyle name="Dane wejściowe 2 25" xfId="29958"/>
    <cellStyle name="Dane wejściowe 2 25 2" xfId="29959"/>
    <cellStyle name="Dane wejściowe 2 25 3" xfId="29960"/>
    <cellStyle name="Dane wejściowe 2 26" xfId="29961"/>
    <cellStyle name="Dane wejściowe 2 26 2" xfId="29962"/>
    <cellStyle name="Dane wejściowe 2 26 3" xfId="29963"/>
    <cellStyle name="Dane wejściowe 2 27" xfId="29964"/>
    <cellStyle name="Dane wejściowe 2 27 2" xfId="29965"/>
    <cellStyle name="Dane wejściowe 2 27 3" xfId="29966"/>
    <cellStyle name="Dane wejściowe 2 3" xfId="29967"/>
    <cellStyle name="Dane wejściowe 2 3 10" xfId="29968"/>
    <cellStyle name="Dane wejściowe 2 3 10 2" xfId="29969"/>
    <cellStyle name="Dane wejściowe 2 3 10 3" xfId="29970"/>
    <cellStyle name="Dane wejściowe 2 3 11" xfId="29971"/>
    <cellStyle name="Dane wejściowe 2 3 11 2" xfId="29972"/>
    <cellStyle name="Dane wejściowe 2 3 11 3" xfId="29973"/>
    <cellStyle name="Dane wejściowe 2 3 12" xfId="29974"/>
    <cellStyle name="Dane wejściowe 2 3 12 2" xfId="29975"/>
    <cellStyle name="Dane wejściowe 2 3 12 3" xfId="29976"/>
    <cellStyle name="Dane wejściowe 2 3 13" xfId="29977"/>
    <cellStyle name="Dane wejściowe 2 3 13 2" xfId="29978"/>
    <cellStyle name="Dane wejściowe 2 3 13 3" xfId="29979"/>
    <cellStyle name="Dane wejściowe 2 3 14" xfId="29980"/>
    <cellStyle name="Dane wejściowe 2 3 14 2" xfId="29981"/>
    <cellStyle name="Dane wejściowe 2 3 14 3" xfId="29982"/>
    <cellStyle name="Dane wejściowe 2 3 15" xfId="29983"/>
    <cellStyle name="Dane wejściowe 2 3 15 2" xfId="29984"/>
    <cellStyle name="Dane wejściowe 2 3 15 3" xfId="29985"/>
    <cellStyle name="Dane wejściowe 2 3 16" xfId="29986"/>
    <cellStyle name="Dane wejściowe 2 3 16 2" xfId="29987"/>
    <cellStyle name="Dane wejściowe 2 3 16 3" xfId="29988"/>
    <cellStyle name="Dane wejściowe 2 3 17" xfId="29989"/>
    <cellStyle name="Dane wejściowe 2 3 17 2" xfId="29990"/>
    <cellStyle name="Dane wejściowe 2 3 17 3" xfId="29991"/>
    <cellStyle name="Dane wejściowe 2 3 18" xfId="29992"/>
    <cellStyle name="Dane wejściowe 2 3 18 2" xfId="29993"/>
    <cellStyle name="Dane wejściowe 2 3 18 3" xfId="29994"/>
    <cellStyle name="Dane wejściowe 2 3 19" xfId="29995"/>
    <cellStyle name="Dane wejściowe 2 3 19 2" xfId="29996"/>
    <cellStyle name="Dane wejściowe 2 3 19 3" xfId="29997"/>
    <cellStyle name="Dane wejściowe 2 3 2" xfId="29998"/>
    <cellStyle name="Dane wejściowe 2 3 2 2" xfId="29999"/>
    <cellStyle name="Dane wejściowe 2 3 2 3" xfId="30000"/>
    <cellStyle name="Dane wejściowe 2 3 20" xfId="30001"/>
    <cellStyle name="Dane wejściowe 2 3 20 2" xfId="30002"/>
    <cellStyle name="Dane wejściowe 2 3 20 3" xfId="30003"/>
    <cellStyle name="Dane wejściowe 2 3 3" xfId="30004"/>
    <cellStyle name="Dane wejściowe 2 3 3 2" xfId="30005"/>
    <cellStyle name="Dane wejściowe 2 3 3 3" xfId="30006"/>
    <cellStyle name="Dane wejściowe 2 3 4" xfId="30007"/>
    <cellStyle name="Dane wejściowe 2 3 4 2" xfId="30008"/>
    <cellStyle name="Dane wejściowe 2 3 4 3" xfId="30009"/>
    <cellStyle name="Dane wejściowe 2 3 5" xfId="30010"/>
    <cellStyle name="Dane wejściowe 2 3 5 2" xfId="30011"/>
    <cellStyle name="Dane wejściowe 2 3 5 3" xfId="30012"/>
    <cellStyle name="Dane wejściowe 2 3 6" xfId="30013"/>
    <cellStyle name="Dane wejściowe 2 3 6 2" xfId="30014"/>
    <cellStyle name="Dane wejściowe 2 3 6 3" xfId="30015"/>
    <cellStyle name="Dane wejściowe 2 3 7" xfId="30016"/>
    <cellStyle name="Dane wejściowe 2 3 7 2" xfId="30017"/>
    <cellStyle name="Dane wejściowe 2 3 7 3" xfId="30018"/>
    <cellStyle name="Dane wejściowe 2 3 8" xfId="30019"/>
    <cellStyle name="Dane wejściowe 2 3 8 2" xfId="30020"/>
    <cellStyle name="Dane wejściowe 2 3 8 3" xfId="30021"/>
    <cellStyle name="Dane wejściowe 2 3 9" xfId="30022"/>
    <cellStyle name="Dane wejściowe 2 3 9 2" xfId="30023"/>
    <cellStyle name="Dane wejściowe 2 3 9 3" xfId="30024"/>
    <cellStyle name="Dane wejściowe 2 4" xfId="30025"/>
    <cellStyle name="Dane wejściowe 2 4 10" xfId="30026"/>
    <cellStyle name="Dane wejściowe 2 4 10 2" xfId="30027"/>
    <cellStyle name="Dane wejściowe 2 4 10 3" xfId="30028"/>
    <cellStyle name="Dane wejściowe 2 4 11" xfId="30029"/>
    <cellStyle name="Dane wejściowe 2 4 11 2" xfId="30030"/>
    <cellStyle name="Dane wejściowe 2 4 11 3" xfId="30031"/>
    <cellStyle name="Dane wejściowe 2 4 12" xfId="30032"/>
    <cellStyle name="Dane wejściowe 2 4 12 2" xfId="30033"/>
    <cellStyle name="Dane wejściowe 2 4 12 3" xfId="30034"/>
    <cellStyle name="Dane wejściowe 2 4 13" xfId="30035"/>
    <cellStyle name="Dane wejściowe 2 4 13 2" xfId="30036"/>
    <cellStyle name="Dane wejściowe 2 4 13 3" xfId="30037"/>
    <cellStyle name="Dane wejściowe 2 4 14" xfId="30038"/>
    <cellStyle name="Dane wejściowe 2 4 14 2" xfId="30039"/>
    <cellStyle name="Dane wejściowe 2 4 14 3" xfId="30040"/>
    <cellStyle name="Dane wejściowe 2 4 15" xfId="30041"/>
    <cellStyle name="Dane wejściowe 2 4 15 2" xfId="30042"/>
    <cellStyle name="Dane wejściowe 2 4 15 3" xfId="30043"/>
    <cellStyle name="Dane wejściowe 2 4 16" xfId="30044"/>
    <cellStyle name="Dane wejściowe 2 4 16 2" xfId="30045"/>
    <cellStyle name="Dane wejściowe 2 4 16 3" xfId="30046"/>
    <cellStyle name="Dane wejściowe 2 4 17" xfId="30047"/>
    <cellStyle name="Dane wejściowe 2 4 17 2" xfId="30048"/>
    <cellStyle name="Dane wejściowe 2 4 17 3" xfId="30049"/>
    <cellStyle name="Dane wejściowe 2 4 18" xfId="30050"/>
    <cellStyle name="Dane wejściowe 2 4 18 2" xfId="30051"/>
    <cellStyle name="Dane wejściowe 2 4 18 3" xfId="30052"/>
    <cellStyle name="Dane wejściowe 2 4 19" xfId="30053"/>
    <cellStyle name="Dane wejściowe 2 4 19 2" xfId="30054"/>
    <cellStyle name="Dane wejściowe 2 4 19 3" xfId="30055"/>
    <cellStyle name="Dane wejściowe 2 4 2" xfId="30056"/>
    <cellStyle name="Dane wejściowe 2 4 2 2" xfId="30057"/>
    <cellStyle name="Dane wejściowe 2 4 2 3" xfId="30058"/>
    <cellStyle name="Dane wejściowe 2 4 20" xfId="30059"/>
    <cellStyle name="Dane wejściowe 2 4 20 2" xfId="30060"/>
    <cellStyle name="Dane wejściowe 2 4 20 3" xfId="30061"/>
    <cellStyle name="Dane wejściowe 2 4 3" xfId="30062"/>
    <cellStyle name="Dane wejściowe 2 4 3 2" xfId="30063"/>
    <cellStyle name="Dane wejściowe 2 4 3 3" xfId="30064"/>
    <cellStyle name="Dane wejściowe 2 4 4" xfId="30065"/>
    <cellStyle name="Dane wejściowe 2 4 4 2" xfId="30066"/>
    <cellStyle name="Dane wejściowe 2 4 4 3" xfId="30067"/>
    <cellStyle name="Dane wejściowe 2 4 5" xfId="30068"/>
    <cellStyle name="Dane wejściowe 2 4 5 2" xfId="30069"/>
    <cellStyle name="Dane wejściowe 2 4 5 3" xfId="30070"/>
    <cellStyle name="Dane wejściowe 2 4 6" xfId="30071"/>
    <cellStyle name="Dane wejściowe 2 4 6 2" xfId="30072"/>
    <cellStyle name="Dane wejściowe 2 4 6 3" xfId="30073"/>
    <cellStyle name="Dane wejściowe 2 4 7" xfId="30074"/>
    <cellStyle name="Dane wejściowe 2 4 7 2" xfId="30075"/>
    <cellStyle name="Dane wejściowe 2 4 7 3" xfId="30076"/>
    <cellStyle name="Dane wejściowe 2 4 8" xfId="30077"/>
    <cellStyle name="Dane wejściowe 2 4 8 2" xfId="30078"/>
    <cellStyle name="Dane wejściowe 2 4 8 3" xfId="30079"/>
    <cellStyle name="Dane wejściowe 2 4 9" xfId="30080"/>
    <cellStyle name="Dane wejściowe 2 4 9 2" xfId="30081"/>
    <cellStyle name="Dane wejściowe 2 4 9 3" xfId="30082"/>
    <cellStyle name="Dane wejściowe 2 5" xfId="30083"/>
    <cellStyle name="Dane wejściowe 2 5 10" xfId="30084"/>
    <cellStyle name="Dane wejściowe 2 5 10 2" xfId="30085"/>
    <cellStyle name="Dane wejściowe 2 5 10 3" xfId="30086"/>
    <cellStyle name="Dane wejściowe 2 5 11" xfId="30087"/>
    <cellStyle name="Dane wejściowe 2 5 11 2" xfId="30088"/>
    <cellStyle name="Dane wejściowe 2 5 11 3" xfId="30089"/>
    <cellStyle name="Dane wejściowe 2 5 12" xfId="30090"/>
    <cellStyle name="Dane wejściowe 2 5 12 2" xfId="30091"/>
    <cellStyle name="Dane wejściowe 2 5 12 3" xfId="30092"/>
    <cellStyle name="Dane wejściowe 2 5 13" xfId="30093"/>
    <cellStyle name="Dane wejściowe 2 5 13 2" xfId="30094"/>
    <cellStyle name="Dane wejściowe 2 5 13 3" xfId="30095"/>
    <cellStyle name="Dane wejściowe 2 5 14" xfId="30096"/>
    <cellStyle name="Dane wejściowe 2 5 14 2" xfId="30097"/>
    <cellStyle name="Dane wejściowe 2 5 14 3" xfId="30098"/>
    <cellStyle name="Dane wejściowe 2 5 15" xfId="30099"/>
    <cellStyle name="Dane wejściowe 2 5 15 2" xfId="30100"/>
    <cellStyle name="Dane wejściowe 2 5 15 3" xfId="30101"/>
    <cellStyle name="Dane wejściowe 2 5 16" xfId="30102"/>
    <cellStyle name="Dane wejściowe 2 5 16 2" xfId="30103"/>
    <cellStyle name="Dane wejściowe 2 5 16 3" xfId="30104"/>
    <cellStyle name="Dane wejściowe 2 5 17" xfId="30105"/>
    <cellStyle name="Dane wejściowe 2 5 17 2" xfId="30106"/>
    <cellStyle name="Dane wejściowe 2 5 17 3" xfId="30107"/>
    <cellStyle name="Dane wejściowe 2 5 18" xfId="30108"/>
    <cellStyle name="Dane wejściowe 2 5 18 2" xfId="30109"/>
    <cellStyle name="Dane wejściowe 2 5 18 3" xfId="30110"/>
    <cellStyle name="Dane wejściowe 2 5 19" xfId="30111"/>
    <cellStyle name="Dane wejściowe 2 5 19 2" xfId="30112"/>
    <cellStyle name="Dane wejściowe 2 5 19 3" xfId="30113"/>
    <cellStyle name="Dane wejściowe 2 5 2" xfId="30114"/>
    <cellStyle name="Dane wejściowe 2 5 2 2" xfId="30115"/>
    <cellStyle name="Dane wejściowe 2 5 2 3" xfId="30116"/>
    <cellStyle name="Dane wejściowe 2 5 20" xfId="30117"/>
    <cellStyle name="Dane wejściowe 2 5 20 2" xfId="30118"/>
    <cellStyle name="Dane wejściowe 2 5 20 3" xfId="30119"/>
    <cellStyle name="Dane wejściowe 2 5 3" xfId="30120"/>
    <cellStyle name="Dane wejściowe 2 5 3 2" xfId="30121"/>
    <cellStyle name="Dane wejściowe 2 5 3 3" xfId="30122"/>
    <cellStyle name="Dane wejściowe 2 5 4" xfId="30123"/>
    <cellStyle name="Dane wejściowe 2 5 4 2" xfId="30124"/>
    <cellStyle name="Dane wejściowe 2 5 4 3" xfId="30125"/>
    <cellStyle name="Dane wejściowe 2 5 5" xfId="30126"/>
    <cellStyle name="Dane wejściowe 2 5 5 2" xfId="30127"/>
    <cellStyle name="Dane wejściowe 2 5 5 3" xfId="30128"/>
    <cellStyle name="Dane wejściowe 2 5 6" xfId="30129"/>
    <cellStyle name="Dane wejściowe 2 5 6 2" xfId="30130"/>
    <cellStyle name="Dane wejściowe 2 5 6 3" xfId="30131"/>
    <cellStyle name="Dane wejściowe 2 5 7" xfId="30132"/>
    <cellStyle name="Dane wejściowe 2 5 7 2" xfId="30133"/>
    <cellStyle name="Dane wejściowe 2 5 7 3" xfId="30134"/>
    <cellStyle name="Dane wejściowe 2 5 8" xfId="30135"/>
    <cellStyle name="Dane wejściowe 2 5 8 2" xfId="30136"/>
    <cellStyle name="Dane wejściowe 2 5 8 3" xfId="30137"/>
    <cellStyle name="Dane wejściowe 2 5 9" xfId="30138"/>
    <cellStyle name="Dane wejściowe 2 5 9 2" xfId="30139"/>
    <cellStyle name="Dane wejściowe 2 5 9 3" xfId="30140"/>
    <cellStyle name="Dane wejściowe 2 6" xfId="30141"/>
    <cellStyle name="Dane wejściowe 2 6 10" xfId="30142"/>
    <cellStyle name="Dane wejściowe 2 6 10 2" xfId="30143"/>
    <cellStyle name="Dane wejściowe 2 6 10 3" xfId="30144"/>
    <cellStyle name="Dane wejściowe 2 6 11" xfId="30145"/>
    <cellStyle name="Dane wejściowe 2 6 11 2" xfId="30146"/>
    <cellStyle name="Dane wejściowe 2 6 11 3" xfId="30147"/>
    <cellStyle name="Dane wejściowe 2 6 12" xfId="30148"/>
    <cellStyle name="Dane wejściowe 2 6 12 2" xfId="30149"/>
    <cellStyle name="Dane wejściowe 2 6 12 3" xfId="30150"/>
    <cellStyle name="Dane wejściowe 2 6 13" xfId="30151"/>
    <cellStyle name="Dane wejściowe 2 6 13 2" xfId="30152"/>
    <cellStyle name="Dane wejściowe 2 6 13 3" xfId="30153"/>
    <cellStyle name="Dane wejściowe 2 6 14" xfId="30154"/>
    <cellStyle name="Dane wejściowe 2 6 14 2" xfId="30155"/>
    <cellStyle name="Dane wejściowe 2 6 14 3" xfId="30156"/>
    <cellStyle name="Dane wejściowe 2 6 15" xfId="30157"/>
    <cellStyle name="Dane wejściowe 2 6 15 2" xfId="30158"/>
    <cellStyle name="Dane wejściowe 2 6 15 3" xfId="30159"/>
    <cellStyle name="Dane wejściowe 2 6 16" xfId="30160"/>
    <cellStyle name="Dane wejściowe 2 6 16 2" xfId="30161"/>
    <cellStyle name="Dane wejściowe 2 6 16 3" xfId="30162"/>
    <cellStyle name="Dane wejściowe 2 6 17" xfId="30163"/>
    <cellStyle name="Dane wejściowe 2 6 17 2" xfId="30164"/>
    <cellStyle name="Dane wejściowe 2 6 17 3" xfId="30165"/>
    <cellStyle name="Dane wejściowe 2 6 18" xfId="30166"/>
    <cellStyle name="Dane wejściowe 2 6 18 2" xfId="30167"/>
    <cellStyle name="Dane wejściowe 2 6 18 3" xfId="30168"/>
    <cellStyle name="Dane wejściowe 2 6 19" xfId="30169"/>
    <cellStyle name="Dane wejściowe 2 6 19 2" xfId="30170"/>
    <cellStyle name="Dane wejściowe 2 6 19 3" xfId="30171"/>
    <cellStyle name="Dane wejściowe 2 6 2" xfId="30172"/>
    <cellStyle name="Dane wejściowe 2 6 2 2" xfId="30173"/>
    <cellStyle name="Dane wejściowe 2 6 2 3" xfId="30174"/>
    <cellStyle name="Dane wejściowe 2 6 20" xfId="30175"/>
    <cellStyle name="Dane wejściowe 2 6 20 2" xfId="30176"/>
    <cellStyle name="Dane wejściowe 2 6 20 3" xfId="30177"/>
    <cellStyle name="Dane wejściowe 2 6 3" xfId="30178"/>
    <cellStyle name="Dane wejściowe 2 6 3 2" xfId="30179"/>
    <cellStyle name="Dane wejściowe 2 6 3 3" xfId="30180"/>
    <cellStyle name="Dane wejściowe 2 6 4" xfId="30181"/>
    <cellStyle name="Dane wejściowe 2 6 4 2" xfId="30182"/>
    <cellStyle name="Dane wejściowe 2 6 4 3" xfId="30183"/>
    <cellStyle name="Dane wejściowe 2 6 5" xfId="30184"/>
    <cellStyle name="Dane wejściowe 2 6 5 2" xfId="30185"/>
    <cellStyle name="Dane wejściowe 2 6 5 3" xfId="30186"/>
    <cellStyle name="Dane wejściowe 2 6 6" xfId="30187"/>
    <cellStyle name="Dane wejściowe 2 6 6 2" xfId="30188"/>
    <cellStyle name="Dane wejściowe 2 6 6 3" xfId="30189"/>
    <cellStyle name="Dane wejściowe 2 6 7" xfId="30190"/>
    <cellStyle name="Dane wejściowe 2 6 7 2" xfId="30191"/>
    <cellStyle name="Dane wejściowe 2 6 7 3" xfId="30192"/>
    <cellStyle name="Dane wejściowe 2 6 8" xfId="30193"/>
    <cellStyle name="Dane wejściowe 2 6 8 2" xfId="30194"/>
    <cellStyle name="Dane wejściowe 2 6 8 3" xfId="30195"/>
    <cellStyle name="Dane wejściowe 2 6 9" xfId="30196"/>
    <cellStyle name="Dane wejściowe 2 6 9 2" xfId="30197"/>
    <cellStyle name="Dane wejściowe 2 6 9 3" xfId="30198"/>
    <cellStyle name="Dane wejściowe 2 7" xfId="30199"/>
    <cellStyle name="Dane wejściowe 2 7 10" xfId="30200"/>
    <cellStyle name="Dane wejściowe 2 7 10 2" xfId="30201"/>
    <cellStyle name="Dane wejściowe 2 7 10 3" xfId="30202"/>
    <cellStyle name="Dane wejściowe 2 7 11" xfId="30203"/>
    <cellStyle name="Dane wejściowe 2 7 11 2" xfId="30204"/>
    <cellStyle name="Dane wejściowe 2 7 11 3" xfId="30205"/>
    <cellStyle name="Dane wejściowe 2 7 12" xfId="30206"/>
    <cellStyle name="Dane wejściowe 2 7 12 2" xfId="30207"/>
    <cellStyle name="Dane wejściowe 2 7 12 3" xfId="30208"/>
    <cellStyle name="Dane wejściowe 2 7 13" xfId="30209"/>
    <cellStyle name="Dane wejściowe 2 7 13 2" xfId="30210"/>
    <cellStyle name="Dane wejściowe 2 7 13 3" xfId="30211"/>
    <cellStyle name="Dane wejściowe 2 7 14" xfId="30212"/>
    <cellStyle name="Dane wejściowe 2 7 14 2" xfId="30213"/>
    <cellStyle name="Dane wejściowe 2 7 14 3" xfId="30214"/>
    <cellStyle name="Dane wejściowe 2 7 15" xfId="30215"/>
    <cellStyle name="Dane wejściowe 2 7 15 2" xfId="30216"/>
    <cellStyle name="Dane wejściowe 2 7 15 3" xfId="30217"/>
    <cellStyle name="Dane wejściowe 2 7 16" xfId="30218"/>
    <cellStyle name="Dane wejściowe 2 7 16 2" xfId="30219"/>
    <cellStyle name="Dane wejściowe 2 7 16 3" xfId="30220"/>
    <cellStyle name="Dane wejściowe 2 7 17" xfId="30221"/>
    <cellStyle name="Dane wejściowe 2 7 17 2" xfId="30222"/>
    <cellStyle name="Dane wejściowe 2 7 17 3" xfId="30223"/>
    <cellStyle name="Dane wejściowe 2 7 18" xfId="30224"/>
    <cellStyle name="Dane wejściowe 2 7 18 2" xfId="30225"/>
    <cellStyle name="Dane wejściowe 2 7 18 3" xfId="30226"/>
    <cellStyle name="Dane wejściowe 2 7 19" xfId="30227"/>
    <cellStyle name="Dane wejściowe 2 7 19 2" xfId="30228"/>
    <cellStyle name="Dane wejściowe 2 7 19 3" xfId="30229"/>
    <cellStyle name="Dane wejściowe 2 7 2" xfId="30230"/>
    <cellStyle name="Dane wejściowe 2 7 2 2" xfId="30231"/>
    <cellStyle name="Dane wejściowe 2 7 2 3" xfId="30232"/>
    <cellStyle name="Dane wejściowe 2 7 20" xfId="30233"/>
    <cellStyle name="Dane wejściowe 2 7 20 2" xfId="30234"/>
    <cellStyle name="Dane wejściowe 2 7 20 3" xfId="30235"/>
    <cellStyle name="Dane wejściowe 2 7 3" xfId="30236"/>
    <cellStyle name="Dane wejściowe 2 7 3 2" xfId="30237"/>
    <cellStyle name="Dane wejściowe 2 7 3 3" xfId="30238"/>
    <cellStyle name="Dane wejściowe 2 7 4" xfId="30239"/>
    <cellStyle name="Dane wejściowe 2 7 4 2" xfId="30240"/>
    <cellStyle name="Dane wejściowe 2 7 4 3" xfId="30241"/>
    <cellStyle name="Dane wejściowe 2 7 5" xfId="30242"/>
    <cellStyle name="Dane wejściowe 2 7 5 2" xfId="30243"/>
    <cellStyle name="Dane wejściowe 2 7 5 3" xfId="30244"/>
    <cellStyle name="Dane wejściowe 2 7 6" xfId="30245"/>
    <cellStyle name="Dane wejściowe 2 7 6 2" xfId="30246"/>
    <cellStyle name="Dane wejściowe 2 7 6 3" xfId="30247"/>
    <cellStyle name="Dane wejściowe 2 7 7" xfId="30248"/>
    <cellStyle name="Dane wejściowe 2 7 7 2" xfId="30249"/>
    <cellStyle name="Dane wejściowe 2 7 7 3" xfId="30250"/>
    <cellStyle name="Dane wejściowe 2 7 8" xfId="30251"/>
    <cellStyle name="Dane wejściowe 2 7 8 2" xfId="30252"/>
    <cellStyle name="Dane wejściowe 2 7 8 3" xfId="30253"/>
    <cellStyle name="Dane wejściowe 2 7 9" xfId="30254"/>
    <cellStyle name="Dane wejściowe 2 7 9 2" xfId="30255"/>
    <cellStyle name="Dane wejściowe 2 7 9 3" xfId="30256"/>
    <cellStyle name="Dane wejściowe 2 8" xfId="30257"/>
    <cellStyle name="Dane wejściowe 2 8 10" xfId="30258"/>
    <cellStyle name="Dane wejściowe 2 8 10 2" xfId="30259"/>
    <cellStyle name="Dane wejściowe 2 8 10 3" xfId="30260"/>
    <cellStyle name="Dane wejściowe 2 8 11" xfId="30261"/>
    <cellStyle name="Dane wejściowe 2 8 11 2" xfId="30262"/>
    <cellStyle name="Dane wejściowe 2 8 11 3" xfId="30263"/>
    <cellStyle name="Dane wejściowe 2 8 12" xfId="30264"/>
    <cellStyle name="Dane wejściowe 2 8 12 2" xfId="30265"/>
    <cellStyle name="Dane wejściowe 2 8 12 3" xfId="30266"/>
    <cellStyle name="Dane wejściowe 2 8 13" xfId="30267"/>
    <cellStyle name="Dane wejściowe 2 8 13 2" xfId="30268"/>
    <cellStyle name="Dane wejściowe 2 8 13 3" xfId="30269"/>
    <cellStyle name="Dane wejściowe 2 8 14" xfId="30270"/>
    <cellStyle name="Dane wejściowe 2 8 14 2" xfId="30271"/>
    <cellStyle name="Dane wejściowe 2 8 14 3" xfId="30272"/>
    <cellStyle name="Dane wejściowe 2 8 15" xfId="30273"/>
    <cellStyle name="Dane wejściowe 2 8 15 2" xfId="30274"/>
    <cellStyle name="Dane wejściowe 2 8 15 3" xfId="30275"/>
    <cellStyle name="Dane wejściowe 2 8 16" xfId="30276"/>
    <cellStyle name="Dane wejściowe 2 8 16 2" xfId="30277"/>
    <cellStyle name="Dane wejściowe 2 8 16 3" xfId="30278"/>
    <cellStyle name="Dane wejściowe 2 8 17" xfId="30279"/>
    <cellStyle name="Dane wejściowe 2 8 17 2" xfId="30280"/>
    <cellStyle name="Dane wejściowe 2 8 17 3" xfId="30281"/>
    <cellStyle name="Dane wejściowe 2 8 18" xfId="30282"/>
    <cellStyle name="Dane wejściowe 2 8 18 2" xfId="30283"/>
    <cellStyle name="Dane wejściowe 2 8 18 3" xfId="30284"/>
    <cellStyle name="Dane wejściowe 2 8 19" xfId="30285"/>
    <cellStyle name="Dane wejściowe 2 8 19 2" xfId="30286"/>
    <cellStyle name="Dane wejściowe 2 8 19 3" xfId="30287"/>
    <cellStyle name="Dane wejściowe 2 8 2" xfId="30288"/>
    <cellStyle name="Dane wejściowe 2 8 2 2" xfId="30289"/>
    <cellStyle name="Dane wejściowe 2 8 2 3" xfId="30290"/>
    <cellStyle name="Dane wejściowe 2 8 20" xfId="30291"/>
    <cellStyle name="Dane wejściowe 2 8 20 2" xfId="30292"/>
    <cellStyle name="Dane wejściowe 2 8 20 3" xfId="30293"/>
    <cellStyle name="Dane wejściowe 2 8 3" xfId="30294"/>
    <cellStyle name="Dane wejściowe 2 8 3 2" xfId="30295"/>
    <cellStyle name="Dane wejściowe 2 8 3 3" xfId="30296"/>
    <cellStyle name="Dane wejściowe 2 8 4" xfId="30297"/>
    <cellStyle name="Dane wejściowe 2 8 4 2" xfId="30298"/>
    <cellStyle name="Dane wejściowe 2 8 4 3" xfId="30299"/>
    <cellStyle name="Dane wejściowe 2 8 5" xfId="30300"/>
    <cellStyle name="Dane wejściowe 2 8 5 2" xfId="30301"/>
    <cellStyle name="Dane wejściowe 2 8 5 3" xfId="30302"/>
    <cellStyle name="Dane wejściowe 2 8 6" xfId="30303"/>
    <cellStyle name="Dane wejściowe 2 8 6 2" xfId="30304"/>
    <cellStyle name="Dane wejściowe 2 8 6 3" xfId="30305"/>
    <cellStyle name="Dane wejściowe 2 8 7" xfId="30306"/>
    <cellStyle name="Dane wejściowe 2 8 7 2" xfId="30307"/>
    <cellStyle name="Dane wejściowe 2 8 7 3" xfId="30308"/>
    <cellStyle name="Dane wejściowe 2 8 8" xfId="30309"/>
    <cellStyle name="Dane wejściowe 2 8 8 2" xfId="30310"/>
    <cellStyle name="Dane wejściowe 2 8 8 3" xfId="30311"/>
    <cellStyle name="Dane wejściowe 2 8 9" xfId="30312"/>
    <cellStyle name="Dane wejściowe 2 8 9 2" xfId="30313"/>
    <cellStyle name="Dane wejściowe 2 8 9 3" xfId="30314"/>
    <cellStyle name="Dane wejściowe 2 9" xfId="30315"/>
    <cellStyle name="Dane wejściowe 2 9 2" xfId="30316"/>
    <cellStyle name="Dane wejściowe 2 9 3" xfId="30317"/>
    <cellStyle name="Dane wejściowe 20" xfId="30318"/>
    <cellStyle name="Dane wejściowe 20 2" xfId="30319"/>
    <cellStyle name="Dane wejściowe 20 3" xfId="30320"/>
    <cellStyle name="Dane wejściowe 21" xfId="30321"/>
    <cellStyle name="Dane wejściowe 21 2" xfId="30322"/>
    <cellStyle name="Dane wejściowe 21 3" xfId="30323"/>
    <cellStyle name="Dane wejściowe 22" xfId="30324"/>
    <cellStyle name="Dane wejściowe 22 2" xfId="30325"/>
    <cellStyle name="Dane wejściowe 22 3" xfId="30326"/>
    <cellStyle name="Dane wejściowe 23" xfId="30327"/>
    <cellStyle name="Dane wejściowe 23 2" xfId="30328"/>
    <cellStyle name="Dane wejściowe 23 3" xfId="30329"/>
    <cellStyle name="Dane wejściowe 24" xfId="30330"/>
    <cellStyle name="Dane wejściowe 24 2" xfId="30331"/>
    <cellStyle name="Dane wejściowe 24 3" xfId="30332"/>
    <cellStyle name="Dane wejściowe 25" xfId="30333"/>
    <cellStyle name="Dane wejściowe 25 2" xfId="30334"/>
    <cellStyle name="Dane wejściowe 25 3" xfId="30335"/>
    <cellStyle name="Dane wejściowe 26" xfId="30336"/>
    <cellStyle name="Dane wejściowe 27" xfId="30337"/>
    <cellStyle name="Dane wejściowe 3" xfId="30338"/>
    <cellStyle name="Dane wejściowe 3 10" xfId="30339"/>
    <cellStyle name="Dane wejściowe 3 10 2" xfId="30340"/>
    <cellStyle name="Dane wejściowe 3 10 3" xfId="30341"/>
    <cellStyle name="Dane wejściowe 3 11" xfId="30342"/>
    <cellStyle name="Dane wejściowe 3 11 2" xfId="30343"/>
    <cellStyle name="Dane wejściowe 3 11 3" xfId="30344"/>
    <cellStyle name="Dane wejściowe 3 12" xfId="30345"/>
    <cellStyle name="Dane wejściowe 3 12 2" xfId="30346"/>
    <cellStyle name="Dane wejściowe 3 12 3" xfId="30347"/>
    <cellStyle name="Dane wejściowe 3 13" xfId="30348"/>
    <cellStyle name="Dane wejściowe 3 13 2" xfId="30349"/>
    <cellStyle name="Dane wejściowe 3 13 3" xfId="30350"/>
    <cellStyle name="Dane wejściowe 3 14" xfId="30351"/>
    <cellStyle name="Dane wejściowe 3 14 2" xfId="30352"/>
    <cellStyle name="Dane wejściowe 3 14 3" xfId="30353"/>
    <cellStyle name="Dane wejściowe 3 15" xfId="30354"/>
    <cellStyle name="Dane wejściowe 3 15 2" xfId="30355"/>
    <cellStyle name="Dane wejściowe 3 15 3" xfId="30356"/>
    <cellStyle name="Dane wejściowe 3 16" xfId="30357"/>
    <cellStyle name="Dane wejściowe 3 16 2" xfId="30358"/>
    <cellStyle name="Dane wejściowe 3 16 3" xfId="30359"/>
    <cellStyle name="Dane wejściowe 3 17" xfId="30360"/>
    <cellStyle name="Dane wejściowe 3 17 2" xfId="30361"/>
    <cellStyle name="Dane wejściowe 3 17 3" xfId="30362"/>
    <cellStyle name="Dane wejściowe 3 18" xfId="30363"/>
    <cellStyle name="Dane wejściowe 3 18 2" xfId="30364"/>
    <cellStyle name="Dane wejściowe 3 18 3" xfId="30365"/>
    <cellStyle name="Dane wejściowe 3 19" xfId="30366"/>
    <cellStyle name="Dane wejściowe 3 19 2" xfId="30367"/>
    <cellStyle name="Dane wejściowe 3 19 3" xfId="30368"/>
    <cellStyle name="Dane wejściowe 3 2" xfId="30369"/>
    <cellStyle name="Dane wejściowe 3 2 2" xfId="30370"/>
    <cellStyle name="Dane wejściowe 3 2 3" xfId="30371"/>
    <cellStyle name="Dane wejściowe 3 20" xfId="30372"/>
    <cellStyle name="Dane wejściowe 3 20 2" xfId="30373"/>
    <cellStyle name="Dane wejściowe 3 20 3" xfId="30374"/>
    <cellStyle name="Dane wejściowe 3 3" xfId="30375"/>
    <cellStyle name="Dane wejściowe 3 3 2" xfId="30376"/>
    <cellStyle name="Dane wejściowe 3 3 3" xfId="30377"/>
    <cellStyle name="Dane wejściowe 3 4" xfId="30378"/>
    <cellStyle name="Dane wejściowe 3 4 2" xfId="30379"/>
    <cellStyle name="Dane wejściowe 3 4 3" xfId="30380"/>
    <cellStyle name="Dane wejściowe 3 5" xfId="30381"/>
    <cellStyle name="Dane wejściowe 3 5 2" xfId="30382"/>
    <cellStyle name="Dane wejściowe 3 5 3" xfId="30383"/>
    <cellStyle name="Dane wejściowe 3 6" xfId="30384"/>
    <cellStyle name="Dane wejściowe 3 6 2" xfId="30385"/>
    <cellStyle name="Dane wejściowe 3 6 3" xfId="30386"/>
    <cellStyle name="Dane wejściowe 3 7" xfId="30387"/>
    <cellStyle name="Dane wejściowe 3 7 2" xfId="30388"/>
    <cellStyle name="Dane wejściowe 3 7 3" xfId="30389"/>
    <cellStyle name="Dane wejściowe 3 8" xfId="30390"/>
    <cellStyle name="Dane wejściowe 3 8 2" xfId="30391"/>
    <cellStyle name="Dane wejściowe 3 8 3" xfId="30392"/>
    <cellStyle name="Dane wejściowe 3 9" xfId="30393"/>
    <cellStyle name="Dane wejściowe 3 9 2" xfId="30394"/>
    <cellStyle name="Dane wejściowe 3 9 3" xfId="30395"/>
    <cellStyle name="Dane wejściowe 4" xfId="30396"/>
    <cellStyle name="Dane wejściowe 4 10" xfId="30397"/>
    <cellStyle name="Dane wejściowe 4 10 2" xfId="30398"/>
    <cellStyle name="Dane wejściowe 4 10 3" xfId="30399"/>
    <cellStyle name="Dane wejściowe 4 11" xfId="30400"/>
    <cellStyle name="Dane wejściowe 4 11 2" xfId="30401"/>
    <cellStyle name="Dane wejściowe 4 11 3" xfId="30402"/>
    <cellStyle name="Dane wejściowe 4 12" xfId="30403"/>
    <cellStyle name="Dane wejściowe 4 12 2" xfId="30404"/>
    <cellStyle name="Dane wejściowe 4 12 3" xfId="30405"/>
    <cellStyle name="Dane wejściowe 4 13" xfId="30406"/>
    <cellStyle name="Dane wejściowe 4 13 2" xfId="30407"/>
    <cellStyle name="Dane wejściowe 4 13 3" xfId="30408"/>
    <cellStyle name="Dane wejściowe 4 14" xfId="30409"/>
    <cellStyle name="Dane wejściowe 4 14 2" xfId="30410"/>
    <cellStyle name="Dane wejściowe 4 14 3" xfId="30411"/>
    <cellStyle name="Dane wejściowe 4 15" xfId="30412"/>
    <cellStyle name="Dane wejściowe 4 15 2" xfId="30413"/>
    <cellStyle name="Dane wejściowe 4 15 3" xfId="30414"/>
    <cellStyle name="Dane wejściowe 4 16" xfId="30415"/>
    <cellStyle name="Dane wejściowe 4 16 2" xfId="30416"/>
    <cellStyle name="Dane wejściowe 4 16 3" xfId="30417"/>
    <cellStyle name="Dane wejściowe 4 17" xfId="30418"/>
    <cellStyle name="Dane wejściowe 4 17 2" xfId="30419"/>
    <cellStyle name="Dane wejściowe 4 17 3" xfId="30420"/>
    <cellStyle name="Dane wejściowe 4 18" xfId="30421"/>
    <cellStyle name="Dane wejściowe 4 18 2" xfId="30422"/>
    <cellStyle name="Dane wejściowe 4 18 3" xfId="30423"/>
    <cellStyle name="Dane wejściowe 4 19" xfId="30424"/>
    <cellStyle name="Dane wejściowe 4 19 2" xfId="30425"/>
    <cellStyle name="Dane wejściowe 4 19 3" xfId="30426"/>
    <cellStyle name="Dane wejściowe 4 2" xfId="30427"/>
    <cellStyle name="Dane wejściowe 4 2 10" xfId="30428"/>
    <cellStyle name="Dane wejściowe 4 2 10 2" xfId="30429"/>
    <cellStyle name="Dane wejściowe 4 2 10 3" xfId="30430"/>
    <cellStyle name="Dane wejściowe 4 2 11" xfId="30431"/>
    <cellStyle name="Dane wejściowe 4 2 11 2" xfId="30432"/>
    <cellStyle name="Dane wejściowe 4 2 11 3" xfId="30433"/>
    <cellStyle name="Dane wejściowe 4 2 12" xfId="30434"/>
    <cellStyle name="Dane wejściowe 4 2 12 2" xfId="30435"/>
    <cellStyle name="Dane wejściowe 4 2 12 3" xfId="30436"/>
    <cellStyle name="Dane wejściowe 4 2 13" xfId="30437"/>
    <cellStyle name="Dane wejściowe 4 2 13 2" xfId="30438"/>
    <cellStyle name="Dane wejściowe 4 2 13 3" xfId="30439"/>
    <cellStyle name="Dane wejściowe 4 2 14" xfId="30440"/>
    <cellStyle name="Dane wejściowe 4 2 14 2" xfId="30441"/>
    <cellStyle name="Dane wejściowe 4 2 14 3" xfId="30442"/>
    <cellStyle name="Dane wejściowe 4 2 15" xfId="30443"/>
    <cellStyle name="Dane wejściowe 4 2 15 2" xfId="30444"/>
    <cellStyle name="Dane wejściowe 4 2 15 3" xfId="30445"/>
    <cellStyle name="Dane wejściowe 4 2 16" xfId="30446"/>
    <cellStyle name="Dane wejściowe 4 2 16 2" xfId="30447"/>
    <cellStyle name="Dane wejściowe 4 2 16 3" xfId="30448"/>
    <cellStyle name="Dane wejściowe 4 2 17" xfId="30449"/>
    <cellStyle name="Dane wejściowe 4 2 17 2" xfId="30450"/>
    <cellStyle name="Dane wejściowe 4 2 17 3" xfId="30451"/>
    <cellStyle name="Dane wejściowe 4 2 18" xfId="30452"/>
    <cellStyle name="Dane wejściowe 4 2 18 2" xfId="30453"/>
    <cellStyle name="Dane wejściowe 4 2 18 3" xfId="30454"/>
    <cellStyle name="Dane wejściowe 4 2 19" xfId="30455"/>
    <cellStyle name="Dane wejściowe 4 2 19 2" xfId="30456"/>
    <cellStyle name="Dane wejściowe 4 2 19 3" xfId="30457"/>
    <cellStyle name="Dane wejściowe 4 2 2" xfId="30458"/>
    <cellStyle name="Dane wejściowe 4 2 2 2" xfId="30459"/>
    <cellStyle name="Dane wejściowe 4 2 2 3" xfId="30460"/>
    <cellStyle name="Dane wejściowe 4 2 20" xfId="30461"/>
    <cellStyle name="Dane wejściowe 4 2 20 2" xfId="30462"/>
    <cellStyle name="Dane wejściowe 4 2 20 3" xfId="30463"/>
    <cellStyle name="Dane wejściowe 4 2 3" xfId="30464"/>
    <cellStyle name="Dane wejściowe 4 2 3 2" xfId="30465"/>
    <cellStyle name="Dane wejściowe 4 2 3 3" xfId="30466"/>
    <cellStyle name="Dane wejściowe 4 2 4" xfId="30467"/>
    <cellStyle name="Dane wejściowe 4 2 4 2" xfId="30468"/>
    <cellStyle name="Dane wejściowe 4 2 4 3" xfId="30469"/>
    <cellStyle name="Dane wejściowe 4 2 5" xfId="30470"/>
    <cellStyle name="Dane wejściowe 4 2 5 2" xfId="30471"/>
    <cellStyle name="Dane wejściowe 4 2 5 3" xfId="30472"/>
    <cellStyle name="Dane wejściowe 4 2 6" xfId="30473"/>
    <cellStyle name="Dane wejściowe 4 2 6 2" xfId="30474"/>
    <cellStyle name="Dane wejściowe 4 2 6 3" xfId="30475"/>
    <cellStyle name="Dane wejściowe 4 2 7" xfId="30476"/>
    <cellStyle name="Dane wejściowe 4 2 7 2" xfId="30477"/>
    <cellStyle name="Dane wejściowe 4 2 7 3" xfId="30478"/>
    <cellStyle name="Dane wejściowe 4 2 8" xfId="30479"/>
    <cellStyle name="Dane wejściowe 4 2 8 2" xfId="30480"/>
    <cellStyle name="Dane wejściowe 4 2 8 3" xfId="30481"/>
    <cellStyle name="Dane wejściowe 4 2 9" xfId="30482"/>
    <cellStyle name="Dane wejściowe 4 2 9 2" xfId="30483"/>
    <cellStyle name="Dane wejściowe 4 2 9 3" xfId="30484"/>
    <cellStyle name="Dane wejściowe 4 20" xfId="30485"/>
    <cellStyle name="Dane wejściowe 4 20 2" xfId="30486"/>
    <cellStyle name="Dane wejściowe 4 20 3" xfId="30487"/>
    <cellStyle name="Dane wejściowe 4 21" xfId="30488"/>
    <cellStyle name="Dane wejściowe 4 21 2" xfId="30489"/>
    <cellStyle name="Dane wejściowe 4 21 3" xfId="30490"/>
    <cellStyle name="Dane wejściowe 4 22" xfId="30491"/>
    <cellStyle name="Dane wejściowe 4 22 2" xfId="30492"/>
    <cellStyle name="Dane wejściowe 4 22 3" xfId="30493"/>
    <cellStyle name="Dane wejściowe 4 3" xfId="30494"/>
    <cellStyle name="Dane wejściowe 4 3 10" xfId="30495"/>
    <cellStyle name="Dane wejściowe 4 3 10 2" xfId="30496"/>
    <cellStyle name="Dane wejściowe 4 3 10 3" xfId="30497"/>
    <cellStyle name="Dane wejściowe 4 3 11" xfId="30498"/>
    <cellStyle name="Dane wejściowe 4 3 11 2" xfId="30499"/>
    <cellStyle name="Dane wejściowe 4 3 11 3" xfId="30500"/>
    <cellStyle name="Dane wejściowe 4 3 12" xfId="30501"/>
    <cellStyle name="Dane wejściowe 4 3 12 2" xfId="30502"/>
    <cellStyle name="Dane wejściowe 4 3 12 3" xfId="30503"/>
    <cellStyle name="Dane wejściowe 4 3 13" xfId="30504"/>
    <cellStyle name="Dane wejściowe 4 3 13 2" xfId="30505"/>
    <cellStyle name="Dane wejściowe 4 3 13 3" xfId="30506"/>
    <cellStyle name="Dane wejściowe 4 3 14" xfId="30507"/>
    <cellStyle name="Dane wejściowe 4 3 14 2" xfId="30508"/>
    <cellStyle name="Dane wejściowe 4 3 14 3" xfId="30509"/>
    <cellStyle name="Dane wejściowe 4 3 15" xfId="30510"/>
    <cellStyle name="Dane wejściowe 4 3 15 2" xfId="30511"/>
    <cellStyle name="Dane wejściowe 4 3 15 3" xfId="30512"/>
    <cellStyle name="Dane wejściowe 4 3 16" xfId="30513"/>
    <cellStyle name="Dane wejściowe 4 3 16 2" xfId="30514"/>
    <cellStyle name="Dane wejściowe 4 3 16 3" xfId="30515"/>
    <cellStyle name="Dane wejściowe 4 3 17" xfId="30516"/>
    <cellStyle name="Dane wejściowe 4 3 17 2" xfId="30517"/>
    <cellStyle name="Dane wejściowe 4 3 17 3" xfId="30518"/>
    <cellStyle name="Dane wejściowe 4 3 18" xfId="30519"/>
    <cellStyle name="Dane wejściowe 4 3 18 2" xfId="30520"/>
    <cellStyle name="Dane wejściowe 4 3 18 3" xfId="30521"/>
    <cellStyle name="Dane wejściowe 4 3 19" xfId="30522"/>
    <cellStyle name="Dane wejściowe 4 3 19 2" xfId="30523"/>
    <cellStyle name="Dane wejściowe 4 3 19 3" xfId="30524"/>
    <cellStyle name="Dane wejściowe 4 3 2" xfId="30525"/>
    <cellStyle name="Dane wejściowe 4 3 2 2" xfId="30526"/>
    <cellStyle name="Dane wejściowe 4 3 2 3" xfId="30527"/>
    <cellStyle name="Dane wejściowe 4 3 20" xfId="30528"/>
    <cellStyle name="Dane wejściowe 4 3 20 2" xfId="30529"/>
    <cellStyle name="Dane wejściowe 4 3 20 3" xfId="30530"/>
    <cellStyle name="Dane wejściowe 4 3 3" xfId="30531"/>
    <cellStyle name="Dane wejściowe 4 3 3 2" xfId="30532"/>
    <cellStyle name="Dane wejściowe 4 3 3 3" xfId="30533"/>
    <cellStyle name="Dane wejściowe 4 3 4" xfId="30534"/>
    <cellStyle name="Dane wejściowe 4 3 4 2" xfId="30535"/>
    <cellStyle name="Dane wejściowe 4 3 4 3" xfId="30536"/>
    <cellStyle name="Dane wejściowe 4 3 5" xfId="30537"/>
    <cellStyle name="Dane wejściowe 4 3 5 2" xfId="30538"/>
    <cellStyle name="Dane wejściowe 4 3 5 3" xfId="30539"/>
    <cellStyle name="Dane wejściowe 4 3 6" xfId="30540"/>
    <cellStyle name="Dane wejściowe 4 3 6 2" xfId="30541"/>
    <cellStyle name="Dane wejściowe 4 3 6 3" xfId="30542"/>
    <cellStyle name="Dane wejściowe 4 3 7" xfId="30543"/>
    <cellStyle name="Dane wejściowe 4 3 7 2" xfId="30544"/>
    <cellStyle name="Dane wejściowe 4 3 7 3" xfId="30545"/>
    <cellStyle name="Dane wejściowe 4 3 8" xfId="30546"/>
    <cellStyle name="Dane wejściowe 4 3 8 2" xfId="30547"/>
    <cellStyle name="Dane wejściowe 4 3 8 3" xfId="30548"/>
    <cellStyle name="Dane wejściowe 4 3 9" xfId="30549"/>
    <cellStyle name="Dane wejściowe 4 3 9 2" xfId="30550"/>
    <cellStyle name="Dane wejściowe 4 3 9 3" xfId="30551"/>
    <cellStyle name="Dane wejściowe 4 4" xfId="30552"/>
    <cellStyle name="Dane wejściowe 4 4 2" xfId="30553"/>
    <cellStyle name="Dane wejściowe 4 4 3" xfId="30554"/>
    <cellStyle name="Dane wejściowe 4 5" xfId="30555"/>
    <cellStyle name="Dane wejściowe 4 5 2" xfId="30556"/>
    <cellStyle name="Dane wejściowe 4 5 3" xfId="30557"/>
    <cellStyle name="Dane wejściowe 4 6" xfId="30558"/>
    <cellStyle name="Dane wejściowe 4 6 2" xfId="30559"/>
    <cellStyle name="Dane wejściowe 4 6 3" xfId="30560"/>
    <cellStyle name="Dane wejściowe 4 7" xfId="30561"/>
    <cellStyle name="Dane wejściowe 4 7 2" xfId="30562"/>
    <cellStyle name="Dane wejściowe 4 7 3" xfId="30563"/>
    <cellStyle name="Dane wejściowe 4 8" xfId="30564"/>
    <cellStyle name="Dane wejściowe 4 8 2" xfId="30565"/>
    <cellStyle name="Dane wejściowe 4 8 3" xfId="30566"/>
    <cellStyle name="Dane wejściowe 4 9" xfId="30567"/>
    <cellStyle name="Dane wejściowe 4 9 2" xfId="30568"/>
    <cellStyle name="Dane wejściowe 4 9 3" xfId="30569"/>
    <cellStyle name="Dane wejściowe 5" xfId="30570"/>
    <cellStyle name="Dane wejściowe 5 10" xfId="30571"/>
    <cellStyle name="Dane wejściowe 5 10 2" xfId="30572"/>
    <cellStyle name="Dane wejściowe 5 10 3" xfId="30573"/>
    <cellStyle name="Dane wejściowe 5 11" xfId="30574"/>
    <cellStyle name="Dane wejściowe 5 11 2" xfId="30575"/>
    <cellStyle name="Dane wejściowe 5 11 3" xfId="30576"/>
    <cellStyle name="Dane wejściowe 5 12" xfId="30577"/>
    <cellStyle name="Dane wejściowe 5 12 2" xfId="30578"/>
    <cellStyle name="Dane wejściowe 5 12 3" xfId="30579"/>
    <cellStyle name="Dane wejściowe 5 13" xfId="30580"/>
    <cellStyle name="Dane wejściowe 5 13 2" xfId="30581"/>
    <cellStyle name="Dane wejściowe 5 13 3" xfId="30582"/>
    <cellStyle name="Dane wejściowe 5 14" xfId="30583"/>
    <cellStyle name="Dane wejściowe 5 14 2" xfId="30584"/>
    <cellStyle name="Dane wejściowe 5 14 3" xfId="30585"/>
    <cellStyle name="Dane wejściowe 5 15" xfId="30586"/>
    <cellStyle name="Dane wejściowe 5 15 2" xfId="30587"/>
    <cellStyle name="Dane wejściowe 5 15 3" xfId="30588"/>
    <cellStyle name="Dane wejściowe 5 16" xfId="30589"/>
    <cellStyle name="Dane wejściowe 5 16 2" xfId="30590"/>
    <cellStyle name="Dane wejściowe 5 16 3" xfId="30591"/>
    <cellStyle name="Dane wejściowe 5 17" xfId="30592"/>
    <cellStyle name="Dane wejściowe 5 17 2" xfId="30593"/>
    <cellStyle name="Dane wejściowe 5 17 3" xfId="30594"/>
    <cellStyle name="Dane wejściowe 5 18" xfId="30595"/>
    <cellStyle name="Dane wejściowe 5 18 2" xfId="30596"/>
    <cellStyle name="Dane wejściowe 5 18 3" xfId="30597"/>
    <cellStyle name="Dane wejściowe 5 19" xfId="30598"/>
    <cellStyle name="Dane wejściowe 5 19 2" xfId="30599"/>
    <cellStyle name="Dane wejściowe 5 19 3" xfId="30600"/>
    <cellStyle name="Dane wejściowe 5 2" xfId="30601"/>
    <cellStyle name="Dane wejściowe 5 2 10" xfId="30602"/>
    <cellStyle name="Dane wejściowe 5 2 10 2" xfId="30603"/>
    <cellStyle name="Dane wejściowe 5 2 10 3" xfId="30604"/>
    <cellStyle name="Dane wejściowe 5 2 11" xfId="30605"/>
    <cellStyle name="Dane wejściowe 5 2 11 2" xfId="30606"/>
    <cellStyle name="Dane wejściowe 5 2 11 3" xfId="30607"/>
    <cellStyle name="Dane wejściowe 5 2 12" xfId="30608"/>
    <cellStyle name="Dane wejściowe 5 2 12 2" xfId="30609"/>
    <cellStyle name="Dane wejściowe 5 2 12 3" xfId="30610"/>
    <cellStyle name="Dane wejściowe 5 2 13" xfId="30611"/>
    <cellStyle name="Dane wejściowe 5 2 13 2" xfId="30612"/>
    <cellStyle name="Dane wejściowe 5 2 13 3" xfId="30613"/>
    <cellStyle name="Dane wejściowe 5 2 14" xfId="30614"/>
    <cellStyle name="Dane wejściowe 5 2 14 2" xfId="30615"/>
    <cellStyle name="Dane wejściowe 5 2 14 3" xfId="30616"/>
    <cellStyle name="Dane wejściowe 5 2 15" xfId="30617"/>
    <cellStyle name="Dane wejściowe 5 2 15 2" xfId="30618"/>
    <cellStyle name="Dane wejściowe 5 2 15 3" xfId="30619"/>
    <cellStyle name="Dane wejściowe 5 2 16" xfId="30620"/>
    <cellStyle name="Dane wejściowe 5 2 16 2" xfId="30621"/>
    <cellStyle name="Dane wejściowe 5 2 16 3" xfId="30622"/>
    <cellStyle name="Dane wejściowe 5 2 17" xfId="30623"/>
    <cellStyle name="Dane wejściowe 5 2 17 2" xfId="30624"/>
    <cellStyle name="Dane wejściowe 5 2 17 3" xfId="30625"/>
    <cellStyle name="Dane wejściowe 5 2 18" xfId="30626"/>
    <cellStyle name="Dane wejściowe 5 2 18 2" xfId="30627"/>
    <cellStyle name="Dane wejściowe 5 2 18 3" xfId="30628"/>
    <cellStyle name="Dane wejściowe 5 2 19" xfId="30629"/>
    <cellStyle name="Dane wejściowe 5 2 19 2" xfId="30630"/>
    <cellStyle name="Dane wejściowe 5 2 19 3" xfId="30631"/>
    <cellStyle name="Dane wejściowe 5 2 2" xfId="30632"/>
    <cellStyle name="Dane wejściowe 5 2 2 2" xfId="30633"/>
    <cellStyle name="Dane wejściowe 5 2 2 3" xfId="30634"/>
    <cellStyle name="Dane wejściowe 5 2 20" xfId="30635"/>
    <cellStyle name="Dane wejściowe 5 2 20 2" xfId="30636"/>
    <cellStyle name="Dane wejściowe 5 2 20 3" xfId="30637"/>
    <cellStyle name="Dane wejściowe 5 2 3" xfId="30638"/>
    <cellStyle name="Dane wejściowe 5 2 3 2" xfId="30639"/>
    <cellStyle name="Dane wejściowe 5 2 3 3" xfId="30640"/>
    <cellStyle name="Dane wejściowe 5 2 4" xfId="30641"/>
    <cellStyle name="Dane wejściowe 5 2 4 2" xfId="30642"/>
    <cellStyle name="Dane wejściowe 5 2 4 3" xfId="30643"/>
    <cellStyle name="Dane wejściowe 5 2 5" xfId="30644"/>
    <cellStyle name="Dane wejściowe 5 2 5 2" xfId="30645"/>
    <cellStyle name="Dane wejściowe 5 2 5 3" xfId="30646"/>
    <cellStyle name="Dane wejściowe 5 2 6" xfId="30647"/>
    <cellStyle name="Dane wejściowe 5 2 6 2" xfId="30648"/>
    <cellStyle name="Dane wejściowe 5 2 6 3" xfId="30649"/>
    <cellStyle name="Dane wejściowe 5 2 7" xfId="30650"/>
    <cellStyle name="Dane wejściowe 5 2 7 2" xfId="30651"/>
    <cellStyle name="Dane wejściowe 5 2 7 3" xfId="30652"/>
    <cellStyle name="Dane wejściowe 5 2 8" xfId="30653"/>
    <cellStyle name="Dane wejściowe 5 2 8 2" xfId="30654"/>
    <cellStyle name="Dane wejściowe 5 2 8 3" xfId="30655"/>
    <cellStyle name="Dane wejściowe 5 2 9" xfId="30656"/>
    <cellStyle name="Dane wejściowe 5 2 9 2" xfId="30657"/>
    <cellStyle name="Dane wejściowe 5 2 9 3" xfId="30658"/>
    <cellStyle name="Dane wejściowe 5 20" xfId="30659"/>
    <cellStyle name="Dane wejściowe 5 20 2" xfId="30660"/>
    <cellStyle name="Dane wejściowe 5 20 3" xfId="30661"/>
    <cellStyle name="Dane wejściowe 5 21" xfId="30662"/>
    <cellStyle name="Dane wejściowe 5 21 2" xfId="30663"/>
    <cellStyle name="Dane wejściowe 5 21 3" xfId="30664"/>
    <cellStyle name="Dane wejściowe 5 3" xfId="30665"/>
    <cellStyle name="Dane wejściowe 5 3 2" xfId="30666"/>
    <cellStyle name="Dane wejściowe 5 3 3" xfId="30667"/>
    <cellStyle name="Dane wejściowe 5 4" xfId="30668"/>
    <cellStyle name="Dane wejściowe 5 4 2" xfId="30669"/>
    <cellStyle name="Dane wejściowe 5 4 2 2" xfId="30670"/>
    <cellStyle name="Dane wejściowe 5 4 3" xfId="30671"/>
    <cellStyle name="Dane wejściowe 5 5" xfId="30672"/>
    <cellStyle name="Dane wejściowe 5 5 2" xfId="30673"/>
    <cellStyle name="Dane wejściowe 5 5 3" xfId="30674"/>
    <cellStyle name="Dane wejściowe 5 6" xfId="30675"/>
    <cellStyle name="Dane wejściowe 5 6 2" xfId="30676"/>
    <cellStyle name="Dane wejściowe 5 6 3" xfId="30677"/>
    <cellStyle name="Dane wejściowe 5 7" xfId="30678"/>
    <cellStyle name="Dane wejściowe 5 7 2" xfId="30679"/>
    <cellStyle name="Dane wejściowe 5 7 3" xfId="30680"/>
    <cellStyle name="Dane wejściowe 5 8" xfId="30681"/>
    <cellStyle name="Dane wejściowe 5 8 2" xfId="30682"/>
    <cellStyle name="Dane wejściowe 5 8 3" xfId="30683"/>
    <cellStyle name="Dane wejściowe 5 9" xfId="30684"/>
    <cellStyle name="Dane wejściowe 5 9 2" xfId="30685"/>
    <cellStyle name="Dane wejściowe 5 9 3" xfId="30686"/>
    <cellStyle name="Dane wejściowe 6" xfId="30687"/>
    <cellStyle name="Dane wejściowe 6 10" xfId="30688"/>
    <cellStyle name="Dane wejściowe 6 10 2" xfId="30689"/>
    <cellStyle name="Dane wejściowe 6 10 3" xfId="30690"/>
    <cellStyle name="Dane wejściowe 6 11" xfId="30691"/>
    <cellStyle name="Dane wejściowe 6 11 2" xfId="30692"/>
    <cellStyle name="Dane wejściowe 6 11 3" xfId="30693"/>
    <cellStyle name="Dane wejściowe 6 12" xfId="30694"/>
    <cellStyle name="Dane wejściowe 6 12 2" xfId="30695"/>
    <cellStyle name="Dane wejściowe 6 12 3" xfId="30696"/>
    <cellStyle name="Dane wejściowe 6 13" xfId="30697"/>
    <cellStyle name="Dane wejściowe 6 13 2" xfId="30698"/>
    <cellStyle name="Dane wejściowe 6 13 3" xfId="30699"/>
    <cellStyle name="Dane wejściowe 6 14" xfId="30700"/>
    <cellStyle name="Dane wejściowe 6 14 2" xfId="30701"/>
    <cellStyle name="Dane wejściowe 6 14 3" xfId="30702"/>
    <cellStyle name="Dane wejściowe 6 15" xfId="30703"/>
    <cellStyle name="Dane wejściowe 6 15 2" xfId="30704"/>
    <cellStyle name="Dane wejściowe 6 15 3" xfId="30705"/>
    <cellStyle name="Dane wejściowe 6 16" xfId="30706"/>
    <cellStyle name="Dane wejściowe 6 16 2" xfId="30707"/>
    <cellStyle name="Dane wejściowe 6 16 3" xfId="30708"/>
    <cellStyle name="Dane wejściowe 6 17" xfId="30709"/>
    <cellStyle name="Dane wejściowe 6 17 2" xfId="30710"/>
    <cellStyle name="Dane wejściowe 6 17 3" xfId="30711"/>
    <cellStyle name="Dane wejściowe 6 18" xfId="30712"/>
    <cellStyle name="Dane wejściowe 6 18 2" xfId="30713"/>
    <cellStyle name="Dane wejściowe 6 18 3" xfId="30714"/>
    <cellStyle name="Dane wejściowe 6 19" xfId="30715"/>
    <cellStyle name="Dane wejściowe 6 19 2" xfId="30716"/>
    <cellStyle name="Dane wejściowe 6 19 3" xfId="30717"/>
    <cellStyle name="Dane wejściowe 6 2" xfId="30718"/>
    <cellStyle name="Dane wejściowe 6 2 2" xfId="30719"/>
    <cellStyle name="Dane wejściowe 6 2 3" xfId="30720"/>
    <cellStyle name="Dane wejściowe 6 20" xfId="30721"/>
    <cellStyle name="Dane wejściowe 6 20 2" xfId="30722"/>
    <cellStyle name="Dane wejściowe 6 20 3" xfId="30723"/>
    <cellStyle name="Dane wejściowe 6 3" xfId="30724"/>
    <cellStyle name="Dane wejściowe 6 3 2" xfId="30725"/>
    <cellStyle name="Dane wejściowe 6 3 3" xfId="30726"/>
    <cellStyle name="Dane wejściowe 6 4" xfId="30727"/>
    <cellStyle name="Dane wejściowe 6 4 2" xfId="30728"/>
    <cellStyle name="Dane wejściowe 6 4 3" xfId="30729"/>
    <cellStyle name="Dane wejściowe 6 5" xfId="30730"/>
    <cellStyle name="Dane wejściowe 6 5 2" xfId="30731"/>
    <cellStyle name="Dane wejściowe 6 5 3" xfId="30732"/>
    <cellStyle name="Dane wejściowe 6 6" xfId="30733"/>
    <cellStyle name="Dane wejściowe 6 6 2" xfId="30734"/>
    <cellStyle name="Dane wejściowe 6 6 3" xfId="30735"/>
    <cellStyle name="Dane wejściowe 6 7" xfId="30736"/>
    <cellStyle name="Dane wejściowe 6 7 2" xfId="30737"/>
    <cellStyle name="Dane wejściowe 6 7 3" xfId="30738"/>
    <cellStyle name="Dane wejściowe 6 8" xfId="30739"/>
    <cellStyle name="Dane wejściowe 6 8 2" xfId="30740"/>
    <cellStyle name="Dane wejściowe 6 8 3" xfId="30741"/>
    <cellStyle name="Dane wejściowe 6 9" xfId="30742"/>
    <cellStyle name="Dane wejściowe 6 9 2" xfId="30743"/>
    <cellStyle name="Dane wejściowe 6 9 3" xfId="30744"/>
    <cellStyle name="Dane wejściowe 7" xfId="30745"/>
    <cellStyle name="Dane wejściowe 7 10" xfId="30746"/>
    <cellStyle name="Dane wejściowe 7 10 2" xfId="30747"/>
    <cellStyle name="Dane wejściowe 7 10 3" xfId="30748"/>
    <cellStyle name="Dane wejściowe 7 11" xfId="30749"/>
    <cellStyle name="Dane wejściowe 7 11 2" xfId="30750"/>
    <cellStyle name="Dane wejściowe 7 11 3" xfId="30751"/>
    <cellStyle name="Dane wejściowe 7 12" xfId="30752"/>
    <cellStyle name="Dane wejściowe 7 12 2" xfId="30753"/>
    <cellStyle name="Dane wejściowe 7 12 3" xfId="30754"/>
    <cellStyle name="Dane wejściowe 7 13" xfId="30755"/>
    <cellStyle name="Dane wejściowe 7 13 2" xfId="30756"/>
    <cellStyle name="Dane wejściowe 7 13 3" xfId="30757"/>
    <cellStyle name="Dane wejściowe 7 14" xfId="30758"/>
    <cellStyle name="Dane wejściowe 7 14 2" xfId="30759"/>
    <cellStyle name="Dane wejściowe 7 14 3" xfId="30760"/>
    <cellStyle name="Dane wejściowe 7 15" xfId="30761"/>
    <cellStyle name="Dane wejściowe 7 15 2" xfId="30762"/>
    <cellStyle name="Dane wejściowe 7 15 3" xfId="30763"/>
    <cellStyle name="Dane wejściowe 7 16" xfId="30764"/>
    <cellStyle name="Dane wejściowe 7 16 2" xfId="30765"/>
    <cellStyle name="Dane wejściowe 7 16 3" xfId="30766"/>
    <cellStyle name="Dane wejściowe 7 17" xfId="30767"/>
    <cellStyle name="Dane wejściowe 7 17 2" xfId="30768"/>
    <cellStyle name="Dane wejściowe 7 17 3" xfId="30769"/>
    <cellStyle name="Dane wejściowe 7 18" xfId="30770"/>
    <cellStyle name="Dane wejściowe 7 18 2" xfId="30771"/>
    <cellStyle name="Dane wejściowe 7 18 3" xfId="30772"/>
    <cellStyle name="Dane wejściowe 7 19" xfId="30773"/>
    <cellStyle name="Dane wejściowe 7 19 2" xfId="30774"/>
    <cellStyle name="Dane wejściowe 7 19 3" xfId="30775"/>
    <cellStyle name="Dane wejściowe 7 2" xfId="30776"/>
    <cellStyle name="Dane wejściowe 7 2 2" xfId="30777"/>
    <cellStyle name="Dane wejściowe 7 2 3" xfId="30778"/>
    <cellStyle name="Dane wejściowe 7 20" xfId="30779"/>
    <cellStyle name="Dane wejściowe 7 20 2" xfId="30780"/>
    <cellStyle name="Dane wejściowe 7 20 3" xfId="30781"/>
    <cellStyle name="Dane wejściowe 7 3" xfId="30782"/>
    <cellStyle name="Dane wejściowe 7 3 2" xfId="30783"/>
    <cellStyle name="Dane wejściowe 7 3 3" xfId="30784"/>
    <cellStyle name="Dane wejściowe 7 4" xfId="30785"/>
    <cellStyle name="Dane wejściowe 7 4 2" xfId="30786"/>
    <cellStyle name="Dane wejściowe 7 4 3" xfId="30787"/>
    <cellStyle name="Dane wejściowe 7 5" xfId="30788"/>
    <cellStyle name="Dane wejściowe 7 5 2" xfId="30789"/>
    <cellStyle name="Dane wejściowe 7 5 3" xfId="30790"/>
    <cellStyle name="Dane wejściowe 7 6" xfId="30791"/>
    <cellStyle name="Dane wejściowe 7 6 2" xfId="30792"/>
    <cellStyle name="Dane wejściowe 7 6 3" xfId="30793"/>
    <cellStyle name="Dane wejściowe 7 7" xfId="30794"/>
    <cellStyle name="Dane wejściowe 7 7 2" xfId="30795"/>
    <cellStyle name="Dane wejściowe 7 7 3" xfId="30796"/>
    <cellStyle name="Dane wejściowe 7 8" xfId="30797"/>
    <cellStyle name="Dane wejściowe 7 8 2" xfId="30798"/>
    <cellStyle name="Dane wejściowe 7 8 3" xfId="30799"/>
    <cellStyle name="Dane wejściowe 7 9" xfId="30800"/>
    <cellStyle name="Dane wejściowe 7 9 2" xfId="30801"/>
    <cellStyle name="Dane wejściowe 7 9 3" xfId="30802"/>
    <cellStyle name="Dane wejściowe 8" xfId="30803"/>
    <cellStyle name="Dane wejściowe 8 10" xfId="30804"/>
    <cellStyle name="Dane wejściowe 8 10 2" xfId="30805"/>
    <cellStyle name="Dane wejściowe 8 10 3" xfId="30806"/>
    <cellStyle name="Dane wejściowe 8 11" xfId="30807"/>
    <cellStyle name="Dane wejściowe 8 11 2" xfId="30808"/>
    <cellStyle name="Dane wejściowe 8 11 3" xfId="30809"/>
    <cellStyle name="Dane wejściowe 8 12" xfId="30810"/>
    <cellStyle name="Dane wejściowe 8 12 2" xfId="30811"/>
    <cellStyle name="Dane wejściowe 8 12 3" xfId="30812"/>
    <cellStyle name="Dane wejściowe 8 13" xfId="30813"/>
    <cellStyle name="Dane wejściowe 8 13 2" xfId="30814"/>
    <cellStyle name="Dane wejściowe 8 13 3" xfId="30815"/>
    <cellStyle name="Dane wejściowe 8 14" xfId="30816"/>
    <cellStyle name="Dane wejściowe 8 14 2" xfId="30817"/>
    <cellStyle name="Dane wejściowe 8 14 3" xfId="30818"/>
    <cellStyle name="Dane wejściowe 8 15" xfId="30819"/>
    <cellStyle name="Dane wejściowe 8 15 2" xfId="30820"/>
    <cellStyle name="Dane wejściowe 8 15 3" xfId="30821"/>
    <cellStyle name="Dane wejściowe 8 16" xfId="30822"/>
    <cellStyle name="Dane wejściowe 8 16 2" xfId="30823"/>
    <cellStyle name="Dane wejściowe 8 16 3" xfId="30824"/>
    <cellStyle name="Dane wejściowe 8 17" xfId="30825"/>
    <cellStyle name="Dane wejściowe 8 17 2" xfId="30826"/>
    <cellStyle name="Dane wejściowe 8 17 3" xfId="30827"/>
    <cellStyle name="Dane wejściowe 8 18" xfId="30828"/>
    <cellStyle name="Dane wejściowe 8 18 2" xfId="30829"/>
    <cellStyle name="Dane wejściowe 8 18 3" xfId="30830"/>
    <cellStyle name="Dane wejściowe 8 19" xfId="30831"/>
    <cellStyle name="Dane wejściowe 8 19 2" xfId="30832"/>
    <cellStyle name="Dane wejściowe 8 19 3" xfId="30833"/>
    <cellStyle name="Dane wejściowe 8 2" xfId="30834"/>
    <cellStyle name="Dane wejściowe 8 2 2" xfId="30835"/>
    <cellStyle name="Dane wejściowe 8 2 3" xfId="30836"/>
    <cellStyle name="Dane wejściowe 8 20" xfId="30837"/>
    <cellStyle name="Dane wejściowe 8 20 2" xfId="30838"/>
    <cellStyle name="Dane wejściowe 8 20 3" xfId="30839"/>
    <cellStyle name="Dane wejściowe 8 3" xfId="30840"/>
    <cellStyle name="Dane wejściowe 8 3 2" xfId="30841"/>
    <cellStyle name="Dane wejściowe 8 3 2 2" xfId="30842"/>
    <cellStyle name="Dane wejściowe 8 3 3" xfId="30843"/>
    <cellStyle name="Dane wejściowe 8 4" xfId="30844"/>
    <cellStyle name="Dane wejściowe 8 4 2" xfId="30845"/>
    <cellStyle name="Dane wejściowe 8 4 3" xfId="30846"/>
    <cellStyle name="Dane wejściowe 8 5" xfId="30847"/>
    <cellStyle name="Dane wejściowe 8 5 2" xfId="30848"/>
    <cellStyle name="Dane wejściowe 8 5 3" xfId="30849"/>
    <cellStyle name="Dane wejściowe 8 6" xfId="30850"/>
    <cellStyle name="Dane wejściowe 8 6 2" xfId="30851"/>
    <cellStyle name="Dane wejściowe 8 6 3" xfId="30852"/>
    <cellStyle name="Dane wejściowe 8 7" xfId="30853"/>
    <cellStyle name="Dane wejściowe 8 7 2" xfId="30854"/>
    <cellStyle name="Dane wejściowe 8 7 3" xfId="30855"/>
    <cellStyle name="Dane wejściowe 8 8" xfId="30856"/>
    <cellStyle name="Dane wejściowe 8 8 2" xfId="30857"/>
    <cellStyle name="Dane wejściowe 8 8 3" xfId="30858"/>
    <cellStyle name="Dane wejściowe 8 9" xfId="30859"/>
    <cellStyle name="Dane wejściowe 8 9 2" xfId="30860"/>
    <cellStyle name="Dane wejściowe 8 9 3" xfId="30861"/>
    <cellStyle name="Dane wejściowe 9" xfId="30862"/>
    <cellStyle name="Dane wejściowe 9 2" xfId="30863"/>
    <cellStyle name="Dane wejściowe 9 2 2" xfId="30864"/>
    <cellStyle name="Dane wejściowe 9 3" xfId="30865"/>
    <cellStyle name="Dane wyjściowe 10" xfId="30866"/>
    <cellStyle name="Dane wyjściowe 10 2" xfId="30867"/>
    <cellStyle name="Dane wyjściowe 10 2 2" xfId="30868"/>
    <cellStyle name="Dane wyjściowe 10 3" xfId="30869"/>
    <cellStyle name="Dane wyjściowe 11" xfId="30870"/>
    <cellStyle name="Dane wyjściowe 11 2" xfId="30871"/>
    <cellStyle name="Dane wyjściowe 11 3" xfId="30872"/>
    <cellStyle name="Dane wyjściowe 12" xfId="30873"/>
    <cellStyle name="Dane wyjściowe 12 2" xfId="30874"/>
    <cellStyle name="Dane wyjściowe 12 3" xfId="30875"/>
    <cellStyle name="Dane wyjściowe 13" xfId="30876"/>
    <cellStyle name="Dane wyjściowe 13 2" xfId="30877"/>
    <cellStyle name="Dane wyjściowe 13 3" xfId="30878"/>
    <cellStyle name="Dane wyjściowe 14" xfId="30879"/>
    <cellStyle name="Dane wyjściowe 14 2" xfId="30880"/>
    <cellStyle name="Dane wyjściowe 14 3" xfId="30881"/>
    <cellStyle name="Dane wyjściowe 15" xfId="30882"/>
    <cellStyle name="Dane wyjściowe 15 2" xfId="30883"/>
    <cellStyle name="Dane wyjściowe 15 3" xfId="30884"/>
    <cellStyle name="Dane wyjściowe 16" xfId="30885"/>
    <cellStyle name="Dane wyjściowe 16 2" xfId="30886"/>
    <cellStyle name="Dane wyjściowe 16 3" xfId="30887"/>
    <cellStyle name="Dane wyjściowe 17" xfId="30888"/>
    <cellStyle name="Dane wyjściowe 17 2" xfId="30889"/>
    <cellStyle name="Dane wyjściowe 17 3" xfId="30890"/>
    <cellStyle name="Dane wyjściowe 18" xfId="30891"/>
    <cellStyle name="Dane wyjściowe 18 2" xfId="30892"/>
    <cellStyle name="Dane wyjściowe 18 3" xfId="30893"/>
    <cellStyle name="Dane wyjściowe 19" xfId="30894"/>
    <cellStyle name="Dane wyjściowe 19 2" xfId="30895"/>
    <cellStyle name="Dane wyjściowe 19 3" xfId="30896"/>
    <cellStyle name="Dane wyjściowe 2" xfId="30897"/>
    <cellStyle name="Dane wyjściowe 2 10" xfId="30898"/>
    <cellStyle name="Dane wyjściowe 2 10 2" xfId="30899"/>
    <cellStyle name="Dane wyjściowe 2 10 3" xfId="30900"/>
    <cellStyle name="Dane wyjściowe 2 11" xfId="30901"/>
    <cellStyle name="Dane wyjściowe 2 11 2" xfId="30902"/>
    <cellStyle name="Dane wyjściowe 2 11 3" xfId="30903"/>
    <cellStyle name="Dane wyjściowe 2 12" xfId="30904"/>
    <cellStyle name="Dane wyjściowe 2 12 2" xfId="30905"/>
    <cellStyle name="Dane wyjściowe 2 12 3" xfId="30906"/>
    <cellStyle name="Dane wyjściowe 2 13" xfId="30907"/>
    <cellStyle name="Dane wyjściowe 2 13 2" xfId="30908"/>
    <cellStyle name="Dane wyjściowe 2 13 3" xfId="30909"/>
    <cellStyle name="Dane wyjściowe 2 14" xfId="30910"/>
    <cellStyle name="Dane wyjściowe 2 14 2" xfId="30911"/>
    <cellStyle name="Dane wyjściowe 2 14 3" xfId="30912"/>
    <cellStyle name="Dane wyjściowe 2 15" xfId="30913"/>
    <cellStyle name="Dane wyjściowe 2 15 2" xfId="30914"/>
    <cellStyle name="Dane wyjściowe 2 15 3" xfId="30915"/>
    <cellStyle name="Dane wyjściowe 2 16" xfId="30916"/>
    <cellStyle name="Dane wyjściowe 2 16 2" xfId="30917"/>
    <cellStyle name="Dane wyjściowe 2 16 3" xfId="30918"/>
    <cellStyle name="Dane wyjściowe 2 17" xfId="30919"/>
    <cellStyle name="Dane wyjściowe 2 17 2" xfId="30920"/>
    <cellStyle name="Dane wyjściowe 2 17 3" xfId="30921"/>
    <cellStyle name="Dane wyjściowe 2 18" xfId="30922"/>
    <cellStyle name="Dane wyjściowe 2 18 2" xfId="30923"/>
    <cellStyle name="Dane wyjściowe 2 18 3" xfId="30924"/>
    <cellStyle name="Dane wyjściowe 2 19" xfId="30925"/>
    <cellStyle name="Dane wyjściowe 2 19 2" xfId="30926"/>
    <cellStyle name="Dane wyjściowe 2 19 3" xfId="30927"/>
    <cellStyle name="Dane wyjściowe 2 2" xfId="30928"/>
    <cellStyle name="Dane wyjściowe 2 2 10" xfId="30929"/>
    <cellStyle name="Dane wyjściowe 2 2 10 2" xfId="30930"/>
    <cellStyle name="Dane wyjściowe 2 2 10 3" xfId="30931"/>
    <cellStyle name="Dane wyjściowe 2 2 11" xfId="30932"/>
    <cellStyle name="Dane wyjściowe 2 2 11 2" xfId="30933"/>
    <cellStyle name="Dane wyjściowe 2 2 11 3" xfId="30934"/>
    <cellStyle name="Dane wyjściowe 2 2 12" xfId="30935"/>
    <cellStyle name="Dane wyjściowe 2 2 12 2" xfId="30936"/>
    <cellStyle name="Dane wyjściowe 2 2 12 3" xfId="30937"/>
    <cellStyle name="Dane wyjściowe 2 2 13" xfId="30938"/>
    <cellStyle name="Dane wyjściowe 2 2 13 2" xfId="30939"/>
    <cellStyle name="Dane wyjściowe 2 2 13 3" xfId="30940"/>
    <cellStyle name="Dane wyjściowe 2 2 14" xfId="30941"/>
    <cellStyle name="Dane wyjściowe 2 2 14 2" xfId="30942"/>
    <cellStyle name="Dane wyjściowe 2 2 14 3" xfId="30943"/>
    <cellStyle name="Dane wyjściowe 2 2 15" xfId="30944"/>
    <cellStyle name="Dane wyjściowe 2 2 15 2" xfId="30945"/>
    <cellStyle name="Dane wyjściowe 2 2 15 3" xfId="30946"/>
    <cellStyle name="Dane wyjściowe 2 2 16" xfId="30947"/>
    <cellStyle name="Dane wyjściowe 2 2 16 2" xfId="30948"/>
    <cellStyle name="Dane wyjściowe 2 2 16 3" xfId="30949"/>
    <cellStyle name="Dane wyjściowe 2 2 17" xfId="30950"/>
    <cellStyle name="Dane wyjściowe 2 2 17 2" xfId="30951"/>
    <cellStyle name="Dane wyjściowe 2 2 17 3" xfId="30952"/>
    <cellStyle name="Dane wyjściowe 2 2 18" xfId="30953"/>
    <cellStyle name="Dane wyjściowe 2 2 18 2" xfId="30954"/>
    <cellStyle name="Dane wyjściowe 2 2 18 3" xfId="30955"/>
    <cellStyle name="Dane wyjściowe 2 2 19" xfId="30956"/>
    <cellStyle name="Dane wyjściowe 2 2 19 2" xfId="30957"/>
    <cellStyle name="Dane wyjściowe 2 2 19 3" xfId="30958"/>
    <cellStyle name="Dane wyjściowe 2 2 2" xfId="30959"/>
    <cellStyle name="Dane wyjściowe 2 2 2 2" xfId="30960"/>
    <cellStyle name="Dane wyjściowe 2 2 2 3" xfId="30961"/>
    <cellStyle name="Dane wyjściowe 2 2 20" xfId="30962"/>
    <cellStyle name="Dane wyjściowe 2 2 20 2" xfId="30963"/>
    <cellStyle name="Dane wyjściowe 2 2 20 3" xfId="30964"/>
    <cellStyle name="Dane wyjściowe 2 2 3" xfId="30965"/>
    <cellStyle name="Dane wyjściowe 2 2 3 2" xfId="30966"/>
    <cellStyle name="Dane wyjściowe 2 2 3 3" xfId="30967"/>
    <cellStyle name="Dane wyjściowe 2 2 4" xfId="30968"/>
    <cellStyle name="Dane wyjściowe 2 2 4 2" xfId="30969"/>
    <cellStyle name="Dane wyjściowe 2 2 4 3" xfId="30970"/>
    <cellStyle name="Dane wyjściowe 2 2 5" xfId="30971"/>
    <cellStyle name="Dane wyjściowe 2 2 5 2" xfId="30972"/>
    <cellStyle name="Dane wyjściowe 2 2 5 3" xfId="30973"/>
    <cellStyle name="Dane wyjściowe 2 2 6" xfId="30974"/>
    <cellStyle name="Dane wyjściowe 2 2 6 2" xfId="30975"/>
    <cellStyle name="Dane wyjściowe 2 2 6 3" xfId="30976"/>
    <cellStyle name="Dane wyjściowe 2 2 7" xfId="30977"/>
    <cellStyle name="Dane wyjściowe 2 2 7 2" xfId="30978"/>
    <cellStyle name="Dane wyjściowe 2 2 7 3" xfId="30979"/>
    <cellStyle name="Dane wyjściowe 2 2 8" xfId="30980"/>
    <cellStyle name="Dane wyjściowe 2 2 8 2" xfId="30981"/>
    <cellStyle name="Dane wyjściowe 2 2 8 3" xfId="30982"/>
    <cellStyle name="Dane wyjściowe 2 2 9" xfId="30983"/>
    <cellStyle name="Dane wyjściowe 2 2 9 2" xfId="30984"/>
    <cellStyle name="Dane wyjściowe 2 2 9 3" xfId="30985"/>
    <cellStyle name="Dane wyjściowe 2 20" xfId="30986"/>
    <cellStyle name="Dane wyjściowe 2 20 2" xfId="30987"/>
    <cellStyle name="Dane wyjściowe 2 20 3" xfId="30988"/>
    <cellStyle name="Dane wyjściowe 2 21" xfId="30989"/>
    <cellStyle name="Dane wyjściowe 2 21 2" xfId="30990"/>
    <cellStyle name="Dane wyjściowe 2 21 3" xfId="30991"/>
    <cellStyle name="Dane wyjściowe 2 22" xfId="30992"/>
    <cellStyle name="Dane wyjściowe 2 22 2" xfId="30993"/>
    <cellStyle name="Dane wyjściowe 2 22 3" xfId="30994"/>
    <cellStyle name="Dane wyjściowe 2 23" xfId="30995"/>
    <cellStyle name="Dane wyjściowe 2 23 2" xfId="30996"/>
    <cellStyle name="Dane wyjściowe 2 23 3" xfId="30997"/>
    <cellStyle name="Dane wyjściowe 2 24" xfId="30998"/>
    <cellStyle name="Dane wyjściowe 2 24 2" xfId="30999"/>
    <cellStyle name="Dane wyjściowe 2 24 3" xfId="31000"/>
    <cellStyle name="Dane wyjściowe 2 25" xfId="31001"/>
    <cellStyle name="Dane wyjściowe 2 25 2" xfId="31002"/>
    <cellStyle name="Dane wyjściowe 2 25 3" xfId="31003"/>
    <cellStyle name="Dane wyjściowe 2 26" xfId="31004"/>
    <cellStyle name="Dane wyjściowe 2 26 2" xfId="31005"/>
    <cellStyle name="Dane wyjściowe 2 26 3" xfId="31006"/>
    <cellStyle name="Dane wyjściowe 2 27" xfId="31007"/>
    <cellStyle name="Dane wyjściowe 2 27 2" xfId="31008"/>
    <cellStyle name="Dane wyjściowe 2 27 3" xfId="31009"/>
    <cellStyle name="Dane wyjściowe 2 3" xfId="31010"/>
    <cellStyle name="Dane wyjściowe 2 3 10" xfId="31011"/>
    <cellStyle name="Dane wyjściowe 2 3 10 2" xfId="31012"/>
    <cellStyle name="Dane wyjściowe 2 3 10 3" xfId="31013"/>
    <cellStyle name="Dane wyjściowe 2 3 11" xfId="31014"/>
    <cellStyle name="Dane wyjściowe 2 3 11 2" xfId="31015"/>
    <cellStyle name="Dane wyjściowe 2 3 11 3" xfId="31016"/>
    <cellStyle name="Dane wyjściowe 2 3 12" xfId="31017"/>
    <cellStyle name="Dane wyjściowe 2 3 12 2" xfId="31018"/>
    <cellStyle name="Dane wyjściowe 2 3 12 3" xfId="31019"/>
    <cellStyle name="Dane wyjściowe 2 3 13" xfId="31020"/>
    <cellStyle name="Dane wyjściowe 2 3 13 2" xfId="31021"/>
    <cellStyle name="Dane wyjściowe 2 3 13 3" xfId="31022"/>
    <cellStyle name="Dane wyjściowe 2 3 14" xfId="31023"/>
    <cellStyle name="Dane wyjściowe 2 3 14 2" xfId="31024"/>
    <cellStyle name="Dane wyjściowe 2 3 14 3" xfId="31025"/>
    <cellStyle name="Dane wyjściowe 2 3 15" xfId="31026"/>
    <cellStyle name="Dane wyjściowe 2 3 15 2" xfId="31027"/>
    <cellStyle name="Dane wyjściowe 2 3 15 3" xfId="31028"/>
    <cellStyle name="Dane wyjściowe 2 3 16" xfId="31029"/>
    <cellStyle name="Dane wyjściowe 2 3 16 2" xfId="31030"/>
    <cellStyle name="Dane wyjściowe 2 3 16 3" xfId="31031"/>
    <cellStyle name="Dane wyjściowe 2 3 17" xfId="31032"/>
    <cellStyle name="Dane wyjściowe 2 3 17 2" xfId="31033"/>
    <cellStyle name="Dane wyjściowe 2 3 17 3" xfId="31034"/>
    <cellStyle name="Dane wyjściowe 2 3 18" xfId="31035"/>
    <cellStyle name="Dane wyjściowe 2 3 18 2" xfId="31036"/>
    <cellStyle name="Dane wyjściowe 2 3 18 3" xfId="31037"/>
    <cellStyle name="Dane wyjściowe 2 3 19" xfId="31038"/>
    <cellStyle name="Dane wyjściowe 2 3 19 2" xfId="31039"/>
    <cellStyle name="Dane wyjściowe 2 3 19 3" xfId="31040"/>
    <cellStyle name="Dane wyjściowe 2 3 2" xfId="31041"/>
    <cellStyle name="Dane wyjściowe 2 3 2 2" xfId="31042"/>
    <cellStyle name="Dane wyjściowe 2 3 2 3" xfId="31043"/>
    <cellStyle name="Dane wyjściowe 2 3 20" xfId="31044"/>
    <cellStyle name="Dane wyjściowe 2 3 20 2" xfId="31045"/>
    <cellStyle name="Dane wyjściowe 2 3 20 3" xfId="31046"/>
    <cellStyle name="Dane wyjściowe 2 3 3" xfId="31047"/>
    <cellStyle name="Dane wyjściowe 2 3 3 2" xfId="31048"/>
    <cellStyle name="Dane wyjściowe 2 3 3 3" xfId="31049"/>
    <cellStyle name="Dane wyjściowe 2 3 4" xfId="31050"/>
    <cellStyle name="Dane wyjściowe 2 3 4 2" xfId="31051"/>
    <cellStyle name="Dane wyjściowe 2 3 4 3" xfId="31052"/>
    <cellStyle name="Dane wyjściowe 2 3 5" xfId="31053"/>
    <cellStyle name="Dane wyjściowe 2 3 5 2" xfId="31054"/>
    <cellStyle name="Dane wyjściowe 2 3 5 3" xfId="31055"/>
    <cellStyle name="Dane wyjściowe 2 3 6" xfId="31056"/>
    <cellStyle name="Dane wyjściowe 2 3 6 2" xfId="31057"/>
    <cellStyle name="Dane wyjściowe 2 3 6 3" xfId="31058"/>
    <cellStyle name="Dane wyjściowe 2 3 7" xfId="31059"/>
    <cellStyle name="Dane wyjściowe 2 3 7 2" xfId="31060"/>
    <cellStyle name="Dane wyjściowe 2 3 7 3" xfId="31061"/>
    <cellStyle name="Dane wyjściowe 2 3 8" xfId="31062"/>
    <cellStyle name="Dane wyjściowe 2 3 8 2" xfId="31063"/>
    <cellStyle name="Dane wyjściowe 2 3 8 3" xfId="31064"/>
    <cellStyle name="Dane wyjściowe 2 3 9" xfId="31065"/>
    <cellStyle name="Dane wyjściowe 2 3 9 2" xfId="31066"/>
    <cellStyle name="Dane wyjściowe 2 3 9 3" xfId="31067"/>
    <cellStyle name="Dane wyjściowe 2 4" xfId="31068"/>
    <cellStyle name="Dane wyjściowe 2 4 10" xfId="31069"/>
    <cellStyle name="Dane wyjściowe 2 4 10 2" xfId="31070"/>
    <cellStyle name="Dane wyjściowe 2 4 10 3" xfId="31071"/>
    <cellStyle name="Dane wyjściowe 2 4 11" xfId="31072"/>
    <cellStyle name="Dane wyjściowe 2 4 11 2" xfId="31073"/>
    <cellStyle name="Dane wyjściowe 2 4 11 3" xfId="31074"/>
    <cellStyle name="Dane wyjściowe 2 4 12" xfId="31075"/>
    <cellStyle name="Dane wyjściowe 2 4 12 2" xfId="31076"/>
    <cellStyle name="Dane wyjściowe 2 4 12 3" xfId="31077"/>
    <cellStyle name="Dane wyjściowe 2 4 13" xfId="31078"/>
    <cellStyle name="Dane wyjściowe 2 4 13 2" xfId="31079"/>
    <cellStyle name="Dane wyjściowe 2 4 13 3" xfId="31080"/>
    <cellStyle name="Dane wyjściowe 2 4 14" xfId="31081"/>
    <cellStyle name="Dane wyjściowe 2 4 14 2" xfId="31082"/>
    <cellStyle name="Dane wyjściowe 2 4 14 3" xfId="31083"/>
    <cellStyle name="Dane wyjściowe 2 4 15" xfId="31084"/>
    <cellStyle name="Dane wyjściowe 2 4 15 2" xfId="31085"/>
    <cellStyle name="Dane wyjściowe 2 4 15 3" xfId="31086"/>
    <cellStyle name="Dane wyjściowe 2 4 16" xfId="31087"/>
    <cellStyle name="Dane wyjściowe 2 4 16 2" xfId="31088"/>
    <cellStyle name="Dane wyjściowe 2 4 16 3" xfId="31089"/>
    <cellStyle name="Dane wyjściowe 2 4 17" xfId="31090"/>
    <cellStyle name="Dane wyjściowe 2 4 17 2" xfId="31091"/>
    <cellStyle name="Dane wyjściowe 2 4 17 3" xfId="31092"/>
    <cellStyle name="Dane wyjściowe 2 4 18" xfId="31093"/>
    <cellStyle name="Dane wyjściowe 2 4 18 2" xfId="31094"/>
    <cellStyle name="Dane wyjściowe 2 4 18 3" xfId="31095"/>
    <cellStyle name="Dane wyjściowe 2 4 19" xfId="31096"/>
    <cellStyle name="Dane wyjściowe 2 4 19 2" xfId="31097"/>
    <cellStyle name="Dane wyjściowe 2 4 19 3" xfId="31098"/>
    <cellStyle name="Dane wyjściowe 2 4 2" xfId="31099"/>
    <cellStyle name="Dane wyjściowe 2 4 2 2" xfId="31100"/>
    <cellStyle name="Dane wyjściowe 2 4 2 3" xfId="31101"/>
    <cellStyle name="Dane wyjściowe 2 4 20" xfId="31102"/>
    <cellStyle name="Dane wyjściowe 2 4 20 2" xfId="31103"/>
    <cellStyle name="Dane wyjściowe 2 4 20 3" xfId="31104"/>
    <cellStyle name="Dane wyjściowe 2 4 3" xfId="31105"/>
    <cellStyle name="Dane wyjściowe 2 4 3 2" xfId="31106"/>
    <cellStyle name="Dane wyjściowe 2 4 3 3" xfId="31107"/>
    <cellStyle name="Dane wyjściowe 2 4 4" xfId="31108"/>
    <cellStyle name="Dane wyjściowe 2 4 4 2" xfId="31109"/>
    <cellStyle name="Dane wyjściowe 2 4 4 3" xfId="31110"/>
    <cellStyle name="Dane wyjściowe 2 4 5" xfId="31111"/>
    <cellStyle name="Dane wyjściowe 2 4 5 2" xfId="31112"/>
    <cellStyle name="Dane wyjściowe 2 4 5 3" xfId="31113"/>
    <cellStyle name="Dane wyjściowe 2 4 6" xfId="31114"/>
    <cellStyle name="Dane wyjściowe 2 4 6 2" xfId="31115"/>
    <cellStyle name="Dane wyjściowe 2 4 6 3" xfId="31116"/>
    <cellStyle name="Dane wyjściowe 2 4 7" xfId="31117"/>
    <cellStyle name="Dane wyjściowe 2 4 7 2" xfId="31118"/>
    <cellStyle name="Dane wyjściowe 2 4 7 3" xfId="31119"/>
    <cellStyle name="Dane wyjściowe 2 4 8" xfId="31120"/>
    <cellStyle name="Dane wyjściowe 2 4 8 2" xfId="31121"/>
    <cellStyle name="Dane wyjściowe 2 4 8 3" xfId="31122"/>
    <cellStyle name="Dane wyjściowe 2 4 9" xfId="31123"/>
    <cellStyle name="Dane wyjściowe 2 4 9 2" xfId="31124"/>
    <cellStyle name="Dane wyjściowe 2 4 9 3" xfId="31125"/>
    <cellStyle name="Dane wyjściowe 2 5" xfId="31126"/>
    <cellStyle name="Dane wyjściowe 2 5 10" xfId="31127"/>
    <cellStyle name="Dane wyjściowe 2 5 10 2" xfId="31128"/>
    <cellStyle name="Dane wyjściowe 2 5 10 3" xfId="31129"/>
    <cellStyle name="Dane wyjściowe 2 5 11" xfId="31130"/>
    <cellStyle name="Dane wyjściowe 2 5 11 2" xfId="31131"/>
    <cellStyle name="Dane wyjściowe 2 5 11 3" xfId="31132"/>
    <cellStyle name="Dane wyjściowe 2 5 12" xfId="31133"/>
    <cellStyle name="Dane wyjściowe 2 5 12 2" xfId="31134"/>
    <cellStyle name="Dane wyjściowe 2 5 12 3" xfId="31135"/>
    <cellStyle name="Dane wyjściowe 2 5 13" xfId="31136"/>
    <cellStyle name="Dane wyjściowe 2 5 13 2" xfId="31137"/>
    <cellStyle name="Dane wyjściowe 2 5 13 3" xfId="31138"/>
    <cellStyle name="Dane wyjściowe 2 5 14" xfId="31139"/>
    <cellStyle name="Dane wyjściowe 2 5 14 2" xfId="31140"/>
    <cellStyle name="Dane wyjściowe 2 5 14 3" xfId="31141"/>
    <cellStyle name="Dane wyjściowe 2 5 15" xfId="31142"/>
    <cellStyle name="Dane wyjściowe 2 5 15 2" xfId="31143"/>
    <cellStyle name="Dane wyjściowe 2 5 15 3" xfId="31144"/>
    <cellStyle name="Dane wyjściowe 2 5 16" xfId="31145"/>
    <cellStyle name="Dane wyjściowe 2 5 16 2" xfId="31146"/>
    <cellStyle name="Dane wyjściowe 2 5 16 3" xfId="31147"/>
    <cellStyle name="Dane wyjściowe 2 5 17" xfId="31148"/>
    <cellStyle name="Dane wyjściowe 2 5 17 2" xfId="31149"/>
    <cellStyle name="Dane wyjściowe 2 5 17 3" xfId="31150"/>
    <cellStyle name="Dane wyjściowe 2 5 18" xfId="31151"/>
    <cellStyle name="Dane wyjściowe 2 5 18 2" xfId="31152"/>
    <cellStyle name="Dane wyjściowe 2 5 18 3" xfId="31153"/>
    <cellStyle name="Dane wyjściowe 2 5 19" xfId="31154"/>
    <cellStyle name="Dane wyjściowe 2 5 19 2" xfId="31155"/>
    <cellStyle name="Dane wyjściowe 2 5 19 3" xfId="31156"/>
    <cellStyle name="Dane wyjściowe 2 5 2" xfId="31157"/>
    <cellStyle name="Dane wyjściowe 2 5 2 2" xfId="31158"/>
    <cellStyle name="Dane wyjściowe 2 5 2 3" xfId="31159"/>
    <cellStyle name="Dane wyjściowe 2 5 20" xfId="31160"/>
    <cellStyle name="Dane wyjściowe 2 5 20 2" xfId="31161"/>
    <cellStyle name="Dane wyjściowe 2 5 20 3" xfId="31162"/>
    <cellStyle name="Dane wyjściowe 2 5 3" xfId="31163"/>
    <cellStyle name="Dane wyjściowe 2 5 3 2" xfId="31164"/>
    <cellStyle name="Dane wyjściowe 2 5 3 3" xfId="31165"/>
    <cellStyle name="Dane wyjściowe 2 5 4" xfId="31166"/>
    <cellStyle name="Dane wyjściowe 2 5 4 2" xfId="31167"/>
    <cellStyle name="Dane wyjściowe 2 5 4 3" xfId="31168"/>
    <cellStyle name="Dane wyjściowe 2 5 5" xfId="31169"/>
    <cellStyle name="Dane wyjściowe 2 5 5 2" xfId="31170"/>
    <cellStyle name="Dane wyjściowe 2 5 5 3" xfId="31171"/>
    <cellStyle name="Dane wyjściowe 2 5 6" xfId="31172"/>
    <cellStyle name="Dane wyjściowe 2 5 6 2" xfId="31173"/>
    <cellStyle name="Dane wyjściowe 2 5 6 3" xfId="31174"/>
    <cellStyle name="Dane wyjściowe 2 5 7" xfId="31175"/>
    <cellStyle name="Dane wyjściowe 2 5 7 2" xfId="31176"/>
    <cellStyle name="Dane wyjściowe 2 5 7 3" xfId="31177"/>
    <cellStyle name="Dane wyjściowe 2 5 8" xfId="31178"/>
    <cellStyle name="Dane wyjściowe 2 5 8 2" xfId="31179"/>
    <cellStyle name="Dane wyjściowe 2 5 8 3" xfId="31180"/>
    <cellStyle name="Dane wyjściowe 2 5 9" xfId="31181"/>
    <cellStyle name="Dane wyjściowe 2 5 9 2" xfId="31182"/>
    <cellStyle name="Dane wyjściowe 2 5 9 3" xfId="31183"/>
    <cellStyle name="Dane wyjściowe 2 6" xfId="31184"/>
    <cellStyle name="Dane wyjściowe 2 6 10" xfId="31185"/>
    <cellStyle name="Dane wyjściowe 2 6 10 2" xfId="31186"/>
    <cellStyle name="Dane wyjściowe 2 6 10 3" xfId="31187"/>
    <cellStyle name="Dane wyjściowe 2 6 11" xfId="31188"/>
    <cellStyle name="Dane wyjściowe 2 6 11 2" xfId="31189"/>
    <cellStyle name="Dane wyjściowe 2 6 11 3" xfId="31190"/>
    <cellStyle name="Dane wyjściowe 2 6 12" xfId="31191"/>
    <cellStyle name="Dane wyjściowe 2 6 12 2" xfId="31192"/>
    <cellStyle name="Dane wyjściowe 2 6 12 3" xfId="31193"/>
    <cellStyle name="Dane wyjściowe 2 6 13" xfId="31194"/>
    <cellStyle name="Dane wyjściowe 2 6 13 2" xfId="31195"/>
    <cellStyle name="Dane wyjściowe 2 6 13 3" xfId="31196"/>
    <cellStyle name="Dane wyjściowe 2 6 14" xfId="31197"/>
    <cellStyle name="Dane wyjściowe 2 6 14 2" xfId="31198"/>
    <cellStyle name="Dane wyjściowe 2 6 14 3" xfId="31199"/>
    <cellStyle name="Dane wyjściowe 2 6 15" xfId="31200"/>
    <cellStyle name="Dane wyjściowe 2 6 15 2" xfId="31201"/>
    <cellStyle name="Dane wyjściowe 2 6 15 3" xfId="31202"/>
    <cellStyle name="Dane wyjściowe 2 6 16" xfId="31203"/>
    <cellStyle name="Dane wyjściowe 2 6 16 2" xfId="31204"/>
    <cellStyle name="Dane wyjściowe 2 6 16 3" xfId="31205"/>
    <cellStyle name="Dane wyjściowe 2 6 17" xfId="31206"/>
    <cellStyle name="Dane wyjściowe 2 6 17 2" xfId="31207"/>
    <cellStyle name="Dane wyjściowe 2 6 17 3" xfId="31208"/>
    <cellStyle name="Dane wyjściowe 2 6 18" xfId="31209"/>
    <cellStyle name="Dane wyjściowe 2 6 18 2" xfId="31210"/>
    <cellStyle name="Dane wyjściowe 2 6 18 3" xfId="31211"/>
    <cellStyle name="Dane wyjściowe 2 6 19" xfId="31212"/>
    <cellStyle name="Dane wyjściowe 2 6 19 2" xfId="31213"/>
    <cellStyle name="Dane wyjściowe 2 6 19 3" xfId="31214"/>
    <cellStyle name="Dane wyjściowe 2 6 2" xfId="31215"/>
    <cellStyle name="Dane wyjściowe 2 6 2 2" xfId="31216"/>
    <cellStyle name="Dane wyjściowe 2 6 2 3" xfId="31217"/>
    <cellStyle name="Dane wyjściowe 2 6 20" xfId="31218"/>
    <cellStyle name="Dane wyjściowe 2 6 20 2" xfId="31219"/>
    <cellStyle name="Dane wyjściowe 2 6 20 3" xfId="31220"/>
    <cellStyle name="Dane wyjściowe 2 6 3" xfId="31221"/>
    <cellStyle name="Dane wyjściowe 2 6 3 2" xfId="31222"/>
    <cellStyle name="Dane wyjściowe 2 6 3 3" xfId="31223"/>
    <cellStyle name="Dane wyjściowe 2 6 4" xfId="31224"/>
    <cellStyle name="Dane wyjściowe 2 6 4 2" xfId="31225"/>
    <cellStyle name="Dane wyjściowe 2 6 4 3" xfId="31226"/>
    <cellStyle name="Dane wyjściowe 2 6 5" xfId="31227"/>
    <cellStyle name="Dane wyjściowe 2 6 5 2" xfId="31228"/>
    <cellStyle name="Dane wyjściowe 2 6 5 3" xfId="31229"/>
    <cellStyle name="Dane wyjściowe 2 6 6" xfId="31230"/>
    <cellStyle name="Dane wyjściowe 2 6 6 2" xfId="31231"/>
    <cellStyle name="Dane wyjściowe 2 6 6 3" xfId="31232"/>
    <cellStyle name="Dane wyjściowe 2 6 7" xfId="31233"/>
    <cellStyle name="Dane wyjściowe 2 6 7 2" xfId="31234"/>
    <cellStyle name="Dane wyjściowe 2 6 7 3" xfId="31235"/>
    <cellStyle name="Dane wyjściowe 2 6 8" xfId="31236"/>
    <cellStyle name="Dane wyjściowe 2 6 8 2" xfId="31237"/>
    <cellStyle name="Dane wyjściowe 2 6 8 3" xfId="31238"/>
    <cellStyle name="Dane wyjściowe 2 6 9" xfId="31239"/>
    <cellStyle name="Dane wyjściowe 2 6 9 2" xfId="31240"/>
    <cellStyle name="Dane wyjściowe 2 6 9 3" xfId="31241"/>
    <cellStyle name="Dane wyjściowe 2 7" xfId="31242"/>
    <cellStyle name="Dane wyjściowe 2 7 10" xfId="31243"/>
    <cellStyle name="Dane wyjściowe 2 7 10 2" xfId="31244"/>
    <cellStyle name="Dane wyjściowe 2 7 10 3" xfId="31245"/>
    <cellStyle name="Dane wyjściowe 2 7 11" xfId="31246"/>
    <cellStyle name="Dane wyjściowe 2 7 11 2" xfId="31247"/>
    <cellStyle name="Dane wyjściowe 2 7 11 3" xfId="31248"/>
    <cellStyle name="Dane wyjściowe 2 7 12" xfId="31249"/>
    <cellStyle name="Dane wyjściowe 2 7 12 2" xfId="31250"/>
    <cellStyle name="Dane wyjściowe 2 7 12 3" xfId="31251"/>
    <cellStyle name="Dane wyjściowe 2 7 13" xfId="31252"/>
    <cellStyle name="Dane wyjściowe 2 7 13 2" xfId="31253"/>
    <cellStyle name="Dane wyjściowe 2 7 13 3" xfId="31254"/>
    <cellStyle name="Dane wyjściowe 2 7 14" xfId="31255"/>
    <cellStyle name="Dane wyjściowe 2 7 14 2" xfId="31256"/>
    <cellStyle name="Dane wyjściowe 2 7 14 3" xfId="31257"/>
    <cellStyle name="Dane wyjściowe 2 7 15" xfId="31258"/>
    <cellStyle name="Dane wyjściowe 2 7 15 2" xfId="31259"/>
    <cellStyle name="Dane wyjściowe 2 7 15 3" xfId="31260"/>
    <cellStyle name="Dane wyjściowe 2 7 16" xfId="31261"/>
    <cellStyle name="Dane wyjściowe 2 7 16 2" xfId="31262"/>
    <cellStyle name="Dane wyjściowe 2 7 16 3" xfId="31263"/>
    <cellStyle name="Dane wyjściowe 2 7 17" xfId="31264"/>
    <cellStyle name="Dane wyjściowe 2 7 17 2" xfId="31265"/>
    <cellStyle name="Dane wyjściowe 2 7 17 3" xfId="31266"/>
    <cellStyle name="Dane wyjściowe 2 7 18" xfId="31267"/>
    <cellStyle name="Dane wyjściowe 2 7 18 2" xfId="31268"/>
    <cellStyle name="Dane wyjściowe 2 7 18 3" xfId="31269"/>
    <cellStyle name="Dane wyjściowe 2 7 19" xfId="31270"/>
    <cellStyle name="Dane wyjściowe 2 7 19 2" xfId="31271"/>
    <cellStyle name="Dane wyjściowe 2 7 19 3" xfId="31272"/>
    <cellStyle name="Dane wyjściowe 2 7 2" xfId="31273"/>
    <cellStyle name="Dane wyjściowe 2 7 2 2" xfId="31274"/>
    <cellStyle name="Dane wyjściowe 2 7 2 3" xfId="31275"/>
    <cellStyle name="Dane wyjściowe 2 7 20" xfId="31276"/>
    <cellStyle name="Dane wyjściowe 2 7 20 2" xfId="31277"/>
    <cellStyle name="Dane wyjściowe 2 7 20 3" xfId="31278"/>
    <cellStyle name="Dane wyjściowe 2 7 3" xfId="31279"/>
    <cellStyle name="Dane wyjściowe 2 7 3 2" xfId="31280"/>
    <cellStyle name="Dane wyjściowe 2 7 3 3" xfId="31281"/>
    <cellStyle name="Dane wyjściowe 2 7 4" xfId="31282"/>
    <cellStyle name="Dane wyjściowe 2 7 4 2" xfId="31283"/>
    <cellStyle name="Dane wyjściowe 2 7 4 3" xfId="31284"/>
    <cellStyle name="Dane wyjściowe 2 7 5" xfId="31285"/>
    <cellStyle name="Dane wyjściowe 2 7 5 2" xfId="31286"/>
    <cellStyle name="Dane wyjściowe 2 7 5 3" xfId="31287"/>
    <cellStyle name="Dane wyjściowe 2 7 6" xfId="31288"/>
    <cellStyle name="Dane wyjściowe 2 7 6 2" xfId="31289"/>
    <cellStyle name="Dane wyjściowe 2 7 6 3" xfId="31290"/>
    <cellStyle name="Dane wyjściowe 2 7 7" xfId="31291"/>
    <cellStyle name="Dane wyjściowe 2 7 7 2" xfId="31292"/>
    <cellStyle name="Dane wyjściowe 2 7 7 3" xfId="31293"/>
    <cellStyle name="Dane wyjściowe 2 7 8" xfId="31294"/>
    <cellStyle name="Dane wyjściowe 2 7 8 2" xfId="31295"/>
    <cellStyle name="Dane wyjściowe 2 7 8 3" xfId="31296"/>
    <cellStyle name="Dane wyjściowe 2 7 9" xfId="31297"/>
    <cellStyle name="Dane wyjściowe 2 7 9 2" xfId="31298"/>
    <cellStyle name="Dane wyjściowe 2 7 9 3" xfId="31299"/>
    <cellStyle name="Dane wyjściowe 2 8" xfId="31300"/>
    <cellStyle name="Dane wyjściowe 2 8 10" xfId="31301"/>
    <cellStyle name="Dane wyjściowe 2 8 10 2" xfId="31302"/>
    <cellStyle name="Dane wyjściowe 2 8 10 3" xfId="31303"/>
    <cellStyle name="Dane wyjściowe 2 8 11" xfId="31304"/>
    <cellStyle name="Dane wyjściowe 2 8 11 2" xfId="31305"/>
    <cellStyle name="Dane wyjściowe 2 8 11 3" xfId="31306"/>
    <cellStyle name="Dane wyjściowe 2 8 12" xfId="31307"/>
    <cellStyle name="Dane wyjściowe 2 8 12 2" xfId="31308"/>
    <cellStyle name="Dane wyjściowe 2 8 12 3" xfId="31309"/>
    <cellStyle name="Dane wyjściowe 2 8 13" xfId="31310"/>
    <cellStyle name="Dane wyjściowe 2 8 13 2" xfId="31311"/>
    <cellStyle name="Dane wyjściowe 2 8 13 3" xfId="31312"/>
    <cellStyle name="Dane wyjściowe 2 8 14" xfId="31313"/>
    <cellStyle name="Dane wyjściowe 2 8 14 2" xfId="31314"/>
    <cellStyle name="Dane wyjściowe 2 8 14 3" xfId="31315"/>
    <cellStyle name="Dane wyjściowe 2 8 15" xfId="31316"/>
    <cellStyle name="Dane wyjściowe 2 8 15 2" xfId="31317"/>
    <cellStyle name="Dane wyjściowe 2 8 15 3" xfId="31318"/>
    <cellStyle name="Dane wyjściowe 2 8 16" xfId="31319"/>
    <cellStyle name="Dane wyjściowe 2 8 16 2" xfId="31320"/>
    <cellStyle name="Dane wyjściowe 2 8 16 3" xfId="31321"/>
    <cellStyle name="Dane wyjściowe 2 8 17" xfId="31322"/>
    <cellStyle name="Dane wyjściowe 2 8 17 2" xfId="31323"/>
    <cellStyle name="Dane wyjściowe 2 8 17 3" xfId="31324"/>
    <cellStyle name="Dane wyjściowe 2 8 18" xfId="31325"/>
    <cellStyle name="Dane wyjściowe 2 8 18 2" xfId="31326"/>
    <cellStyle name="Dane wyjściowe 2 8 18 3" xfId="31327"/>
    <cellStyle name="Dane wyjściowe 2 8 19" xfId="31328"/>
    <cellStyle name="Dane wyjściowe 2 8 19 2" xfId="31329"/>
    <cellStyle name="Dane wyjściowe 2 8 19 3" xfId="31330"/>
    <cellStyle name="Dane wyjściowe 2 8 2" xfId="31331"/>
    <cellStyle name="Dane wyjściowe 2 8 2 2" xfId="31332"/>
    <cellStyle name="Dane wyjściowe 2 8 2 3" xfId="31333"/>
    <cellStyle name="Dane wyjściowe 2 8 20" xfId="31334"/>
    <cellStyle name="Dane wyjściowe 2 8 20 2" xfId="31335"/>
    <cellStyle name="Dane wyjściowe 2 8 20 3" xfId="31336"/>
    <cellStyle name="Dane wyjściowe 2 8 3" xfId="31337"/>
    <cellStyle name="Dane wyjściowe 2 8 3 2" xfId="31338"/>
    <cellStyle name="Dane wyjściowe 2 8 3 3" xfId="31339"/>
    <cellStyle name="Dane wyjściowe 2 8 4" xfId="31340"/>
    <cellStyle name="Dane wyjściowe 2 8 4 2" xfId="31341"/>
    <cellStyle name="Dane wyjściowe 2 8 4 3" xfId="31342"/>
    <cellStyle name="Dane wyjściowe 2 8 5" xfId="31343"/>
    <cellStyle name="Dane wyjściowe 2 8 5 2" xfId="31344"/>
    <cellStyle name="Dane wyjściowe 2 8 5 3" xfId="31345"/>
    <cellStyle name="Dane wyjściowe 2 8 6" xfId="31346"/>
    <cellStyle name="Dane wyjściowe 2 8 6 2" xfId="31347"/>
    <cellStyle name="Dane wyjściowe 2 8 6 3" xfId="31348"/>
    <cellStyle name="Dane wyjściowe 2 8 7" xfId="31349"/>
    <cellStyle name="Dane wyjściowe 2 8 7 2" xfId="31350"/>
    <cellStyle name="Dane wyjściowe 2 8 7 3" xfId="31351"/>
    <cellStyle name="Dane wyjściowe 2 8 8" xfId="31352"/>
    <cellStyle name="Dane wyjściowe 2 8 8 2" xfId="31353"/>
    <cellStyle name="Dane wyjściowe 2 8 8 3" xfId="31354"/>
    <cellStyle name="Dane wyjściowe 2 8 9" xfId="31355"/>
    <cellStyle name="Dane wyjściowe 2 8 9 2" xfId="31356"/>
    <cellStyle name="Dane wyjściowe 2 8 9 3" xfId="31357"/>
    <cellStyle name="Dane wyjściowe 2 9" xfId="31358"/>
    <cellStyle name="Dane wyjściowe 2 9 2" xfId="31359"/>
    <cellStyle name="Dane wyjściowe 2 9 3" xfId="31360"/>
    <cellStyle name="Dane wyjściowe 20" xfId="31361"/>
    <cellStyle name="Dane wyjściowe 20 2" xfId="31362"/>
    <cellStyle name="Dane wyjściowe 20 3" xfId="31363"/>
    <cellStyle name="Dane wyjściowe 21" xfId="31364"/>
    <cellStyle name="Dane wyjściowe 21 2" xfId="31365"/>
    <cellStyle name="Dane wyjściowe 21 3" xfId="31366"/>
    <cellStyle name="Dane wyjściowe 22" xfId="31367"/>
    <cellStyle name="Dane wyjściowe 22 2" xfId="31368"/>
    <cellStyle name="Dane wyjściowe 22 3" xfId="31369"/>
    <cellStyle name="Dane wyjściowe 23" xfId="31370"/>
    <cellStyle name="Dane wyjściowe 23 2" xfId="31371"/>
    <cellStyle name="Dane wyjściowe 23 3" xfId="31372"/>
    <cellStyle name="Dane wyjściowe 24" xfId="31373"/>
    <cellStyle name="Dane wyjściowe 24 2" xfId="31374"/>
    <cellStyle name="Dane wyjściowe 24 3" xfId="31375"/>
    <cellStyle name="Dane wyjściowe 25" xfId="31376"/>
    <cellStyle name="Dane wyjściowe 25 2" xfId="31377"/>
    <cellStyle name="Dane wyjściowe 25 3" xfId="31378"/>
    <cellStyle name="Dane wyjściowe 26" xfId="31379"/>
    <cellStyle name="Dane wyjściowe 27" xfId="31380"/>
    <cellStyle name="Dane wyjściowe 3" xfId="31381"/>
    <cellStyle name="Dane wyjściowe 3 10" xfId="31382"/>
    <cellStyle name="Dane wyjściowe 3 10 2" xfId="31383"/>
    <cellStyle name="Dane wyjściowe 3 10 3" xfId="31384"/>
    <cellStyle name="Dane wyjściowe 3 11" xfId="31385"/>
    <cellStyle name="Dane wyjściowe 3 11 2" xfId="31386"/>
    <cellStyle name="Dane wyjściowe 3 11 3" xfId="31387"/>
    <cellStyle name="Dane wyjściowe 3 12" xfId="31388"/>
    <cellStyle name="Dane wyjściowe 3 12 2" xfId="31389"/>
    <cellStyle name="Dane wyjściowe 3 12 3" xfId="31390"/>
    <cellStyle name="Dane wyjściowe 3 13" xfId="31391"/>
    <cellStyle name="Dane wyjściowe 3 13 2" xfId="31392"/>
    <cellStyle name="Dane wyjściowe 3 13 3" xfId="31393"/>
    <cellStyle name="Dane wyjściowe 3 14" xfId="31394"/>
    <cellStyle name="Dane wyjściowe 3 14 2" xfId="31395"/>
    <cellStyle name="Dane wyjściowe 3 14 3" xfId="31396"/>
    <cellStyle name="Dane wyjściowe 3 15" xfId="31397"/>
    <cellStyle name="Dane wyjściowe 3 15 2" xfId="31398"/>
    <cellStyle name="Dane wyjściowe 3 15 3" xfId="31399"/>
    <cellStyle name="Dane wyjściowe 3 16" xfId="31400"/>
    <cellStyle name="Dane wyjściowe 3 16 2" xfId="31401"/>
    <cellStyle name="Dane wyjściowe 3 16 3" xfId="31402"/>
    <cellStyle name="Dane wyjściowe 3 17" xfId="31403"/>
    <cellStyle name="Dane wyjściowe 3 17 2" xfId="31404"/>
    <cellStyle name="Dane wyjściowe 3 17 3" xfId="31405"/>
    <cellStyle name="Dane wyjściowe 3 18" xfId="31406"/>
    <cellStyle name="Dane wyjściowe 3 18 2" xfId="31407"/>
    <cellStyle name="Dane wyjściowe 3 18 3" xfId="31408"/>
    <cellStyle name="Dane wyjściowe 3 19" xfId="31409"/>
    <cellStyle name="Dane wyjściowe 3 19 2" xfId="31410"/>
    <cellStyle name="Dane wyjściowe 3 19 3" xfId="31411"/>
    <cellStyle name="Dane wyjściowe 3 2" xfId="31412"/>
    <cellStyle name="Dane wyjściowe 3 2 2" xfId="31413"/>
    <cellStyle name="Dane wyjściowe 3 2 3" xfId="31414"/>
    <cellStyle name="Dane wyjściowe 3 20" xfId="31415"/>
    <cellStyle name="Dane wyjściowe 3 20 2" xfId="31416"/>
    <cellStyle name="Dane wyjściowe 3 20 3" xfId="31417"/>
    <cellStyle name="Dane wyjściowe 3 3" xfId="31418"/>
    <cellStyle name="Dane wyjściowe 3 3 2" xfId="31419"/>
    <cellStyle name="Dane wyjściowe 3 3 3" xfId="31420"/>
    <cellStyle name="Dane wyjściowe 3 4" xfId="31421"/>
    <cellStyle name="Dane wyjściowe 3 4 2" xfId="31422"/>
    <cellStyle name="Dane wyjściowe 3 4 3" xfId="31423"/>
    <cellStyle name="Dane wyjściowe 3 5" xfId="31424"/>
    <cellStyle name="Dane wyjściowe 3 5 2" xfId="31425"/>
    <cellStyle name="Dane wyjściowe 3 5 3" xfId="31426"/>
    <cellStyle name="Dane wyjściowe 3 6" xfId="31427"/>
    <cellStyle name="Dane wyjściowe 3 6 2" xfId="31428"/>
    <cellStyle name="Dane wyjściowe 3 6 3" xfId="31429"/>
    <cellStyle name="Dane wyjściowe 3 7" xfId="31430"/>
    <cellStyle name="Dane wyjściowe 3 7 2" xfId="31431"/>
    <cellStyle name="Dane wyjściowe 3 7 3" xfId="31432"/>
    <cellStyle name="Dane wyjściowe 3 8" xfId="31433"/>
    <cellStyle name="Dane wyjściowe 3 8 2" xfId="31434"/>
    <cellStyle name="Dane wyjściowe 3 8 3" xfId="31435"/>
    <cellStyle name="Dane wyjściowe 3 9" xfId="31436"/>
    <cellStyle name="Dane wyjściowe 3 9 2" xfId="31437"/>
    <cellStyle name="Dane wyjściowe 3 9 3" xfId="31438"/>
    <cellStyle name="Dane wyjściowe 4" xfId="31439"/>
    <cellStyle name="Dane wyjściowe 4 10" xfId="31440"/>
    <cellStyle name="Dane wyjściowe 4 10 2" xfId="31441"/>
    <cellStyle name="Dane wyjściowe 4 10 3" xfId="31442"/>
    <cellStyle name="Dane wyjściowe 4 11" xfId="31443"/>
    <cellStyle name="Dane wyjściowe 4 11 2" xfId="31444"/>
    <cellStyle name="Dane wyjściowe 4 11 3" xfId="31445"/>
    <cellStyle name="Dane wyjściowe 4 12" xfId="31446"/>
    <cellStyle name="Dane wyjściowe 4 12 2" xfId="31447"/>
    <cellStyle name="Dane wyjściowe 4 12 3" xfId="31448"/>
    <cellStyle name="Dane wyjściowe 4 13" xfId="31449"/>
    <cellStyle name="Dane wyjściowe 4 13 2" xfId="31450"/>
    <cellStyle name="Dane wyjściowe 4 13 3" xfId="31451"/>
    <cellStyle name="Dane wyjściowe 4 14" xfId="31452"/>
    <cellStyle name="Dane wyjściowe 4 14 2" xfId="31453"/>
    <cellStyle name="Dane wyjściowe 4 14 3" xfId="31454"/>
    <cellStyle name="Dane wyjściowe 4 15" xfId="31455"/>
    <cellStyle name="Dane wyjściowe 4 15 2" xfId="31456"/>
    <cellStyle name="Dane wyjściowe 4 15 3" xfId="31457"/>
    <cellStyle name="Dane wyjściowe 4 16" xfId="31458"/>
    <cellStyle name="Dane wyjściowe 4 16 2" xfId="31459"/>
    <cellStyle name="Dane wyjściowe 4 16 3" xfId="31460"/>
    <cellStyle name="Dane wyjściowe 4 17" xfId="31461"/>
    <cellStyle name="Dane wyjściowe 4 17 2" xfId="31462"/>
    <cellStyle name="Dane wyjściowe 4 17 3" xfId="31463"/>
    <cellStyle name="Dane wyjściowe 4 18" xfId="31464"/>
    <cellStyle name="Dane wyjściowe 4 18 2" xfId="31465"/>
    <cellStyle name="Dane wyjściowe 4 18 3" xfId="31466"/>
    <cellStyle name="Dane wyjściowe 4 19" xfId="31467"/>
    <cellStyle name="Dane wyjściowe 4 19 2" xfId="31468"/>
    <cellStyle name="Dane wyjściowe 4 19 3" xfId="31469"/>
    <cellStyle name="Dane wyjściowe 4 2" xfId="31470"/>
    <cellStyle name="Dane wyjściowe 4 2 10" xfId="31471"/>
    <cellStyle name="Dane wyjściowe 4 2 10 2" xfId="31472"/>
    <cellStyle name="Dane wyjściowe 4 2 10 3" xfId="31473"/>
    <cellStyle name="Dane wyjściowe 4 2 11" xfId="31474"/>
    <cellStyle name="Dane wyjściowe 4 2 11 2" xfId="31475"/>
    <cellStyle name="Dane wyjściowe 4 2 11 3" xfId="31476"/>
    <cellStyle name="Dane wyjściowe 4 2 12" xfId="31477"/>
    <cellStyle name="Dane wyjściowe 4 2 12 2" xfId="31478"/>
    <cellStyle name="Dane wyjściowe 4 2 12 3" xfId="31479"/>
    <cellStyle name="Dane wyjściowe 4 2 13" xfId="31480"/>
    <cellStyle name="Dane wyjściowe 4 2 13 2" xfId="31481"/>
    <cellStyle name="Dane wyjściowe 4 2 13 3" xfId="31482"/>
    <cellStyle name="Dane wyjściowe 4 2 14" xfId="31483"/>
    <cellStyle name="Dane wyjściowe 4 2 14 2" xfId="31484"/>
    <cellStyle name="Dane wyjściowe 4 2 14 3" xfId="31485"/>
    <cellStyle name="Dane wyjściowe 4 2 15" xfId="31486"/>
    <cellStyle name="Dane wyjściowe 4 2 15 2" xfId="31487"/>
    <cellStyle name="Dane wyjściowe 4 2 15 3" xfId="31488"/>
    <cellStyle name="Dane wyjściowe 4 2 16" xfId="31489"/>
    <cellStyle name="Dane wyjściowe 4 2 16 2" xfId="31490"/>
    <cellStyle name="Dane wyjściowe 4 2 16 3" xfId="31491"/>
    <cellStyle name="Dane wyjściowe 4 2 17" xfId="31492"/>
    <cellStyle name="Dane wyjściowe 4 2 17 2" xfId="31493"/>
    <cellStyle name="Dane wyjściowe 4 2 17 3" xfId="31494"/>
    <cellStyle name="Dane wyjściowe 4 2 18" xfId="31495"/>
    <cellStyle name="Dane wyjściowe 4 2 18 2" xfId="31496"/>
    <cellStyle name="Dane wyjściowe 4 2 18 3" xfId="31497"/>
    <cellStyle name="Dane wyjściowe 4 2 19" xfId="31498"/>
    <cellStyle name="Dane wyjściowe 4 2 19 2" xfId="31499"/>
    <cellStyle name="Dane wyjściowe 4 2 19 3" xfId="31500"/>
    <cellStyle name="Dane wyjściowe 4 2 2" xfId="31501"/>
    <cellStyle name="Dane wyjściowe 4 2 2 2" xfId="31502"/>
    <cellStyle name="Dane wyjściowe 4 2 2 3" xfId="31503"/>
    <cellStyle name="Dane wyjściowe 4 2 20" xfId="31504"/>
    <cellStyle name="Dane wyjściowe 4 2 20 2" xfId="31505"/>
    <cellStyle name="Dane wyjściowe 4 2 20 3" xfId="31506"/>
    <cellStyle name="Dane wyjściowe 4 2 3" xfId="31507"/>
    <cellStyle name="Dane wyjściowe 4 2 3 2" xfId="31508"/>
    <cellStyle name="Dane wyjściowe 4 2 3 3" xfId="31509"/>
    <cellStyle name="Dane wyjściowe 4 2 4" xfId="31510"/>
    <cellStyle name="Dane wyjściowe 4 2 4 2" xfId="31511"/>
    <cellStyle name="Dane wyjściowe 4 2 4 3" xfId="31512"/>
    <cellStyle name="Dane wyjściowe 4 2 5" xfId="31513"/>
    <cellStyle name="Dane wyjściowe 4 2 5 2" xfId="31514"/>
    <cellStyle name="Dane wyjściowe 4 2 5 3" xfId="31515"/>
    <cellStyle name="Dane wyjściowe 4 2 6" xfId="31516"/>
    <cellStyle name="Dane wyjściowe 4 2 6 2" xfId="31517"/>
    <cellStyle name="Dane wyjściowe 4 2 6 3" xfId="31518"/>
    <cellStyle name="Dane wyjściowe 4 2 7" xfId="31519"/>
    <cellStyle name="Dane wyjściowe 4 2 7 2" xfId="31520"/>
    <cellStyle name="Dane wyjściowe 4 2 7 3" xfId="31521"/>
    <cellStyle name="Dane wyjściowe 4 2 8" xfId="31522"/>
    <cellStyle name="Dane wyjściowe 4 2 8 2" xfId="31523"/>
    <cellStyle name="Dane wyjściowe 4 2 8 3" xfId="31524"/>
    <cellStyle name="Dane wyjściowe 4 2 9" xfId="31525"/>
    <cellStyle name="Dane wyjściowe 4 2 9 2" xfId="31526"/>
    <cellStyle name="Dane wyjściowe 4 2 9 3" xfId="31527"/>
    <cellStyle name="Dane wyjściowe 4 20" xfId="31528"/>
    <cellStyle name="Dane wyjściowe 4 20 2" xfId="31529"/>
    <cellStyle name="Dane wyjściowe 4 20 3" xfId="31530"/>
    <cellStyle name="Dane wyjściowe 4 21" xfId="31531"/>
    <cellStyle name="Dane wyjściowe 4 21 2" xfId="31532"/>
    <cellStyle name="Dane wyjściowe 4 21 3" xfId="31533"/>
    <cellStyle name="Dane wyjściowe 4 22" xfId="31534"/>
    <cellStyle name="Dane wyjściowe 4 22 2" xfId="31535"/>
    <cellStyle name="Dane wyjściowe 4 22 3" xfId="31536"/>
    <cellStyle name="Dane wyjściowe 4 3" xfId="31537"/>
    <cellStyle name="Dane wyjściowe 4 3 10" xfId="31538"/>
    <cellStyle name="Dane wyjściowe 4 3 10 2" xfId="31539"/>
    <cellStyle name="Dane wyjściowe 4 3 10 3" xfId="31540"/>
    <cellStyle name="Dane wyjściowe 4 3 11" xfId="31541"/>
    <cellStyle name="Dane wyjściowe 4 3 11 2" xfId="31542"/>
    <cellStyle name="Dane wyjściowe 4 3 11 3" xfId="31543"/>
    <cellStyle name="Dane wyjściowe 4 3 12" xfId="31544"/>
    <cellStyle name="Dane wyjściowe 4 3 12 2" xfId="31545"/>
    <cellStyle name="Dane wyjściowe 4 3 12 3" xfId="31546"/>
    <cellStyle name="Dane wyjściowe 4 3 13" xfId="31547"/>
    <cellStyle name="Dane wyjściowe 4 3 13 2" xfId="31548"/>
    <cellStyle name="Dane wyjściowe 4 3 13 3" xfId="31549"/>
    <cellStyle name="Dane wyjściowe 4 3 14" xfId="31550"/>
    <cellStyle name="Dane wyjściowe 4 3 14 2" xfId="31551"/>
    <cellStyle name="Dane wyjściowe 4 3 14 3" xfId="31552"/>
    <cellStyle name="Dane wyjściowe 4 3 15" xfId="31553"/>
    <cellStyle name="Dane wyjściowe 4 3 15 2" xfId="31554"/>
    <cellStyle name="Dane wyjściowe 4 3 15 3" xfId="31555"/>
    <cellStyle name="Dane wyjściowe 4 3 16" xfId="31556"/>
    <cellStyle name="Dane wyjściowe 4 3 16 2" xfId="31557"/>
    <cellStyle name="Dane wyjściowe 4 3 16 3" xfId="31558"/>
    <cellStyle name="Dane wyjściowe 4 3 17" xfId="31559"/>
    <cellStyle name="Dane wyjściowe 4 3 17 2" xfId="31560"/>
    <cellStyle name="Dane wyjściowe 4 3 17 3" xfId="31561"/>
    <cellStyle name="Dane wyjściowe 4 3 18" xfId="31562"/>
    <cellStyle name="Dane wyjściowe 4 3 18 2" xfId="31563"/>
    <cellStyle name="Dane wyjściowe 4 3 18 3" xfId="31564"/>
    <cellStyle name="Dane wyjściowe 4 3 19" xfId="31565"/>
    <cellStyle name="Dane wyjściowe 4 3 19 2" xfId="31566"/>
    <cellStyle name="Dane wyjściowe 4 3 19 3" xfId="31567"/>
    <cellStyle name="Dane wyjściowe 4 3 2" xfId="31568"/>
    <cellStyle name="Dane wyjściowe 4 3 2 2" xfId="31569"/>
    <cellStyle name="Dane wyjściowe 4 3 2 3" xfId="31570"/>
    <cellStyle name="Dane wyjściowe 4 3 20" xfId="31571"/>
    <cellStyle name="Dane wyjściowe 4 3 20 2" xfId="31572"/>
    <cellStyle name="Dane wyjściowe 4 3 20 3" xfId="31573"/>
    <cellStyle name="Dane wyjściowe 4 3 3" xfId="31574"/>
    <cellStyle name="Dane wyjściowe 4 3 3 2" xfId="31575"/>
    <cellStyle name="Dane wyjściowe 4 3 3 3" xfId="31576"/>
    <cellStyle name="Dane wyjściowe 4 3 4" xfId="31577"/>
    <cellStyle name="Dane wyjściowe 4 3 4 2" xfId="31578"/>
    <cellStyle name="Dane wyjściowe 4 3 4 3" xfId="31579"/>
    <cellStyle name="Dane wyjściowe 4 3 5" xfId="31580"/>
    <cellStyle name="Dane wyjściowe 4 3 5 2" xfId="31581"/>
    <cellStyle name="Dane wyjściowe 4 3 5 3" xfId="31582"/>
    <cellStyle name="Dane wyjściowe 4 3 6" xfId="31583"/>
    <cellStyle name="Dane wyjściowe 4 3 6 2" xfId="31584"/>
    <cellStyle name="Dane wyjściowe 4 3 6 3" xfId="31585"/>
    <cellStyle name="Dane wyjściowe 4 3 7" xfId="31586"/>
    <cellStyle name="Dane wyjściowe 4 3 7 2" xfId="31587"/>
    <cellStyle name="Dane wyjściowe 4 3 7 3" xfId="31588"/>
    <cellStyle name="Dane wyjściowe 4 3 8" xfId="31589"/>
    <cellStyle name="Dane wyjściowe 4 3 8 2" xfId="31590"/>
    <cellStyle name="Dane wyjściowe 4 3 8 3" xfId="31591"/>
    <cellStyle name="Dane wyjściowe 4 3 9" xfId="31592"/>
    <cellStyle name="Dane wyjściowe 4 3 9 2" xfId="31593"/>
    <cellStyle name="Dane wyjściowe 4 3 9 3" xfId="31594"/>
    <cellStyle name="Dane wyjściowe 4 4" xfId="31595"/>
    <cellStyle name="Dane wyjściowe 4 4 2" xfId="31596"/>
    <cellStyle name="Dane wyjściowe 4 4 3" xfId="31597"/>
    <cellStyle name="Dane wyjściowe 4 5" xfId="31598"/>
    <cellStyle name="Dane wyjściowe 4 5 2" xfId="31599"/>
    <cellStyle name="Dane wyjściowe 4 5 3" xfId="31600"/>
    <cellStyle name="Dane wyjściowe 4 6" xfId="31601"/>
    <cellStyle name="Dane wyjściowe 4 6 2" xfId="31602"/>
    <cellStyle name="Dane wyjściowe 4 6 3" xfId="31603"/>
    <cellStyle name="Dane wyjściowe 4 7" xfId="31604"/>
    <cellStyle name="Dane wyjściowe 4 7 2" xfId="31605"/>
    <cellStyle name="Dane wyjściowe 4 7 3" xfId="31606"/>
    <cellStyle name="Dane wyjściowe 4 8" xfId="31607"/>
    <cellStyle name="Dane wyjściowe 4 8 2" xfId="31608"/>
    <cellStyle name="Dane wyjściowe 4 8 3" xfId="31609"/>
    <cellStyle name="Dane wyjściowe 4 9" xfId="31610"/>
    <cellStyle name="Dane wyjściowe 4 9 2" xfId="31611"/>
    <cellStyle name="Dane wyjściowe 4 9 3" xfId="31612"/>
    <cellStyle name="Dane wyjściowe 5" xfId="31613"/>
    <cellStyle name="Dane wyjściowe 5 10" xfId="31614"/>
    <cellStyle name="Dane wyjściowe 5 10 2" xfId="31615"/>
    <cellStyle name="Dane wyjściowe 5 10 3" xfId="31616"/>
    <cellStyle name="Dane wyjściowe 5 11" xfId="31617"/>
    <cellStyle name="Dane wyjściowe 5 11 2" xfId="31618"/>
    <cellStyle name="Dane wyjściowe 5 11 3" xfId="31619"/>
    <cellStyle name="Dane wyjściowe 5 12" xfId="31620"/>
    <cellStyle name="Dane wyjściowe 5 12 2" xfId="31621"/>
    <cellStyle name="Dane wyjściowe 5 12 3" xfId="31622"/>
    <cellStyle name="Dane wyjściowe 5 13" xfId="31623"/>
    <cellStyle name="Dane wyjściowe 5 13 2" xfId="31624"/>
    <cellStyle name="Dane wyjściowe 5 13 3" xfId="31625"/>
    <cellStyle name="Dane wyjściowe 5 14" xfId="31626"/>
    <cellStyle name="Dane wyjściowe 5 14 2" xfId="31627"/>
    <cellStyle name="Dane wyjściowe 5 14 3" xfId="31628"/>
    <cellStyle name="Dane wyjściowe 5 15" xfId="31629"/>
    <cellStyle name="Dane wyjściowe 5 15 2" xfId="31630"/>
    <cellStyle name="Dane wyjściowe 5 15 3" xfId="31631"/>
    <cellStyle name="Dane wyjściowe 5 16" xfId="31632"/>
    <cellStyle name="Dane wyjściowe 5 16 2" xfId="31633"/>
    <cellStyle name="Dane wyjściowe 5 16 3" xfId="31634"/>
    <cellStyle name="Dane wyjściowe 5 17" xfId="31635"/>
    <cellStyle name="Dane wyjściowe 5 17 2" xfId="31636"/>
    <cellStyle name="Dane wyjściowe 5 17 3" xfId="31637"/>
    <cellStyle name="Dane wyjściowe 5 18" xfId="31638"/>
    <cellStyle name="Dane wyjściowe 5 18 2" xfId="31639"/>
    <cellStyle name="Dane wyjściowe 5 18 3" xfId="31640"/>
    <cellStyle name="Dane wyjściowe 5 19" xfId="31641"/>
    <cellStyle name="Dane wyjściowe 5 19 2" xfId="31642"/>
    <cellStyle name="Dane wyjściowe 5 19 3" xfId="31643"/>
    <cellStyle name="Dane wyjściowe 5 2" xfId="31644"/>
    <cellStyle name="Dane wyjściowe 5 2 10" xfId="31645"/>
    <cellStyle name="Dane wyjściowe 5 2 10 2" xfId="31646"/>
    <cellStyle name="Dane wyjściowe 5 2 10 3" xfId="31647"/>
    <cellStyle name="Dane wyjściowe 5 2 11" xfId="31648"/>
    <cellStyle name="Dane wyjściowe 5 2 11 2" xfId="31649"/>
    <cellStyle name="Dane wyjściowe 5 2 11 3" xfId="31650"/>
    <cellStyle name="Dane wyjściowe 5 2 12" xfId="31651"/>
    <cellStyle name="Dane wyjściowe 5 2 12 2" xfId="31652"/>
    <cellStyle name="Dane wyjściowe 5 2 12 3" xfId="31653"/>
    <cellStyle name="Dane wyjściowe 5 2 13" xfId="31654"/>
    <cellStyle name="Dane wyjściowe 5 2 13 2" xfId="31655"/>
    <cellStyle name="Dane wyjściowe 5 2 13 3" xfId="31656"/>
    <cellStyle name="Dane wyjściowe 5 2 14" xfId="31657"/>
    <cellStyle name="Dane wyjściowe 5 2 14 2" xfId="31658"/>
    <cellStyle name="Dane wyjściowe 5 2 14 3" xfId="31659"/>
    <cellStyle name="Dane wyjściowe 5 2 15" xfId="31660"/>
    <cellStyle name="Dane wyjściowe 5 2 15 2" xfId="31661"/>
    <cellStyle name="Dane wyjściowe 5 2 15 3" xfId="31662"/>
    <cellStyle name="Dane wyjściowe 5 2 16" xfId="31663"/>
    <cellStyle name="Dane wyjściowe 5 2 16 2" xfId="31664"/>
    <cellStyle name="Dane wyjściowe 5 2 16 3" xfId="31665"/>
    <cellStyle name="Dane wyjściowe 5 2 17" xfId="31666"/>
    <cellStyle name="Dane wyjściowe 5 2 17 2" xfId="31667"/>
    <cellStyle name="Dane wyjściowe 5 2 17 3" xfId="31668"/>
    <cellStyle name="Dane wyjściowe 5 2 18" xfId="31669"/>
    <cellStyle name="Dane wyjściowe 5 2 18 2" xfId="31670"/>
    <cellStyle name="Dane wyjściowe 5 2 18 3" xfId="31671"/>
    <cellStyle name="Dane wyjściowe 5 2 19" xfId="31672"/>
    <cellStyle name="Dane wyjściowe 5 2 19 2" xfId="31673"/>
    <cellStyle name="Dane wyjściowe 5 2 19 3" xfId="31674"/>
    <cellStyle name="Dane wyjściowe 5 2 2" xfId="31675"/>
    <cellStyle name="Dane wyjściowe 5 2 2 2" xfId="31676"/>
    <cellStyle name="Dane wyjściowe 5 2 2 3" xfId="31677"/>
    <cellStyle name="Dane wyjściowe 5 2 20" xfId="31678"/>
    <cellStyle name="Dane wyjściowe 5 2 20 2" xfId="31679"/>
    <cellStyle name="Dane wyjściowe 5 2 20 3" xfId="31680"/>
    <cellStyle name="Dane wyjściowe 5 2 3" xfId="31681"/>
    <cellStyle name="Dane wyjściowe 5 2 3 2" xfId="31682"/>
    <cellStyle name="Dane wyjściowe 5 2 3 3" xfId="31683"/>
    <cellStyle name="Dane wyjściowe 5 2 4" xfId="31684"/>
    <cellStyle name="Dane wyjściowe 5 2 4 2" xfId="31685"/>
    <cellStyle name="Dane wyjściowe 5 2 4 3" xfId="31686"/>
    <cellStyle name="Dane wyjściowe 5 2 5" xfId="31687"/>
    <cellStyle name="Dane wyjściowe 5 2 5 2" xfId="31688"/>
    <cellStyle name="Dane wyjściowe 5 2 5 3" xfId="31689"/>
    <cellStyle name="Dane wyjściowe 5 2 6" xfId="31690"/>
    <cellStyle name="Dane wyjściowe 5 2 6 2" xfId="31691"/>
    <cellStyle name="Dane wyjściowe 5 2 6 3" xfId="31692"/>
    <cellStyle name="Dane wyjściowe 5 2 7" xfId="31693"/>
    <cellStyle name="Dane wyjściowe 5 2 7 2" xfId="31694"/>
    <cellStyle name="Dane wyjściowe 5 2 7 3" xfId="31695"/>
    <cellStyle name="Dane wyjściowe 5 2 8" xfId="31696"/>
    <cellStyle name="Dane wyjściowe 5 2 8 2" xfId="31697"/>
    <cellStyle name="Dane wyjściowe 5 2 8 3" xfId="31698"/>
    <cellStyle name="Dane wyjściowe 5 2 9" xfId="31699"/>
    <cellStyle name="Dane wyjściowe 5 2 9 2" xfId="31700"/>
    <cellStyle name="Dane wyjściowe 5 2 9 3" xfId="31701"/>
    <cellStyle name="Dane wyjściowe 5 20" xfId="31702"/>
    <cellStyle name="Dane wyjściowe 5 20 2" xfId="31703"/>
    <cellStyle name="Dane wyjściowe 5 20 3" xfId="31704"/>
    <cellStyle name="Dane wyjściowe 5 21" xfId="31705"/>
    <cellStyle name="Dane wyjściowe 5 21 2" xfId="31706"/>
    <cellStyle name="Dane wyjściowe 5 21 3" xfId="31707"/>
    <cellStyle name="Dane wyjściowe 5 3" xfId="31708"/>
    <cellStyle name="Dane wyjściowe 5 3 2" xfId="31709"/>
    <cellStyle name="Dane wyjściowe 5 3 3" xfId="31710"/>
    <cellStyle name="Dane wyjściowe 5 4" xfId="31711"/>
    <cellStyle name="Dane wyjściowe 5 4 2" xfId="31712"/>
    <cellStyle name="Dane wyjściowe 5 4 3" xfId="31713"/>
    <cellStyle name="Dane wyjściowe 5 5" xfId="31714"/>
    <cellStyle name="Dane wyjściowe 5 5 2" xfId="31715"/>
    <cellStyle name="Dane wyjściowe 5 5 3" xfId="31716"/>
    <cellStyle name="Dane wyjściowe 5 6" xfId="31717"/>
    <cellStyle name="Dane wyjściowe 5 6 2" xfId="31718"/>
    <cellStyle name="Dane wyjściowe 5 6 3" xfId="31719"/>
    <cellStyle name="Dane wyjściowe 5 7" xfId="31720"/>
    <cellStyle name="Dane wyjściowe 5 7 2" xfId="31721"/>
    <cellStyle name="Dane wyjściowe 5 7 3" xfId="31722"/>
    <cellStyle name="Dane wyjściowe 5 8" xfId="31723"/>
    <cellStyle name="Dane wyjściowe 5 8 2" xfId="31724"/>
    <cellStyle name="Dane wyjściowe 5 8 3" xfId="31725"/>
    <cellStyle name="Dane wyjściowe 5 9" xfId="31726"/>
    <cellStyle name="Dane wyjściowe 5 9 2" xfId="31727"/>
    <cellStyle name="Dane wyjściowe 5 9 3" xfId="31728"/>
    <cellStyle name="Dane wyjściowe 6" xfId="31729"/>
    <cellStyle name="Dane wyjściowe 6 10" xfId="31730"/>
    <cellStyle name="Dane wyjściowe 6 10 2" xfId="31731"/>
    <cellStyle name="Dane wyjściowe 6 10 3" xfId="31732"/>
    <cellStyle name="Dane wyjściowe 6 11" xfId="31733"/>
    <cellStyle name="Dane wyjściowe 6 11 2" xfId="31734"/>
    <cellStyle name="Dane wyjściowe 6 11 3" xfId="31735"/>
    <cellStyle name="Dane wyjściowe 6 12" xfId="31736"/>
    <cellStyle name="Dane wyjściowe 6 12 2" xfId="31737"/>
    <cellStyle name="Dane wyjściowe 6 12 3" xfId="31738"/>
    <cellStyle name="Dane wyjściowe 6 13" xfId="31739"/>
    <cellStyle name="Dane wyjściowe 6 13 2" xfId="31740"/>
    <cellStyle name="Dane wyjściowe 6 13 3" xfId="31741"/>
    <cellStyle name="Dane wyjściowe 6 14" xfId="31742"/>
    <cellStyle name="Dane wyjściowe 6 14 2" xfId="31743"/>
    <cellStyle name="Dane wyjściowe 6 14 3" xfId="31744"/>
    <cellStyle name="Dane wyjściowe 6 15" xfId="31745"/>
    <cellStyle name="Dane wyjściowe 6 15 2" xfId="31746"/>
    <cellStyle name="Dane wyjściowe 6 15 3" xfId="31747"/>
    <cellStyle name="Dane wyjściowe 6 16" xfId="31748"/>
    <cellStyle name="Dane wyjściowe 6 16 2" xfId="31749"/>
    <cellStyle name="Dane wyjściowe 6 16 3" xfId="31750"/>
    <cellStyle name="Dane wyjściowe 6 17" xfId="31751"/>
    <cellStyle name="Dane wyjściowe 6 17 2" xfId="31752"/>
    <cellStyle name="Dane wyjściowe 6 17 3" xfId="31753"/>
    <cellStyle name="Dane wyjściowe 6 18" xfId="31754"/>
    <cellStyle name="Dane wyjściowe 6 18 2" xfId="31755"/>
    <cellStyle name="Dane wyjściowe 6 18 3" xfId="31756"/>
    <cellStyle name="Dane wyjściowe 6 19" xfId="31757"/>
    <cellStyle name="Dane wyjściowe 6 19 2" xfId="31758"/>
    <cellStyle name="Dane wyjściowe 6 19 3" xfId="31759"/>
    <cellStyle name="Dane wyjściowe 6 2" xfId="31760"/>
    <cellStyle name="Dane wyjściowe 6 2 2" xfId="31761"/>
    <cellStyle name="Dane wyjściowe 6 2 3" xfId="31762"/>
    <cellStyle name="Dane wyjściowe 6 20" xfId="31763"/>
    <cellStyle name="Dane wyjściowe 6 20 2" xfId="31764"/>
    <cellStyle name="Dane wyjściowe 6 20 3" xfId="31765"/>
    <cellStyle name="Dane wyjściowe 6 3" xfId="31766"/>
    <cellStyle name="Dane wyjściowe 6 3 2" xfId="31767"/>
    <cellStyle name="Dane wyjściowe 6 3 3" xfId="31768"/>
    <cellStyle name="Dane wyjściowe 6 4" xfId="31769"/>
    <cellStyle name="Dane wyjściowe 6 4 2" xfId="31770"/>
    <cellStyle name="Dane wyjściowe 6 4 3" xfId="31771"/>
    <cellStyle name="Dane wyjściowe 6 5" xfId="31772"/>
    <cellStyle name="Dane wyjściowe 6 5 2" xfId="31773"/>
    <cellStyle name="Dane wyjściowe 6 5 3" xfId="31774"/>
    <cellStyle name="Dane wyjściowe 6 6" xfId="31775"/>
    <cellStyle name="Dane wyjściowe 6 6 2" xfId="31776"/>
    <cellStyle name="Dane wyjściowe 6 6 3" xfId="31777"/>
    <cellStyle name="Dane wyjściowe 6 7" xfId="31778"/>
    <cellStyle name="Dane wyjściowe 6 7 2" xfId="31779"/>
    <cellStyle name="Dane wyjściowe 6 7 3" xfId="31780"/>
    <cellStyle name="Dane wyjściowe 6 8" xfId="31781"/>
    <cellStyle name="Dane wyjściowe 6 8 2" xfId="31782"/>
    <cellStyle name="Dane wyjściowe 6 8 3" xfId="31783"/>
    <cellStyle name="Dane wyjściowe 6 9" xfId="31784"/>
    <cellStyle name="Dane wyjściowe 6 9 2" xfId="31785"/>
    <cellStyle name="Dane wyjściowe 6 9 3" xfId="31786"/>
    <cellStyle name="Dane wyjściowe 7" xfId="31787"/>
    <cellStyle name="Dane wyjściowe 7 10" xfId="31788"/>
    <cellStyle name="Dane wyjściowe 7 10 2" xfId="31789"/>
    <cellStyle name="Dane wyjściowe 7 10 3" xfId="31790"/>
    <cellStyle name="Dane wyjściowe 7 11" xfId="31791"/>
    <cellStyle name="Dane wyjściowe 7 11 2" xfId="31792"/>
    <cellStyle name="Dane wyjściowe 7 11 3" xfId="31793"/>
    <cellStyle name="Dane wyjściowe 7 12" xfId="31794"/>
    <cellStyle name="Dane wyjściowe 7 12 2" xfId="31795"/>
    <cellStyle name="Dane wyjściowe 7 12 3" xfId="31796"/>
    <cellStyle name="Dane wyjściowe 7 13" xfId="31797"/>
    <cellStyle name="Dane wyjściowe 7 13 2" xfId="31798"/>
    <cellStyle name="Dane wyjściowe 7 13 3" xfId="31799"/>
    <cellStyle name="Dane wyjściowe 7 14" xfId="31800"/>
    <cellStyle name="Dane wyjściowe 7 14 2" xfId="31801"/>
    <cellStyle name="Dane wyjściowe 7 14 3" xfId="31802"/>
    <cellStyle name="Dane wyjściowe 7 15" xfId="31803"/>
    <cellStyle name="Dane wyjściowe 7 15 2" xfId="31804"/>
    <cellStyle name="Dane wyjściowe 7 15 3" xfId="31805"/>
    <cellStyle name="Dane wyjściowe 7 16" xfId="31806"/>
    <cellStyle name="Dane wyjściowe 7 16 2" xfId="31807"/>
    <cellStyle name="Dane wyjściowe 7 16 3" xfId="31808"/>
    <cellStyle name="Dane wyjściowe 7 17" xfId="31809"/>
    <cellStyle name="Dane wyjściowe 7 17 2" xfId="31810"/>
    <cellStyle name="Dane wyjściowe 7 17 3" xfId="31811"/>
    <cellStyle name="Dane wyjściowe 7 18" xfId="31812"/>
    <cellStyle name="Dane wyjściowe 7 18 2" xfId="31813"/>
    <cellStyle name="Dane wyjściowe 7 18 3" xfId="31814"/>
    <cellStyle name="Dane wyjściowe 7 19" xfId="31815"/>
    <cellStyle name="Dane wyjściowe 7 19 2" xfId="31816"/>
    <cellStyle name="Dane wyjściowe 7 19 3" xfId="31817"/>
    <cellStyle name="Dane wyjściowe 7 2" xfId="31818"/>
    <cellStyle name="Dane wyjściowe 7 2 2" xfId="31819"/>
    <cellStyle name="Dane wyjściowe 7 2 3" xfId="31820"/>
    <cellStyle name="Dane wyjściowe 7 20" xfId="31821"/>
    <cellStyle name="Dane wyjściowe 7 20 2" xfId="31822"/>
    <cellStyle name="Dane wyjściowe 7 20 3" xfId="31823"/>
    <cellStyle name="Dane wyjściowe 7 3" xfId="31824"/>
    <cellStyle name="Dane wyjściowe 7 3 2" xfId="31825"/>
    <cellStyle name="Dane wyjściowe 7 3 3" xfId="31826"/>
    <cellStyle name="Dane wyjściowe 7 4" xfId="31827"/>
    <cellStyle name="Dane wyjściowe 7 4 2" xfId="31828"/>
    <cellStyle name="Dane wyjściowe 7 4 3" xfId="31829"/>
    <cellStyle name="Dane wyjściowe 7 5" xfId="31830"/>
    <cellStyle name="Dane wyjściowe 7 5 2" xfId="31831"/>
    <cellStyle name="Dane wyjściowe 7 5 3" xfId="31832"/>
    <cellStyle name="Dane wyjściowe 7 6" xfId="31833"/>
    <cellStyle name="Dane wyjściowe 7 6 2" xfId="31834"/>
    <cellStyle name="Dane wyjściowe 7 6 3" xfId="31835"/>
    <cellStyle name="Dane wyjściowe 7 7" xfId="31836"/>
    <cellStyle name="Dane wyjściowe 7 7 2" xfId="31837"/>
    <cellStyle name="Dane wyjściowe 7 7 3" xfId="31838"/>
    <cellStyle name="Dane wyjściowe 7 8" xfId="31839"/>
    <cellStyle name="Dane wyjściowe 7 8 2" xfId="31840"/>
    <cellStyle name="Dane wyjściowe 7 8 3" xfId="31841"/>
    <cellStyle name="Dane wyjściowe 7 9" xfId="31842"/>
    <cellStyle name="Dane wyjściowe 7 9 2" xfId="31843"/>
    <cellStyle name="Dane wyjściowe 7 9 3" xfId="31844"/>
    <cellStyle name="Dane wyjściowe 8" xfId="31845"/>
    <cellStyle name="Dane wyjściowe 8 10" xfId="31846"/>
    <cellStyle name="Dane wyjściowe 8 10 2" xfId="31847"/>
    <cellStyle name="Dane wyjściowe 8 10 3" xfId="31848"/>
    <cellStyle name="Dane wyjściowe 8 11" xfId="31849"/>
    <cellStyle name="Dane wyjściowe 8 11 2" xfId="31850"/>
    <cellStyle name="Dane wyjściowe 8 11 3" xfId="31851"/>
    <cellStyle name="Dane wyjściowe 8 12" xfId="31852"/>
    <cellStyle name="Dane wyjściowe 8 12 2" xfId="31853"/>
    <cellStyle name="Dane wyjściowe 8 12 3" xfId="31854"/>
    <cellStyle name="Dane wyjściowe 8 13" xfId="31855"/>
    <cellStyle name="Dane wyjściowe 8 13 2" xfId="31856"/>
    <cellStyle name="Dane wyjściowe 8 13 3" xfId="31857"/>
    <cellStyle name="Dane wyjściowe 8 14" xfId="31858"/>
    <cellStyle name="Dane wyjściowe 8 14 2" xfId="31859"/>
    <cellStyle name="Dane wyjściowe 8 14 3" xfId="31860"/>
    <cellStyle name="Dane wyjściowe 8 15" xfId="31861"/>
    <cellStyle name="Dane wyjściowe 8 15 2" xfId="31862"/>
    <cellStyle name="Dane wyjściowe 8 15 3" xfId="31863"/>
    <cellStyle name="Dane wyjściowe 8 16" xfId="31864"/>
    <cellStyle name="Dane wyjściowe 8 16 2" xfId="31865"/>
    <cellStyle name="Dane wyjściowe 8 16 3" xfId="31866"/>
    <cellStyle name="Dane wyjściowe 8 17" xfId="31867"/>
    <cellStyle name="Dane wyjściowe 8 17 2" xfId="31868"/>
    <cellStyle name="Dane wyjściowe 8 17 3" xfId="31869"/>
    <cellStyle name="Dane wyjściowe 8 18" xfId="31870"/>
    <cellStyle name="Dane wyjściowe 8 18 2" xfId="31871"/>
    <cellStyle name="Dane wyjściowe 8 18 3" xfId="31872"/>
    <cellStyle name="Dane wyjściowe 8 19" xfId="31873"/>
    <cellStyle name="Dane wyjściowe 8 19 2" xfId="31874"/>
    <cellStyle name="Dane wyjściowe 8 19 3" xfId="31875"/>
    <cellStyle name="Dane wyjściowe 8 2" xfId="31876"/>
    <cellStyle name="Dane wyjściowe 8 2 2" xfId="31877"/>
    <cellStyle name="Dane wyjściowe 8 2 3" xfId="31878"/>
    <cellStyle name="Dane wyjściowe 8 20" xfId="31879"/>
    <cellStyle name="Dane wyjściowe 8 20 2" xfId="31880"/>
    <cellStyle name="Dane wyjściowe 8 20 3" xfId="31881"/>
    <cellStyle name="Dane wyjściowe 8 3" xfId="31882"/>
    <cellStyle name="Dane wyjściowe 8 3 2" xfId="31883"/>
    <cellStyle name="Dane wyjściowe 8 3 3" xfId="31884"/>
    <cellStyle name="Dane wyjściowe 8 4" xfId="31885"/>
    <cellStyle name="Dane wyjściowe 8 4 2" xfId="31886"/>
    <cellStyle name="Dane wyjściowe 8 4 3" xfId="31887"/>
    <cellStyle name="Dane wyjściowe 8 5" xfId="31888"/>
    <cellStyle name="Dane wyjściowe 8 5 2" xfId="31889"/>
    <cellStyle name="Dane wyjściowe 8 5 3" xfId="31890"/>
    <cellStyle name="Dane wyjściowe 8 6" xfId="31891"/>
    <cellStyle name="Dane wyjściowe 8 6 2" xfId="31892"/>
    <cellStyle name="Dane wyjściowe 8 6 3" xfId="31893"/>
    <cellStyle name="Dane wyjściowe 8 7" xfId="31894"/>
    <cellStyle name="Dane wyjściowe 8 7 2" xfId="31895"/>
    <cellStyle name="Dane wyjściowe 8 7 3" xfId="31896"/>
    <cellStyle name="Dane wyjściowe 8 8" xfId="31897"/>
    <cellStyle name="Dane wyjściowe 8 8 2" xfId="31898"/>
    <cellStyle name="Dane wyjściowe 8 8 3" xfId="31899"/>
    <cellStyle name="Dane wyjściowe 8 9" xfId="31900"/>
    <cellStyle name="Dane wyjściowe 8 9 2" xfId="31901"/>
    <cellStyle name="Dane wyjściowe 8 9 3" xfId="31902"/>
    <cellStyle name="Dane wyjściowe 9" xfId="31903"/>
    <cellStyle name="Dane wyjściowe 9 2" xfId="31904"/>
    <cellStyle name="Dane wyjściowe 9 2 2" xfId="31905"/>
    <cellStyle name="Dane wyjściowe 9 3" xfId="31906"/>
    <cellStyle name="Date Short" xfId="31907"/>
    <cellStyle name="DB Model Standard" xfId="31908"/>
    <cellStyle name="DELTA" xfId="31909"/>
    <cellStyle name="Dezimal [0]_EntwImpIEA" xfId="31910"/>
    <cellStyle name="Dezimal_EntwImpIEA" xfId="31911"/>
    <cellStyle name="do_danych_szczegolowych" xfId="22"/>
    <cellStyle name="Dobre 10" xfId="31912"/>
    <cellStyle name="Dobre 2" xfId="31913"/>
    <cellStyle name="Dobre 2 2" xfId="31914"/>
    <cellStyle name="Dobre 2 2 2" xfId="31915"/>
    <cellStyle name="Dobre 2 3" xfId="31916"/>
    <cellStyle name="Dobre 2 4" xfId="31917"/>
    <cellStyle name="Dobre 2 5" xfId="31918"/>
    <cellStyle name="Dobre 2 6" xfId="31919"/>
    <cellStyle name="Dobre 2 7" xfId="31920"/>
    <cellStyle name="Dobre 2 8" xfId="31921"/>
    <cellStyle name="Dobre 2 9" xfId="31922"/>
    <cellStyle name="Dobre 2 9 2" xfId="31923"/>
    <cellStyle name="Dobre 3" xfId="31924"/>
    <cellStyle name="Dobre 4" xfId="31925"/>
    <cellStyle name="Dobre 4 2" xfId="31926"/>
    <cellStyle name="Dobre 4 3" xfId="31927"/>
    <cellStyle name="Dobre 5" xfId="31928"/>
    <cellStyle name="Dobre 5 2" xfId="31929"/>
    <cellStyle name="Dobre 5 3" xfId="31930"/>
    <cellStyle name="Dobre 6" xfId="31931"/>
    <cellStyle name="Dobre 7" xfId="31932"/>
    <cellStyle name="Dobre 8" xfId="31933"/>
    <cellStyle name="Dobre 8 2" xfId="31934"/>
    <cellStyle name="Dobre 9" xfId="31935"/>
    <cellStyle name="Dobre 9 2" xfId="31936"/>
    <cellStyle name="Dziesiętny 10" xfId="31937"/>
    <cellStyle name="Dziesiętny 10 2" xfId="31938"/>
    <cellStyle name="Dziesiętny 10 2 2" xfId="31939"/>
    <cellStyle name="Dziesiętny 10 3" xfId="31940"/>
    <cellStyle name="Dziesiętny 10 4" xfId="31941"/>
    <cellStyle name="Dziesiętny 10 5" xfId="31942"/>
    <cellStyle name="Dziesiętny 11" xfId="31943"/>
    <cellStyle name="Dziesiętny 11 2" xfId="31944"/>
    <cellStyle name="Dziesiętny 11 2 2" xfId="31945"/>
    <cellStyle name="Dziesiętny 11 3" xfId="31946"/>
    <cellStyle name="Dziesiętny 11 4" xfId="31947"/>
    <cellStyle name="Dziesiętny 11 5" xfId="31948"/>
    <cellStyle name="Dziesiętny 12" xfId="31949"/>
    <cellStyle name="Dziesiętny 12 2" xfId="31950"/>
    <cellStyle name="Dziesiętny 12 2 2" xfId="31951"/>
    <cellStyle name="Dziesiętny 12 3" xfId="31952"/>
    <cellStyle name="Dziesiętny 12 4" xfId="31953"/>
    <cellStyle name="Dziesiętny 13" xfId="31954"/>
    <cellStyle name="Dziesiętny 13 2" xfId="31955"/>
    <cellStyle name="Dziesiętny 13 2 2" xfId="31956"/>
    <cellStyle name="Dziesiętny 13 3" xfId="31957"/>
    <cellStyle name="Dziesiętny 13 4" xfId="31958"/>
    <cellStyle name="Dziesiętny 14" xfId="31959"/>
    <cellStyle name="Dziesiętny 14 2" xfId="31960"/>
    <cellStyle name="Dziesiętny 14 2 2" xfId="31961"/>
    <cellStyle name="Dziesiętny 14 3" xfId="31962"/>
    <cellStyle name="Dziesiętny 14 4" xfId="31963"/>
    <cellStyle name="Dziesiętny 15" xfId="31964"/>
    <cellStyle name="Dziesiętny 15 2" xfId="31965"/>
    <cellStyle name="Dziesiętny 15 2 2" xfId="31966"/>
    <cellStyle name="Dziesiętny 15 3" xfId="31967"/>
    <cellStyle name="Dziesiętny 15 4" xfId="31968"/>
    <cellStyle name="Dziesiętny 16" xfId="31969"/>
    <cellStyle name="Dziesiętny 16 2" xfId="31970"/>
    <cellStyle name="Dziesiętny 16 2 2" xfId="31971"/>
    <cellStyle name="Dziesiętny 16 3" xfId="31972"/>
    <cellStyle name="Dziesiętny 16 4" xfId="31973"/>
    <cellStyle name="Dziesiętny 17" xfId="31974"/>
    <cellStyle name="Dziesiętny 17 2" xfId="31975"/>
    <cellStyle name="Dziesiętny 17 2 2" xfId="31976"/>
    <cellStyle name="Dziesiętny 17 3" xfId="31977"/>
    <cellStyle name="Dziesiętny 17 4" xfId="31978"/>
    <cellStyle name="Dziesiętny 18" xfId="31979"/>
    <cellStyle name="Dziesiętny 18 2" xfId="31980"/>
    <cellStyle name="Dziesiętny 18 2 2" xfId="31981"/>
    <cellStyle name="Dziesiętny 18 3" xfId="31982"/>
    <cellStyle name="Dziesiętny 18 4" xfId="31983"/>
    <cellStyle name="Dziesiętny 19" xfId="31984"/>
    <cellStyle name="Dziesiętny 19 2" xfId="31985"/>
    <cellStyle name="Dziesiętny 19 2 2" xfId="31986"/>
    <cellStyle name="Dziesiętny 19 3" xfId="31987"/>
    <cellStyle name="Dziesiętny 19 4" xfId="31988"/>
    <cellStyle name="Dziesiętny 2" xfId="11"/>
    <cellStyle name="Dziesiętny 2 10" xfId="31990"/>
    <cellStyle name="Dziesiętny 2 11" xfId="31991"/>
    <cellStyle name="Dziesiętny 2 12" xfId="31989"/>
    <cellStyle name="Dziesiętny 2 13" xfId="15"/>
    <cellStyle name="Dziesiętny 2 2" xfId="31992"/>
    <cellStyle name="Dziesiętny 2 2 2" xfId="31993"/>
    <cellStyle name="Dziesiętny 2 2 2 2" xfId="31994"/>
    <cellStyle name="Dziesiętny 2 2 2 3" xfId="31995"/>
    <cellStyle name="Dziesiętny 2 2 3" xfId="31996"/>
    <cellStyle name="Dziesiętny 2 2 4" xfId="31997"/>
    <cellStyle name="Dziesiętny 2 3" xfId="31998"/>
    <cellStyle name="Dziesiętny 2 3 2" xfId="31999"/>
    <cellStyle name="Dziesiętny 2 3 3" xfId="32000"/>
    <cellStyle name="Dziesiętny 2 3 4" xfId="32001"/>
    <cellStyle name="Dziesiętny 2 4" xfId="32002"/>
    <cellStyle name="Dziesiętny 2 4 2" xfId="32003"/>
    <cellStyle name="Dziesiętny 2 4 3" xfId="32004"/>
    <cellStyle name="Dziesiętny 2 4 4" xfId="32005"/>
    <cellStyle name="Dziesiętny 2 5" xfId="32006"/>
    <cellStyle name="Dziesiętny 2 5 2" xfId="32007"/>
    <cellStyle name="Dziesiętny 2 5 3" xfId="32008"/>
    <cellStyle name="Dziesiętny 2 5 4" xfId="32009"/>
    <cellStyle name="Dziesiętny 2 6" xfId="32010"/>
    <cellStyle name="Dziesiętny 2 6 2" xfId="32011"/>
    <cellStyle name="Dziesiętny 2 7" xfId="32012"/>
    <cellStyle name="Dziesiętny 2 8" xfId="32013"/>
    <cellStyle name="Dziesiętny 2 9" xfId="32014"/>
    <cellStyle name="Dziesiętny 2_CIT_2" xfId="32015"/>
    <cellStyle name="Dziesiętny 20" xfId="32016"/>
    <cellStyle name="Dziesiętny 20 2" xfId="32017"/>
    <cellStyle name="Dziesiętny 20 2 2" xfId="32018"/>
    <cellStyle name="Dziesiętny 20 2 2 2" xfId="32019"/>
    <cellStyle name="Dziesiętny 20 2 3" xfId="32020"/>
    <cellStyle name="Dziesiętny 20 3" xfId="32021"/>
    <cellStyle name="Dziesiętny 20 3 2" xfId="32022"/>
    <cellStyle name="Dziesiętny 20 4" xfId="32023"/>
    <cellStyle name="Dziesiętny 20 5" xfId="32024"/>
    <cellStyle name="Dziesiętny 21" xfId="32025"/>
    <cellStyle name="Dziesiętny 21 2" xfId="32026"/>
    <cellStyle name="Dziesiętny 21 2 2" xfId="32027"/>
    <cellStyle name="Dziesiętny 21 3" xfId="32028"/>
    <cellStyle name="Dziesiętny 21 4" xfId="32029"/>
    <cellStyle name="Dziesiętny 22" xfId="32030"/>
    <cellStyle name="Dziesiętny 22 2" xfId="32031"/>
    <cellStyle name="Dziesiętny 22 2 2" xfId="32032"/>
    <cellStyle name="Dziesiętny 22 3" xfId="32033"/>
    <cellStyle name="Dziesiętny 22 4" xfId="32034"/>
    <cellStyle name="Dziesiętny 23" xfId="32035"/>
    <cellStyle name="Dziesiętny 23 2" xfId="32036"/>
    <cellStyle name="Dziesiętny 23 2 2" xfId="32037"/>
    <cellStyle name="Dziesiętny 23 3" xfId="32038"/>
    <cellStyle name="Dziesiętny 23 4" xfId="32039"/>
    <cellStyle name="Dziesiętny 24" xfId="32040"/>
    <cellStyle name="Dziesiętny 24 2" xfId="32041"/>
    <cellStyle name="Dziesiętny 24 2 2" xfId="32042"/>
    <cellStyle name="Dziesiętny 24 3" xfId="32043"/>
    <cellStyle name="Dziesiętny 24 3 2" xfId="32044"/>
    <cellStyle name="Dziesiętny 24 4" xfId="32045"/>
    <cellStyle name="Dziesiętny 24 5" xfId="32046"/>
    <cellStyle name="Dziesiętny 25" xfId="32047"/>
    <cellStyle name="Dziesiętny 25 2" xfId="32048"/>
    <cellStyle name="Dziesiętny 25 3" xfId="32049"/>
    <cellStyle name="Dziesiętny 26" xfId="32050"/>
    <cellStyle name="Dziesiętny 27" xfId="32051"/>
    <cellStyle name="Dziesiętny 27 2" xfId="32052"/>
    <cellStyle name="Dziesiętny 27 3" xfId="32053"/>
    <cellStyle name="Dziesiętny 27 4" xfId="32054"/>
    <cellStyle name="Dziesiętny 27 5" xfId="32055"/>
    <cellStyle name="Dziesiętny 27 6" xfId="32056"/>
    <cellStyle name="Dziesiętny 27 7" xfId="32057"/>
    <cellStyle name="Dziesiętny 28" xfId="32058"/>
    <cellStyle name="Dziesiętny 28 2" xfId="32059"/>
    <cellStyle name="Dziesiętny 28 3" xfId="32060"/>
    <cellStyle name="Dziesiętny 28 4" xfId="32061"/>
    <cellStyle name="Dziesiętny 28 5" xfId="32062"/>
    <cellStyle name="Dziesiętny 28 6" xfId="32063"/>
    <cellStyle name="Dziesiętny 28 7" xfId="32064"/>
    <cellStyle name="Dziesiętny 28 7 2" xfId="32065"/>
    <cellStyle name="Dziesiętny 29" xfId="32066"/>
    <cellStyle name="Dziesiętny 29 2" xfId="32067"/>
    <cellStyle name="Dziesiętny 29 3" xfId="32068"/>
    <cellStyle name="Dziesiętny 29 4" xfId="32069"/>
    <cellStyle name="Dziesiętny 29 5" xfId="32070"/>
    <cellStyle name="Dziesiętny 29 6" xfId="32071"/>
    <cellStyle name="Dziesiętny 3" xfId="13"/>
    <cellStyle name="Dziesiętny 3 10" xfId="32072"/>
    <cellStyle name="Dziesiętny 3 10 2" xfId="32073"/>
    <cellStyle name="Dziesiętny 3 10 2 2" xfId="32074"/>
    <cellStyle name="Dziesiętny 3 10 3" xfId="32075"/>
    <cellStyle name="Dziesiętny 3 11" xfId="32076"/>
    <cellStyle name="Dziesiętny 3 11 2" xfId="32077"/>
    <cellStyle name="Dziesiętny 3 11 2 2" xfId="32078"/>
    <cellStyle name="Dziesiętny 3 11 3" xfId="32079"/>
    <cellStyle name="Dziesiętny 3 12" xfId="32080"/>
    <cellStyle name="Dziesiętny 3 12 2" xfId="32081"/>
    <cellStyle name="Dziesiętny 3 12 2 2" xfId="32082"/>
    <cellStyle name="Dziesiętny 3 12 3" xfId="32083"/>
    <cellStyle name="Dziesiętny 3 13" xfId="32084"/>
    <cellStyle name="Dziesiętny 3 13 2" xfId="32085"/>
    <cellStyle name="Dziesiętny 3 13 2 2" xfId="32086"/>
    <cellStyle name="Dziesiętny 3 13 3" xfId="32087"/>
    <cellStyle name="Dziesiętny 3 14" xfId="32088"/>
    <cellStyle name="Dziesiętny 3 14 2" xfId="32089"/>
    <cellStyle name="Dziesiętny 3 14 2 2" xfId="32090"/>
    <cellStyle name="Dziesiętny 3 14 3" xfId="32091"/>
    <cellStyle name="Dziesiętny 3 15" xfId="32092"/>
    <cellStyle name="Dziesiętny 3 15 2" xfId="32093"/>
    <cellStyle name="Dziesiętny 3 15 2 2" xfId="32094"/>
    <cellStyle name="Dziesiętny 3 15 3" xfId="32095"/>
    <cellStyle name="Dziesiętny 3 16" xfId="32096"/>
    <cellStyle name="Dziesiętny 3 16 2" xfId="32097"/>
    <cellStyle name="Dziesiętny 3 16 2 2" xfId="32098"/>
    <cellStyle name="Dziesiętny 3 16 3" xfId="32099"/>
    <cellStyle name="Dziesiętny 3 17" xfId="32100"/>
    <cellStyle name="Dziesiętny 3 17 2" xfId="32101"/>
    <cellStyle name="Dziesiętny 3 17 2 2" xfId="32102"/>
    <cellStyle name="Dziesiętny 3 17 3" xfId="32103"/>
    <cellStyle name="Dziesiętny 3 18" xfId="32104"/>
    <cellStyle name="Dziesiętny 3 18 2" xfId="32105"/>
    <cellStyle name="Dziesiętny 3 18 2 2" xfId="32106"/>
    <cellStyle name="Dziesiętny 3 18 3" xfId="32107"/>
    <cellStyle name="Dziesiętny 3 19" xfId="32108"/>
    <cellStyle name="Dziesiętny 3 19 2" xfId="32109"/>
    <cellStyle name="Dziesiętny 3 19 2 2" xfId="32110"/>
    <cellStyle name="Dziesiętny 3 19 3" xfId="32111"/>
    <cellStyle name="Dziesiętny 3 2" xfId="32112"/>
    <cellStyle name="Dziesiętny 3 2 2" xfId="32113"/>
    <cellStyle name="Dziesiętny 3 2 2 2" xfId="32114"/>
    <cellStyle name="Dziesiętny 3 2 2 2 2" xfId="32115"/>
    <cellStyle name="Dziesiętny 3 2 2 3" xfId="32116"/>
    <cellStyle name="Dziesiętny 3 2 3" xfId="32117"/>
    <cellStyle name="Dziesiętny 3 2 3 2" xfId="32118"/>
    <cellStyle name="Dziesiętny 3 2 4" xfId="32119"/>
    <cellStyle name="Dziesiętny 3 2 4 2" xfId="32120"/>
    <cellStyle name="Dziesiętny 3 2 5" xfId="32121"/>
    <cellStyle name="Dziesiętny 3 20" xfId="32122"/>
    <cellStyle name="Dziesiętny 3 20 2" xfId="32123"/>
    <cellStyle name="Dziesiętny 3 20 2 2" xfId="32124"/>
    <cellStyle name="Dziesiętny 3 20 3" xfId="32125"/>
    <cellStyle name="Dziesiętny 3 21" xfId="32126"/>
    <cellStyle name="Dziesiętny 3 21 2" xfId="32127"/>
    <cellStyle name="Dziesiętny 3 21 2 2" xfId="32128"/>
    <cellStyle name="Dziesiętny 3 21 3" xfId="32129"/>
    <cellStyle name="Dziesiętny 3 22" xfId="32130"/>
    <cellStyle name="Dziesiętny 3 22 2" xfId="32131"/>
    <cellStyle name="Dziesiętny 3 22 2 2" xfId="32132"/>
    <cellStyle name="Dziesiętny 3 22 3" xfId="32133"/>
    <cellStyle name="Dziesiętny 3 23" xfId="32134"/>
    <cellStyle name="Dziesiętny 3 23 2" xfId="32135"/>
    <cellStyle name="Dziesiętny 3 23 2 2" xfId="32136"/>
    <cellStyle name="Dziesiętny 3 23 3" xfId="32137"/>
    <cellStyle name="Dziesiętny 3 24" xfId="32138"/>
    <cellStyle name="Dziesiętny 3 24 2" xfId="32139"/>
    <cellStyle name="Dziesiętny 3 24 2 2" xfId="32140"/>
    <cellStyle name="Dziesiętny 3 24 3" xfId="32141"/>
    <cellStyle name="Dziesiętny 3 25" xfId="32142"/>
    <cellStyle name="Dziesiętny 3 25 2" xfId="32143"/>
    <cellStyle name="Dziesiętny 3 26" xfId="32144"/>
    <cellStyle name="Dziesiętny 3 26 2" xfId="32145"/>
    <cellStyle name="Dziesiętny 3 27" xfId="32146"/>
    <cellStyle name="Dziesiętny 3 28" xfId="32147"/>
    <cellStyle name="Dziesiętny 3 3" xfId="32148"/>
    <cellStyle name="Dziesiętny 3 3 2" xfId="32149"/>
    <cellStyle name="Dziesiętny 3 3 2 2" xfId="32150"/>
    <cellStyle name="Dziesiętny 3 3 3" xfId="32151"/>
    <cellStyle name="Dziesiętny 3 3 4" xfId="32152"/>
    <cellStyle name="Dziesiętny 3 4" xfId="32153"/>
    <cellStyle name="Dziesiętny 3 4 2" xfId="32154"/>
    <cellStyle name="Dziesiętny 3 4 2 2" xfId="32155"/>
    <cellStyle name="Dziesiętny 3 4 3" xfId="32156"/>
    <cellStyle name="Dziesiętny 3 5" xfId="32157"/>
    <cellStyle name="Dziesiętny 3 5 2" xfId="32158"/>
    <cellStyle name="Dziesiętny 3 5 2 2" xfId="32159"/>
    <cellStyle name="Dziesiętny 3 5 3" xfId="32160"/>
    <cellStyle name="Dziesiętny 3 6" xfId="32161"/>
    <cellStyle name="Dziesiętny 3 6 2" xfId="32162"/>
    <cellStyle name="Dziesiętny 3 6 2 2" xfId="32163"/>
    <cellStyle name="Dziesiętny 3 6 3" xfId="32164"/>
    <cellStyle name="Dziesiętny 3 7" xfId="32165"/>
    <cellStyle name="Dziesiętny 3 7 2" xfId="32166"/>
    <cellStyle name="Dziesiętny 3 7 2 2" xfId="32167"/>
    <cellStyle name="Dziesiętny 3 7 3" xfId="32168"/>
    <cellStyle name="Dziesiętny 3 8" xfId="32169"/>
    <cellStyle name="Dziesiętny 3 8 2" xfId="32170"/>
    <cellStyle name="Dziesiętny 3 8 2 2" xfId="32171"/>
    <cellStyle name="Dziesiętny 3 8 3" xfId="32172"/>
    <cellStyle name="Dziesiętny 3 9" xfId="32173"/>
    <cellStyle name="Dziesiętny 3 9 2" xfId="32174"/>
    <cellStyle name="Dziesiętny 3 9 2 2" xfId="32175"/>
    <cellStyle name="Dziesiętny 3 9 3" xfId="32176"/>
    <cellStyle name="Dziesiętny 30" xfId="32177"/>
    <cellStyle name="Dziesiętny 31" xfId="32178"/>
    <cellStyle name="Dziesiętny 31 2" xfId="32179"/>
    <cellStyle name="Dziesiętny 31 3" xfId="32180"/>
    <cellStyle name="Dziesiętny 31 4" xfId="32181"/>
    <cellStyle name="Dziesiętny 31 5" xfId="32182"/>
    <cellStyle name="Dziesiętny 31 6" xfId="32183"/>
    <cellStyle name="Dziesiętny 32" xfId="32184"/>
    <cellStyle name="Dziesiętny 32 2" xfId="32185"/>
    <cellStyle name="Dziesiętny 32 3" xfId="32186"/>
    <cellStyle name="Dziesiętny 32 4" xfId="32187"/>
    <cellStyle name="Dziesiętny 32 5" xfId="32188"/>
    <cellStyle name="Dziesiętny 32 6" xfId="32189"/>
    <cellStyle name="Dziesiętny 33" xfId="32190"/>
    <cellStyle name="Dziesiętny 34" xfId="32191"/>
    <cellStyle name="Dziesiętny 35" xfId="32192"/>
    <cellStyle name="Dziesiętny 35 2" xfId="32193"/>
    <cellStyle name="Dziesiętny 36" xfId="32194"/>
    <cellStyle name="Dziesiętny 37" xfId="32195"/>
    <cellStyle name="Dziesiętny 38" xfId="32196"/>
    <cellStyle name="Dziesiętny 39" xfId="42969"/>
    <cellStyle name="Dziesiętny 4" xfId="32197"/>
    <cellStyle name="Dziesiętny 4 2" xfId="32198"/>
    <cellStyle name="Dziesiętny 4 2 2" xfId="32199"/>
    <cellStyle name="Dziesiętny 4 2 2 2" xfId="32200"/>
    <cellStyle name="Dziesiętny 4 2 2 3" xfId="32201"/>
    <cellStyle name="Dziesiętny 4 2 2 4" xfId="32202"/>
    <cellStyle name="Dziesiętny 4 2 3" xfId="32203"/>
    <cellStyle name="Dziesiętny 4 2 3 2" xfId="32204"/>
    <cellStyle name="Dziesiętny 4 2 4" xfId="32205"/>
    <cellStyle name="Dziesiętny 4 3" xfId="32206"/>
    <cellStyle name="Dziesiętny 4 3 2" xfId="32207"/>
    <cellStyle name="Dziesiętny 4 4" xfId="32208"/>
    <cellStyle name="Dziesiętny 4 4 2" xfId="32209"/>
    <cellStyle name="Dziesiętny 4 5" xfId="32210"/>
    <cellStyle name="Dziesiętny 4 6" xfId="32211"/>
    <cellStyle name="Dziesiętny 5" xfId="32212"/>
    <cellStyle name="Dziesiętny 5 2" xfId="32213"/>
    <cellStyle name="Dziesiętny 5 2 2" xfId="32214"/>
    <cellStyle name="Dziesiętny 5 2 2 2" xfId="32215"/>
    <cellStyle name="Dziesiętny 5 3" xfId="32216"/>
    <cellStyle name="Dziesiętny 5 3 2" xfId="32217"/>
    <cellStyle name="Dziesiętny 5 4" xfId="32218"/>
    <cellStyle name="Dziesiętny 5 5" xfId="32219"/>
    <cellStyle name="Dziesiętny 6" xfId="32220"/>
    <cellStyle name="Dziesiętny 6 2" xfId="32221"/>
    <cellStyle name="Dziesiętny 6 2 2" xfId="32222"/>
    <cellStyle name="Dziesiętny 6 2 3" xfId="32223"/>
    <cellStyle name="Dziesiętny 6 2 4" xfId="32224"/>
    <cellStyle name="Dziesiętny 6 3" xfId="32225"/>
    <cellStyle name="Dziesiętny 6 4" xfId="32226"/>
    <cellStyle name="Dziesiętny 6 5" xfId="32227"/>
    <cellStyle name="Dziesiętny 6 6" xfId="32228"/>
    <cellStyle name="Dziesiętny 7" xfId="32229"/>
    <cellStyle name="Dziesiętny 7 2" xfId="32230"/>
    <cellStyle name="Dziesiętny 7 2 2" xfId="32231"/>
    <cellStyle name="Dziesiętny 7 3" xfId="32232"/>
    <cellStyle name="Dziesiętny 7 4" xfId="32233"/>
    <cellStyle name="Dziesiętny 7 5" xfId="32234"/>
    <cellStyle name="Dziesiętny 7 6" xfId="32235"/>
    <cellStyle name="Dziesiętny 8" xfId="32236"/>
    <cellStyle name="Dziesiętny 8 2" xfId="32237"/>
    <cellStyle name="Dziesiętny 8 2 2" xfId="32238"/>
    <cellStyle name="Dziesiętny 8 2 3" xfId="32239"/>
    <cellStyle name="Dziesiętny 8 3" xfId="32240"/>
    <cellStyle name="Dziesiętny 8 4" xfId="32241"/>
    <cellStyle name="Dziesiętny 8 5" xfId="32242"/>
    <cellStyle name="Dziesiętny 9" xfId="32243"/>
    <cellStyle name="Dziesiętny 9 2" xfId="32244"/>
    <cellStyle name="Dziesiętny 9 2 2" xfId="32245"/>
    <cellStyle name="Dziesiętny 9 3" xfId="32246"/>
    <cellStyle name="Dziesiętny 9 4" xfId="32247"/>
    <cellStyle name="Dziesiętny 9 5" xfId="32248"/>
    <cellStyle name="E&amp;Y House" xfId="32249"/>
    <cellStyle name="eárky [0]_laroux" xfId="32250"/>
    <cellStyle name="eárky_laroux" xfId="32251"/>
    <cellStyle name="Emphasis 1" xfId="32252"/>
    <cellStyle name="Emphasis 2" xfId="32253"/>
    <cellStyle name="Emphasis 3" xfId="32254"/>
    <cellStyle name="En dec" xfId="32255"/>
    <cellStyle name="Enter Currency (0)" xfId="32256"/>
    <cellStyle name="Enter Currency (2)" xfId="32257"/>
    <cellStyle name="Enter Units (0)" xfId="32258"/>
    <cellStyle name="Enter Units (1)" xfId="32259"/>
    <cellStyle name="Enter Units (2)" xfId="32260"/>
    <cellStyle name="Euro" xfId="32261"/>
    <cellStyle name="Euro 10" xfId="32262"/>
    <cellStyle name="Euro 10 2" xfId="32263"/>
    <cellStyle name="Euro 11" xfId="32264"/>
    <cellStyle name="Euro 11 2" xfId="32265"/>
    <cellStyle name="Euro 12" xfId="32266"/>
    <cellStyle name="Euro 2" xfId="32267"/>
    <cellStyle name="Euro 2 10" xfId="32268"/>
    <cellStyle name="Euro 2 11" xfId="32269"/>
    <cellStyle name="Euro 2 12" xfId="32270"/>
    <cellStyle name="Euro 2 2" xfId="32271"/>
    <cellStyle name="Euro 2 2 2" xfId="32272"/>
    <cellStyle name="Euro 2 3" xfId="32273"/>
    <cellStyle name="Euro 2 3 2" xfId="32274"/>
    <cellStyle name="Euro 2 4" xfId="32275"/>
    <cellStyle name="Euro 2 5" xfId="32276"/>
    <cellStyle name="Euro 2 6" xfId="32277"/>
    <cellStyle name="Euro 2 7" xfId="32278"/>
    <cellStyle name="Euro 2 8" xfId="32279"/>
    <cellStyle name="Euro 2 9" xfId="32280"/>
    <cellStyle name="Euro 2_PAR_MSSF PF I 2010" xfId="32281"/>
    <cellStyle name="Euro 3" xfId="32282"/>
    <cellStyle name="Euro 3 2" xfId="32283"/>
    <cellStyle name="Euro 3 3" xfId="32284"/>
    <cellStyle name="Euro 4" xfId="32285"/>
    <cellStyle name="Euro 4 2" xfId="32286"/>
    <cellStyle name="Euro 5" xfId="32287"/>
    <cellStyle name="Euro 5 2" xfId="32288"/>
    <cellStyle name="Euro 6" xfId="32289"/>
    <cellStyle name="Euro 6 2" xfId="32290"/>
    <cellStyle name="Euro 7" xfId="32291"/>
    <cellStyle name="Euro 7 2" xfId="32292"/>
    <cellStyle name="Euro 8" xfId="32293"/>
    <cellStyle name="Euro 8 2" xfId="32294"/>
    <cellStyle name="Euro 9" xfId="32295"/>
    <cellStyle name="Euro 9 2" xfId="32296"/>
    <cellStyle name="Euro_Kluczowe wielkości oper" xfId="32297"/>
    <cellStyle name="Excel Built-in Normal" xfId="7"/>
    <cellStyle name="Excel_BuiltIn_Comma" xfId="32298"/>
    <cellStyle name="Explanatory Text" xfId="32299"/>
    <cellStyle name="Explanatory Text 2" xfId="32300"/>
    <cellStyle name="Explanatory Text 3" xfId="32301"/>
    <cellStyle name="EY0dp" xfId="12"/>
    <cellStyle name="Fixed" xfId="32302"/>
    <cellStyle name="Fixed 2" xfId="32303"/>
    <cellStyle name="Fixed_2011'05 Raport PGE_DO-CO2" xfId="32304"/>
    <cellStyle name="Followed Hyperlink_~0050681" xfId="32305"/>
    <cellStyle name="Good" xfId="32306"/>
    <cellStyle name="Good 2" xfId="32307"/>
    <cellStyle name="Good 2 2" xfId="32308"/>
    <cellStyle name="Good 3" xfId="32309"/>
    <cellStyle name="Grey" xfId="32310"/>
    <cellStyle name="GWh" xfId="32311"/>
    <cellStyle name="Header1" xfId="32312"/>
    <cellStyle name="Header1 2" xfId="32313"/>
    <cellStyle name="Header2" xfId="32314"/>
    <cellStyle name="Header2 2" xfId="32315"/>
    <cellStyle name="Heading" xfId="32316"/>
    <cellStyle name="Heading 1" xfId="32317"/>
    <cellStyle name="Heading 1 2" xfId="32318"/>
    <cellStyle name="Heading 1 2 2" xfId="32319"/>
    <cellStyle name="Heading 1 3" xfId="32320"/>
    <cellStyle name="Heading 2" xfId="32321"/>
    <cellStyle name="Heading 2 2" xfId="32322"/>
    <cellStyle name="Heading 2 2 2" xfId="32323"/>
    <cellStyle name="Heading 2 3" xfId="32324"/>
    <cellStyle name="Heading 3" xfId="32325"/>
    <cellStyle name="Heading 3 2" xfId="32326"/>
    <cellStyle name="Heading 3 2 2" xfId="32327"/>
    <cellStyle name="Heading 3 3" xfId="32328"/>
    <cellStyle name="Heading 3 3 2" xfId="32329"/>
    <cellStyle name="Heading 4" xfId="32330"/>
    <cellStyle name="Heading 4 2" xfId="32331"/>
    <cellStyle name="Heading 4 2 2" xfId="32332"/>
    <cellStyle name="Heading 4 3" xfId="32333"/>
    <cellStyle name="Heading1" xfId="32334"/>
    <cellStyle name="Hiperłącze 2" xfId="32335"/>
    <cellStyle name="Hiperłącze 2 2" xfId="32336"/>
    <cellStyle name="Hiperłącze 2 2 2" xfId="32337"/>
    <cellStyle name="Hiperłącze 2 3" xfId="32338"/>
    <cellStyle name="Hiperłącze 3" xfId="32339"/>
    <cellStyle name="Hiperłącze 3 2" xfId="32340"/>
    <cellStyle name="Hiperłącze 3 3" xfId="32341"/>
    <cellStyle name="Hiperłącze 4" xfId="32342"/>
    <cellStyle name="Hiperłącze 4 2" xfId="32343"/>
    <cellStyle name="Hiperłącze 5" xfId="32344"/>
    <cellStyle name="Hiperłącze 6" xfId="32345"/>
    <cellStyle name="Hyperlink_~0050681" xfId="32346"/>
    <cellStyle name="id0" xfId="32347"/>
    <cellStyle name="id1" xfId="32348"/>
    <cellStyle name="id2" xfId="32349"/>
    <cellStyle name="id3" xfId="32350"/>
    <cellStyle name="Input" xfId="32351"/>
    <cellStyle name="Input [yellow]" xfId="32352"/>
    <cellStyle name="Input 2" xfId="32353"/>
    <cellStyle name="Input 2 2" xfId="32354"/>
    <cellStyle name="Input 2 3" xfId="32355"/>
    <cellStyle name="Input 3" xfId="32356"/>
    <cellStyle name="Input 3 2" xfId="32357"/>
    <cellStyle name="Input 3 3" xfId="32358"/>
    <cellStyle name="Input 4" xfId="32359"/>
    <cellStyle name="Input 4 2" xfId="32360"/>
    <cellStyle name="Input Normal" xfId="32361"/>
    <cellStyle name="Input Percent" xfId="32362"/>
    <cellStyle name="Input_2011'05 Raport PGE_DO-CO2" xfId="32363"/>
    <cellStyle name="Kategoria tabeli przestawnej" xfId="42978"/>
    <cellStyle name="Komórka połączona 10" xfId="32364"/>
    <cellStyle name="Komórka połączona 2" xfId="32365"/>
    <cellStyle name="Komórka połączona 2 2" xfId="32366"/>
    <cellStyle name="Komórka połączona 2 2 2" xfId="32367"/>
    <cellStyle name="Komórka połączona 2 3" xfId="32368"/>
    <cellStyle name="Komórka połączona 2 4" xfId="32369"/>
    <cellStyle name="Komórka połączona 2 5" xfId="32370"/>
    <cellStyle name="Komórka połączona 2 6" xfId="32371"/>
    <cellStyle name="Komórka połączona 2 7" xfId="32372"/>
    <cellStyle name="Komórka połączona 2 8" xfId="32373"/>
    <cellStyle name="Komórka połączona 2 9" xfId="32374"/>
    <cellStyle name="Komórka połączona 2 9 2" xfId="32375"/>
    <cellStyle name="Komórka połączona 3" xfId="32376"/>
    <cellStyle name="Komórka połączona 4" xfId="32377"/>
    <cellStyle name="Komórka połączona 4 2" xfId="32378"/>
    <cellStyle name="Komórka połączona 4 3" xfId="32379"/>
    <cellStyle name="Komórka połączona 5" xfId="32380"/>
    <cellStyle name="Komórka połączona 5 2" xfId="32381"/>
    <cellStyle name="Komórka połączona 5 3" xfId="32382"/>
    <cellStyle name="Komórka połączona 6" xfId="32383"/>
    <cellStyle name="Komórka połączona 7" xfId="32384"/>
    <cellStyle name="Komórka połączona 8" xfId="32385"/>
    <cellStyle name="Komórka połączona 8 2" xfId="32386"/>
    <cellStyle name="Komórka połączona 9" xfId="32387"/>
    <cellStyle name="Komórka zaznaczona 10" xfId="32388"/>
    <cellStyle name="Komórka zaznaczona 2" xfId="32389"/>
    <cellStyle name="Komórka zaznaczona 2 2" xfId="32390"/>
    <cellStyle name="Komórka zaznaczona 2 2 2" xfId="32391"/>
    <cellStyle name="Komórka zaznaczona 2 3" xfId="32392"/>
    <cellStyle name="Komórka zaznaczona 2 4" xfId="32393"/>
    <cellStyle name="Komórka zaznaczona 2 5" xfId="32394"/>
    <cellStyle name="Komórka zaznaczona 2 6" xfId="32395"/>
    <cellStyle name="Komórka zaznaczona 2 7" xfId="32396"/>
    <cellStyle name="Komórka zaznaczona 2 8" xfId="32397"/>
    <cellStyle name="Komórka zaznaczona 3" xfId="32398"/>
    <cellStyle name="Komórka zaznaczona 4" xfId="32399"/>
    <cellStyle name="Komórka zaznaczona 4 2" xfId="32400"/>
    <cellStyle name="Komórka zaznaczona 4 3" xfId="32401"/>
    <cellStyle name="Komórka zaznaczona 5" xfId="32402"/>
    <cellStyle name="Komórka zaznaczona 5 2" xfId="32403"/>
    <cellStyle name="Komórka zaznaczona 6" xfId="32404"/>
    <cellStyle name="Komórka zaznaczona 7" xfId="32405"/>
    <cellStyle name="Komórka zaznaczona 8" xfId="32406"/>
    <cellStyle name="Komórka zaznaczona 8 2" xfId="32407"/>
    <cellStyle name="Komórka zaznaczona 9" xfId="32408"/>
    <cellStyle name="Link Currency (0)" xfId="32409"/>
    <cellStyle name="Link Currency (2)" xfId="32410"/>
    <cellStyle name="Link Units (0)" xfId="32411"/>
    <cellStyle name="Link Units (1)" xfId="32412"/>
    <cellStyle name="Link Units (2)" xfId="32413"/>
    <cellStyle name="Linked Cell" xfId="32414"/>
    <cellStyle name="Linked Cell 2" xfId="32415"/>
    <cellStyle name="Linked Cell 2 2" xfId="32416"/>
    <cellStyle name="Linked Cell 3" xfId="32417"/>
    <cellStyle name="MAND_x000d_CHECK.COMMAND_x000e_RENAME.COMMAND_x0008_SHOW.BAR_x000b_DELETE.MENU_x000e_DELETE.COMMAND_x000e_GET.CHA" xfId="32418"/>
    <cellStyle name="meny_ceny" xfId="32419"/>
    <cellStyle name="měny_Energy Balance Structure" xfId="32420"/>
    <cellStyle name="meny_zásobování teplem Vsetín2" xfId="32421"/>
    <cellStyle name="Miglia - Style1" xfId="32422"/>
    <cellStyle name="Migliaia (0)" xfId="32423"/>
    <cellStyle name="Migliaia (0) 2" xfId="32424"/>
    <cellStyle name="Migliaia (0) 2 2" xfId="32425"/>
    <cellStyle name="Migliaia (0) 2 3" xfId="32426"/>
    <cellStyle name="Migliaia (0) 3" xfId="32427"/>
    <cellStyle name="Migliaia (0) 4" xfId="32428"/>
    <cellStyle name="Migliaia (0) 5" xfId="32429"/>
    <cellStyle name="Migliaia (0) 6" xfId="32430"/>
    <cellStyle name="Migliaia (0) 7" xfId="32431"/>
    <cellStyle name="Migliaia (0)_Kluczowe wielkości oper" xfId="32432"/>
    <cellStyle name="mil" xfId="32433"/>
    <cellStyle name="miny_laroux" xfId="32434"/>
    <cellStyle name="Nagłówek 1 10" xfId="32435"/>
    <cellStyle name="Nagłówek 1 2" xfId="32436"/>
    <cellStyle name="Nagłówek 1 2 2" xfId="32437"/>
    <cellStyle name="Nagłówek 1 2 2 2" xfId="32438"/>
    <cellStyle name="Nagłówek 1 2 3" xfId="32439"/>
    <cellStyle name="Nagłówek 1 2 4" xfId="32440"/>
    <cellStyle name="Nagłówek 1 2 5" xfId="32441"/>
    <cellStyle name="Nagłówek 1 2 6" xfId="32442"/>
    <cellStyle name="Nagłówek 1 2 7" xfId="32443"/>
    <cellStyle name="Nagłówek 1 2 8" xfId="32444"/>
    <cellStyle name="Nagłówek 1 2 9" xfId="32445"/>
    <cellStyle name="Nagłówek 1 2 9 2" xfId="32446"/>
    <cellStyle name="Nagłówek 1 3" xfId="32447"/>
    <cellStyle name="Nagłówek 1 4" xfId="32448"/>
    <cellStyle name="Nagłówek 1 4 2" xfId="32449"/>
    <cellStyle name="Nagłówek 1 4 3" xfId="32450"/>
    <cellStyle name="Nagłówek 1 5" xfId="32451"/>
    <cellStyle name="Nagłówek 1 5 2" xfId="32452"/>
    <cellStyle name="Nagłówek 1 5 3" xfId="32453"/>
    <cellStyle name="Nagłówek 1 6" xfId="32454"/>
    <cellStyle name="Nagłówek 1 7" xfId="32455"/>
    <cellStyle name="Nagłówek 1 8" xfId="32456"/>
    <cellStyle name="Nagłówek 1 8 2" xfId="32457"/>
    <cellStyle name="Nagłówek 1 9" xfId="32458"/>
    <cellStyle name="Nagłówek 2 10" xfId="32459"/>
    <cellStyle name="Nagłówek 2 2" xfId="32460"/>
    <cellStyle name="Nagłówek 2 2 2" xfId="32461"/>
    <cellStyle name="Nagłówek 2 2 2 2" xfId="32462"/>
    <cellStyle name="Nagłówek 2 2 3" xfId="32463"/>
    <cellStyle name="Nagłówek 2 2 4" xfId="32464"/>
    <cellStyle name="Nagłówek 2 2 5" xfId="32465"/>
    <cellStyle name="Nagłówek 2 2 6" xfId="32466"/>
    <cellStyle name="Nagłówek 2 2 7" xfId="32467"/>
    <cellStyle name="Nagłówek 2 2 8" xfId="32468"/>
    <cellStyle name="Nagłówek 2 2 9" xfId="32469"/>
    <cellStyle name="Nagłówek 2 2 9 2" xfId="32470"/>
    <cellStyle name="Nagłówek 2 3" xfId="32471"/>
    <cellStyle name="Nagłówek 2 4" xfId="32472"/>
    <cellStyle name="Nagłówek 2 4 2" xfId="32473"/>
    <cellStyle name="Nagłówek 2 4 3" xfId="32474"/>
    <cellStyle name="Nagłówek 2 5" xfId="32475"/>
    <cellStyle name="Nagłówek 2 5 2" xfId="32476"/>
    <cellStyle name="Nagłówek 2 5 3" xfId="32477"/>
    <cellStyle name="Nagłówek 2 6" xfId="32478"/>
    <cellStyle name="Nagłówek 2 7" xfId="32479"/>
    <cellStyle name="Nagłówek 2 8" xfId="32480"/>
    <cellStyle name="Nagłówek 2 8 2" xfId="32481"/>
    <cellStyle name="Nagłówek 2 9" xfId="32482"/>
    <cellStyle name="Nagłówek 3 10" xfId="32483"/>
    <cellStyle name="Nagłówek 3 2" xfId="32484"/>
    <cellStyle name="Nagłówek 3 2 10" xfId="32485"/>
    <cellStyle name="Nagłówek 3 2 2" xfId="32486"/>
    <cellStyle name="Nagłówek 3 2 2 2" xfId="32487"/>
    <cellStyle name="Nagłówek 3 2 2 2 2" xfId="32488"/>
    <cellStyle name="Nagłówek 3 2 3" xfId="32489"/>
    <cellStyle name="Nagłówek 3 2 3 2" xfId="32490"/>
    <cellStyle name="Nagłówek 3 2 4" xfId="32491"/>
    <cellStyle name="Nagłówek 3 2 4 2" xfId="32492"/>
    <cellStyle name="Nagłówek 3 2 5" xfId="32493"/>
    <cellStyle name="Nagłówek 3 2 5 2" xfId="32494"/>
    <cellStyle name="Nagłówek 3 2 6" xfId="32495"/>
    <cellStyle name="Nagłówek 3 2 6 2" xfId="32496"/>
    <cellStyle name="Nagłówek 3 2 7" xfId="32497"/>
    <cellStyle name="Nagłówek 3 2 7 2" xfId="32498"/>
    <cellStyle name="Nagłówek 3 2 8" xfId="32499"/>
    <cellStyle name="Nagłówek 3 2 8 2" xfId="32500"/>
    <cellStyle name="Nagłówek 3 2 9" xfId="32501"/>
    <cellStyle name="Nagłówek 3 2 9 2" xfId="32502"/>
    <cellStyle name="Nagłówek 3 2 9 3" xfId="32503"/>
    <cellStyle name="Nagłówek 3 3" xfId="32504"/>
    <cellStyle name="Nagłówek 3 3 2" xfId="32505"/>
    <cellStyle name="Nagłówek 3 4" xfId="32506"/>
    <cellStyle name="Nagłówek 3 4 2" xfId="32507"/>
    <cellStyle name="Nagłówek 3 4 2 2" xfId="32508"/>
    <cellStyle name="Nagłówek 3 4 3" xfId="32509"/>
    <cellStyle name="Nagłówek 3 4 3 2" xfId="32510"/>
    <cellStyle name="Nagłówek 3 4 4" xfId="32511"/>
    <cellStyle name="Nagłówek 3 5" xfId="32512"/>
    <cellStyle name="Nagłówek 3 5 2" xfId="32513"/>
    <cellStyle name="Nagłówek 3 5 2 2" xfId="32514"/>
    <cellStyle name="Nagłówek 3 5 3" xfId="32515"/>
    <cellStyle name="Nagłówek 3 5 3 2" xfId="32516"/>
    <cellStyle name="Nagłówek 3 6" xfId="32517"/>
    <cellStyle name="Nagłówek 3 6 2" xfId="32518"/>
    <cellStyle name="Nagłówek 3 7" xfId="32519"/>
    <cellStyle name="Nagłówek 3 7 2" xfId="32520"/>
    <cellStyle name="Nagłówek 3 8" xfId="32521"/>
    <cellStyle name="Nagłówek 3 8 2" xfId="32522"/>
    <cellStyle name="Nagłówek 3 8 2 2" xfId="32523"/>
    <cellStyle name="Nagłówek 3 9" xfId="32524"/>
    <cellStyle name="Nagłówek 4 10" xfId="32525"/>
    <cellStyle name="Nagłówek 4 2" xfId="32526"/>
    <cellStyle name="Nagłówek 4 2 2" xfId="32527"/>
    <cellStyle name="Nagłówek 4 2 2 2" xfId="32528"/>
    <cellStyle name="Nagłówek 4 2 3" xfId="32529"/>
    <cellStyle name="Nagłówek 4 2 4" xfId="32530"/>
    <cellStyle name="Nagłówek 4 2 5" xfId="32531"/>
    <cellStyle name="Nagłówek 4 2 6" xfId="32532"/>
    <cellStyle name="Nagłówek 4 2 7" xfId="32533"/>
    <cellStyle name="Nagłówek 4 2 8" xfId="32534"/>
    <cellStyle name="Nagłówek 4 2 9" xfId="32535"/>
    <cellStyle name="Nagłówek 4 2 9 2" xfId="32536"/>
    <cellStyle name="Nagłówek 4 3" xfId="32537"/>
    <cellStyle name="Nagłówek 4 4" xfId="32538"/>
    <cellStyle name="Nagłówek 4 4 2" xfId="32539"/>
    <cellStyle name="Nagłówek 4 4 3" xfId="32540"/>
    <cellStyle name="Nagłówek 4 5" xfId="32541"/>
    <cellStyle name="Nagłówek 4 5 2" xfId="32542"/>
    <cellStyle name="Nagłówek 4 5 3" xfId="32543"/>
    <cellStyle name="Nagłówek 4 6" xfId="32544"/>
    <cellStyle name="Nagłówek 4 7" xfId="32545"/>
    <cellStyle name="Nagłówek 4 8" xfId="32546"/>
    <cellStyle name="Nagłówek 4 8 2" xfId="32547"/>
    <cellStyle name="Nagłówek 4 9" xfId="32548"/>
    <cellStyle name="Narożnik tabeli przestawnej" xfId="42979"/>
    <cellStyle name="Neutral" xfId="32549"/>
    <cellStyle name="Neutral 2" xfId="32550"/>
    <cellStyle name="Neutral 2 2" xfId="32551"/>
    <cellStyle name="Neutral 2 3" xfId="42980"/>
    <cellStyle name="Neutral 3" xfId="32552"/>
    <cellStyle name="Neutralne 10" xfId="32553"/>
    <cellStyle name="Neutralne 2" xfId="32554"/>
    <cellStyle name="Neutralne 2 2" xfId="32555"/>
    <cellStyle name="Neutralne 2 2 2" xfId="32556"/>
    <cellStyle name="Neutralne 2 3" xfId="32557"/>
    <cellStyle name="Neutralne 2 4" xfId="32558"/>
    <cellStyle name="Neutralne 2 5" xfId="32559"/>
    <cellStyle name="Neutralne 2 6" xfId="32560"/>
    <cellStyle name="Neutralne 2 7" xfId="32561"/>
    <cellStyle name="Neutralne 2 8" xfId="32562"/>
    <cellStyle name="Neutralne 2 9" xfId="32563"/>
    <cellStyle name="Neutralne 2 9 2" xfId="32564"/>
    <cellStyle name="Neutralne 3" xfId="32565"/>
    <cellStyle name="Neutralne 4" xfId="32566"/>
    <cellStyle name="Neutralne 4 2" xfId="32567"/>
    <cellStyle name="Neutralne 4 3" xfId="32568"/>
    <cellStyle name="Neutralne 5" xfId="32569"/>
    <cellStyle name="Neutralne 5 2" xfId="32570"/>
    <cellStyle name="Neutralne 5 3" xfId="32571"/>
    <cellStyle name="Neutralne 6" xfId="32572"/>
    <cellStyle name="Neutralne 7" xfId="32573"/>
    <cellStyle name="Neutralne 8" xfId="32574"/>
    <cellStyle name="Neutralne 8 2" xfId="32575"/>
    <cellStyle name="Neutralne 9" xfId="32576"/>
    <cellStyle name="Neutralne 9 2" xfId="32577"/>
    <cellStyle name="NewPeso" xfId="32578"/>
    <cellStyle name="NewPeso 2" xfId="32579"/>
    <cellStyle name="NewPeso_2011'05 Raport PGE_DO-CO2" xfId="32580"/>
    <cellStyle name="Niezdef." xfId="32581"/>
    <cellStyle name="Niezdef. 2" xfId="32582"/>
    <cellStyle name="Niezdef. 3" xfId="32583"/>
    <cellStyle name="normal" xfId="32584"/>
    <cellStyle name="Normal - Styl1" xfId="32585"/>
    <cellStyle name="Normal - Styl1 2" xfId="32586"/>
    <cellStyle name="Normal - Styl2" xfId="32587"/>
    <cellStyle name="Normal - Styl2 2" xfId="32588"/>
    <cellStyle name="Normal - Styl3" xfId="32589"/>
    <cellStyle name="Normal - Styl3 2" xfId="32590"/>
    <cellStyle name="Normal - Styl4" xfId="32591"/>
    <cellStyle name="Normal - Styl4 2" xfId="32592"/>
    <cellStyle name="Normal - Styl5" xfId="32593"/>
    <cellStyle name="Normal - Styl5 2" xfId="32594"/>
    <cellStyle name="Normal - Styl6" xfId="32595"/>
    <cellStyle name="Normal - Styl6 2" xfId="32596"/>
    <cellStyle name="Normal - Styl7" xfId="32597"/>
    <cellStyle name="Normal - Styl7 2" xfId="32598"/>
    <cellStyle name="Normal - Style1" xfId="32599"/>
    <cellStyle name="Normal 2" xfId="32600"/>
    <cellStyle name="Normal 2 2" xfId="32601"/>
    <cellStyle name="Normal 2 2 2" xfId="32602"/>
    <cellStyle name="Normal 2 3" xfId="42981"/>
    <cellStyle name="Normal 3" xfId="32603"/>
    <cellStyle name="Normal 3 2" xfId="32604"/>
    <cellStyle name="Normal 5" xfId="42971"/>
    <cellStyle name="Normal Tiger" xfId="32605"/>
    <cellStyle name="Normal_# 41-Market &amp;Trends" xfId="32606"/>
    <cellStyle name="normální_ceny" xfId="32607"/>
    <cellStyle name="Normalny" xfId="0" builtinId="0"/>
    <cellStyle name="Normalny 10" xfId="32608"/>
    <cellStyle name="Normalny 10 10" xfId="32609"/>
    <cellStyle name="Normalny 10 10 2" xfId="32610"/>
    <cellStyle name="Normalny 10 11" xfId="32611"/>
    <cellStyle name="Normalny 10 12" xfId="32612"/>
    <cellStyle name="Normalny 10 13" xfId="32613"/>
    <cellStyle name="Normalny 10 14" xfId="32614"/>
    <cellStyle name="Normalny 10 15" xfId="32615"/>
    <cellStyle name="Normalny 10 16" xfId="32616"/>
    <cellStyle name="Normalny 10 17" xfId="32617"/>
    <cellStyle name="Normalny 10 18" xfId="32618"/>
    <cellStyle name="Normalny 10 19" xfId="32619"/>
    <cellStyle name="Normalny 10 2" xfId="32620"/>
    <cellStyle name="Normalny 10 2 10" xfId="32621"/>
    <cellStyle name="Normalny 10 2 11" xfId="32622"/>
    <cellStyle name="Normalny 10 2 12" xfId="32623"/>
    <cellStyle name="Normalny 10 2 13" xfId="32624"/>
    <cellStyle name="Normalny 10 2 14" xfId="32625"/>
    <cellStyle name="Normalny 10 2 15" xfId="32626"/>
    <cellStyle name="Normalny 10 2 16" xfId="32627"/>
    <cellStyle name="Normalny 10 2 17" xfId="32628"/>
    <cellStyle name="Normalny 10 2 18" xfId="32629"/>
    <cellStyle name="Normalny 10 2 19" xfId="32630"/>
    <cellStyle name="Normalny 10 2 2" xfId="32631"/>
    <cellStyle name="Normalny 10 2 2 2" xfId="32632"/>
    <cellStyle name="Normalny 10 2 2 2 2" xfId="32633"/>
    <cellStyle name="Normalny 10 2 2 2 3" xfId="32634"/>
    <cellStyle name="Normalny 10 2 2 2 4" xfId="32635"/>
    <cellStyle name="Normalny 10 2 2 2 5" xfId="32636"/>
    <cellStyle name="Normalny 10 2 2 2 5 2" xfId="32637"/>
    <cellStyle name="Normalny 10 2 2 2 6" xfId="32638"/>
    <cellStyle name="Normalny 10 2 2 2 7" xfId="32639"/>
    <cellStyle name="Normalny 10 2 2 2 7 2" xfId="32640"/>
    <cellStyle name="Normalny 10 2 2 2 7 3" xfId="32641"/>
    <cellStyle name="Normalny 10 2 2 3" xfId="32642"/>
    <cellStyle name="Normalny 10 2 20" xfId="32643"/>
    <cellStyle name="Normalny 10 2 20 2" xfId="32644"/>
    <cellStyle name="Normalny 10 2 21" xfId="32645"/>
    <cellStyle name="Normalny 10 2 21 2" xfId="32646"/>
    <cellStyle name="Normalny 10 2 22" xfId="32647"/>
    <cellStyle name="Normalny 10 2 22 2" xfId="32648"/>
    <cellStyle name="Normalny 10 2 3" xfId="32649"/>
    <cellStyle name="Normalny 10 2 3 2" xfId="32650"/>
    <cellStyle name="Normalny 10 2 4" xfId="32651"/>
    <cellStyle name="Normalny 10 2 5" xfId="32652"/>
    <cellStyle name="Normalny 10 2 6" xfId="32653"/>
    <cellStyle name="Normalny 10 2 7" xfId="32654"/>
    <cellStyle name="Normalny 10 2 8" xfId="32655"/>
    <cellStyle name="Normalny 10 2 9" xfId="32656"/>
    <cellStyle name="Normalny 10 2_2011'05 Raport PGE_DO-CO2" xfId="32657"/>
    <cellStyle name="Normalny 10 20" xfId="32658"/>
    <cellStyle name="Normalny 10 3" xfId="32659"/>
    <cellStyle name="Normalny 10 3 2" xfId="32660"/>
    <cellStyle name="Normalny 10 3 2 2" xfId="32661"/>
    <cellStyle name="Normalny 10 3 2 3" xfId="32662"/>
    <cellStyle name="Normalny 10 3 3" xfId="32663"/>
    <cellStyle name="Normalny 10 3 3 2" xfId="32664"/>
    <cellStyle name="Normalny 10 3 4" xfId="32665"/>
    <cellStyle name="Normalny 10 3_2011'05 Raport PGE_DO-CO2" xfId="32666"/>
    <cellStyle name="Normalny 10 4" xfId="32667"/>
    <cellStyle name="Normalny 10 4 2" xfId="32668"/>
    <cellStyle name="Normalny 10 4 2 2" xfId="32669"/>
    <cellStyle name="Normalny 10 4 3" xfId="32670"/>
    <cellStyle name="Normalny 10 4 4" xfId="32671"/>
    <cellStyle name="Normalny 10 5" xfId="32672"/>
    <cellStyle name="Normalny 10 5 2" xfId="32673"/>
    <cellStyle name="Normalny 10 6" xfId="32674"/>
    <cellStyle name="Normalny 10 7" xfId="32675"/>
    <cellStyle name="Normalny 10 8" xfId="32676"/>
    <cellStyle name="Normalny 10 9" xfId="32677"/>
    <cellStyle name="Normalny 10_2011'05 Raport PGE_DO-CO2" xfId="32678"/>
    <cellStyle name="Normalny 100" xfId="32679"/>
    <cellStyle name="Normalny 101" xfId="32680"/>
    <cellStyle name="Normalny 102" xfId="32681"/>
    <cellStyle name="Normalny 103" xfId="32682"/>
    <cellStyle name="Normalny 104" xfId="32683"/>
    <cellStyle name="Normalny 105" xfId="32684"/>
    <cellStyle name="Normalny 106" xfId="32685"/>
    <cellStyle name="Normalny 107" xfId="32686"/>
    <cellStyle name="Normalny 108" xfId="32687"/>
    <cellStyle name="Normalny 109" xfId="32688"/>
    <cellStyle name="Normalny 109 2" xfId="32689"/>
    <cellStyle name="Normalny 109 3" xfId="32690"/>
    <cellStyle name="Normalny 109 4" xfId="32691"/>
    <cellStyle name="Normalny 109 5" xfId="32692"/>
    <cellStyle name="Normalny 109 6" xfId="32693"/>
    <cellStyle name="Normalny 11" xfId="5"/>
    <cellStyle name="Normalny 11 10" xfId="32695"/>
    <cellStyle name="Normalny 11 11" xfId="32696"/>
    <cellStyle name="Normalny 11 12" xfId="32697"/>
    <cellStyle name="Normalny 11 13" xfId="32698"/>
    <cellStyle name="Normalny 11 14" xfId="32699"/>
    <cellStyle name="Normalny 11 15" xfId="32700"/>
    <cellStyle name="Normalny 11 16" xfId="32701"/>
    <cellStyle name="Normalny 11 17" xfId="32702"/>
    <cellStyle name="Normalny 11 18" xfId="32703"/>
    <cellStyle name="Normalny 11 19" xfId="32704"/>
    <cellStyle name="Normalny 11 2" xfId="32705"/>
    <cellStyle name="Normalny 11 2 10" xfId="32706"/>
    <cellStyle name="Normalny 11 2 11" xfId="32707"/>
    <cellStyle name="Normalny 11 2 12" xfId="32708"/>
    <cellStyle name="Normalny 11 2 13" xfId="32709"/>
    <cellStyle name="Normalny 11 2 14" xfId="32710"/>
    <cellStyle name="Normalny 11 2 15" xfId="32711"/>
    <cellStyle name="Normalny 11 2 16" xfId="32712"/>
    <cellStyle name="Normalny 11 2 17" xfId="32713"/>
    <cellStyle name="Normalny 11 2 18" xfId="32714"/>
    <cellStyle name="Normalny 11 2 19" xfId="32715"/>
    <cellStyle name="Normalny 11 2 2" xfId="32716"/>
    <cellStyle name="Normalny 11 2 20" xfId="32717"/>
    <cellStyle name="Normalny 11 2 3" xfId="32718"/>
    <cellStyle name="Normalny 11 2 4" xfId="32719"/>
    <cellStyle name="Normalny 11 2 5" xfId="32720"/>
    <cellStyle name="Normalny 11 2 6" xfId="32721"/>
    <cellStyle name="Normalny 11 2 7" xfId="32722"/>
    <cellStyle name="Normalny 11 2 8" xfId="32723"/>
    <cellStyle name="Normalny 11 2 9" xfId="32724"/>
    <cellStyle name="Normalny 11 20" xfId="32725"/>
    <cellStyle name="Normalny 11 21" xfId="32726"/>
    <cellStyle name="Normalny 11 22" xfId="32694"/>
    <cellStyle name="Normalny 11 3" xfId="32727"/>
    <cellStyle name="Normalny 11 4" xfId="32728"/>
    <cellStyle name="Normalny 11 5" xfId="32729"/>
    <cellStyle name="Normalny 11 6" xfId="32730"/>
    <cellStyle name="Normalny 11 7" xfId="32731"/>
    <cellStyle name="Normalny 11 8" xfId="32732"/>
    <cellStyle name="Normalny 11 9" xfId="32733"/>
    <cellStyle name="Normalny 11_2011'04 Raport PGE_formatka(Kluczowe wielk oper)" xfId="32734"/>
    <cellStyle name="Normalny 110" xfId="32735"/>
    <cellStyle name="Normalny 110 2" xfId="32736"/>
    <cellStyle name="Normalny 110 3" xfId="32737"/>
    <cellStyle name="Normalny 110 4" xfId="32738"/>
    <cellStyle name="Normalny 110 5" xfId="32739"/>
    <cellStyle name="Normalny 110 6" xfId="32740"/>
    <cellStyle name="Normalny 111" xfId="32741"/>
    <cellStyle name="Normalny 111 2" xfId="32742"/>
    <cellStyle name="Normalny 111 3" xfId="32743"/>
    <cellStyle name="Normalny 111 4" xfId="32744"/>
    <cellStyle name="Normalny 111 5" xfId="32745"/>
    <cellStyle name="Normalny 111 6" xfId="32746"/>
    <cellStyle name="Normalny 112" xfId="32747"/>
    <cellStyle name="Normalny 112 2" xfId="32748"/>
    <cellStyle name="Normalny 112 3" xfId="32749"/>
    <cellStyle name="Normalny 112 4" xfId="32750"/>
    <cellStyle name="Normalny 112 5" xfId="32751"/>
    <cellStyle name="Normalny 112 6" xfId="32752"/>
    <cellStyle name="Normalny 113" xfId="32753"/>
    <cellStyle name="Normalny 113 2" xfId="32754"/>
    <cellStyle name="Normalny 113 3" xfId="32755"/>
    <cellStyle name="Normalny 113 4" xfId="32756"/>
    <cellStyle name="Normalny 113 5" xfId="32757"/>
    <cellStyle name="Normalny 113 6" xfId="32758"/>
    <cellStyle name="Normalny 114" xfId="32759"/>
    <cellStyle name="Normalny 114 2" xfId="32760"/>
    <cellStyle name="Normalny 114 3" xfId="32761"/>
    <cellStyle name="Normalny 114 4" xfId="32762"/>
    <cellStyle name="Normalny 114 5" xfId="32763"/>
    <cellStyle name="Normalny 114 6" xfId="32764"/>
    <cellStyle name="Normalny 115" xfId="32765"/>
    <cellStyle name="Normalny 115 2" xfId="32766"/>
    <cellStyle name="Normalny 115 3" xfId="32767"/>
    <cellStyle name="Normalny 115 4" xfId="32768"/>
    <cellStyle name="Normalny 115 5" xfId="32769"/>
    <cellStyle name="Normalny 115 6" xfId="32770"/>
    <cellStyle name="Normalny 116" xfId="32771"/>
    <cellStyle name="Normalny 116 2" xfId="32772"/>
    <cellStyle name="Normalny 116 3" xfId="32773"/>
    <cellStyle name="Normalny 116 4" xfId="32774"/>
    <cellStyle name="Normalny 116 5" xfId="32775"/>
    <cellStyle name="Normalny 116 6" xfId="32776"/>
    <cellStyle name="Normalny 117" xfId="32777"/>
    <cellStyle name="Normalny 118" xfId="32778"/>
    <cellStyle name="Normalny 118 2" xfId="32779"/>
    <cellStyle name="Normalny 118 3" xfId="32780"/>
    <cellStyle name="Normalny 118 4" xfId="32781"/>
    <cellStyle name="Normalny 118 5" xfId="32782"/>
    <cellStyle name="Normalny 118 6" xfId="32783"/>
    <cellStyle name="Normalny 119" xfId="32784"/>
    <cellStyle name="Normalny 119 2" xfId="32785"/>
    <cellStyle name="Normalny 119 3" xfId="32786"/>
    <cellStyle name="Normalny 119 4" xfId="32787"/>
    <cellStyle name="Normalny 119 5" xfId="32788"/>
    <cellStyle name="Normalny 119 6" xfId="32789"/>
    <cellStyle name="Normalny 12" xfId="32790"/>
    <cellStyle name="Normalny 12 2" xfId="32791"/>
    <cellStyle name="Normalny 12 3" xfId="32792"/>
    <cellStyle name="Normalny 12 4" xfId="32793"/>
    <cellStyle name="Normalny 12_2011'05 Raport PGE_DO-CO2" xfId="32794"/>
    <cellStyle name="Normalny 120" xfId="32795"/>
    <cellStyle name="Normalny 120 2" xfId="32796"/>
    <cellStyle name="Normalny 120 3" xfId="32797"/>
    <cellStyle name="Normalny 120 4" xfId="32798"/>
    <cellStyle name="Normalny 120 5" xfId="32799"/>
    <cellStyle name="Normalny 120 6" xfId="32800"/>
    <cellStyle name="Normalny 121" xfId="32801"/>
    <cellStyle name="Normalny 122" xfId="32802"/>
    <cellStyle name="Normalny 123" xfId="32803"/>
    <cellStyle name="Normalny 124" xfId="32804"/>
    <cellStyle name="Normalny 124 2" xfId="32805"/>
    <cellStyle name="Normalny 124 3" xfId="32806"/>
    <cellStyle name="Normalny 124 4" xfId="32807"/>
    <cellStyle name="Normalny 124 5" xfId="32808"/>
    <cellStyle name="Normalny 124 6" xfId="32809"/>
    <cellStyle name="Normalny 125" xfId="32810"/>
    <cellStyle name="Normalny 125 2" xfId="32811"/>
    <cellStyle name="Normalny 125 3" xfId="32812"/>
    <cellStyle name="Normalny 125 4" xfId="32813"/>
    <cellStyle name="Normalny 125 5" xfId="32814"/>
    <cellStyle name="Normalny 125 6" xfId="32815"/>
    <cellStyle name="Normalny 126" xfId="32816"/>
    <cellStyle name="Normalny 126 2" xfId="32817"/>
    <cellStyle name="Normalny 126 3" xfId="32818"/>
    <cellStyle name="Normalny 126 4" xfId="32819"/>
    <cellStyle name="Normalny 126 5" xfId="32820"/>
    <cellStyle name="Normalny 126 6" xfId="32821"/>
    <cellStyle name="Normalny 127" xfId="32822"/>
    <cellStyle name="Normalny 128" xfId="32823"/>
    <cellStyle name="Normalny 129" xfId="32824"/>
    <cellStyle name="Normalny 13" xfId="23"/>
    <cellStyle name="Normalny 13 10" xfId="32825"/>
    <cellStyle name="Normalny 13 11" xfId="32826"/>
    <cellStyle name="Normalny 13 12" xfId="32827"/>
    <cellStyle name="Normalny 13 13" xfId="32828"/>
    <cellStyle name="Normalny 13 14" xfId="32829"/>
    <cellStyle name="Normalny 13 15" xfId="32830"/>
    <cellStyle name="Normalny 13 16" xfId="32831"/>
    <cellStyle name="Normalny 13 17" xfId="32832"/>
    <cellStyle name="Normalny 13 18" xfId="32833"/>
    <cellStyle name="Normalny 13 19" xfId="32834"/>
    <cellStyle name="Normalny 13 2" xfId="32835"/>
    <cellStyle name="Normalny 13 2 10" xfId="32836"/>
    <cellStyle name="Normalny 13 2 11" xfId="32837"/>
    <cellStyle name="Normalny 13 2 12" xfId="32838"/>
    <cellStyle name="Normalny 13 2 13" xfId="32839"/>
    <cellStyle name="Normalny 13 2 14" xfId="32840"/>
    <cellStyle name="Normalny 13 2 15" xfId="32841"/>
    <cellStyle name="Normalny 13 2 16" xfId="32842"/>
    <cellStyle name="Normalny 13 2 17" xfId="32843"/>
    <cellStyle name="Normalny 13 2 18" xfId="32844"/>
    <cellStyle name="Normalny 13 2 19" xfId="32845"/>
    <cellStyle name="Normalny 13 2 2" xfId="32846"/>
    <cellStyle name="Normalny 13 2 3" xfId="32847"/>
    <cellStyle name="Normalny 13 2 4" xfId="32848"/>
    <cellStyle name="Normalny 13 2 5" xfId="32849"/>
    <cellStyle name="Normalny 13 2 6" xfId="32850"/>
    <cellStyle name="Normalny 13 2 7" xfId="32851"/>
    <cellStyle name="Normalny 13 2 8" xfId="32852"/>
    <cellStyle name="Normalny 13 2 9" xfId="32853"/>
    <cellStyle name="Normalny 13 20" xfId="32854"/>
    <cellStyle name="Normalny 13 21" xfId="32855"/>
    <cellStyle name="Normalny 13 22" xfId="32856"/>
    <cellStyle name="Normalny 13 23" xfId="32857"/>
    <cellStyle name="Normalny 13 24" xfId="32858"/>
    <cellStyle name="Normalny 13 25" xfId="32859"/>
    <cellStyle name="Normalny 13 26" xfId="32860"/>
    <cellStyle name="Normalny 13 27" xfId="32861"/>
    <cellStyle name="Normalny 13 28" xfId="32862"/>
    <cellStyle name="Normalny 13 29" xfId="32863"/>
    <cellStyle name="Normalny 13 3" xfId="32864"/>
    <cellStyle name="Normalny 13 30" xfId="32865"/>
    <cellStyle name="Normalny 13 31" xfId="32866"/>
    <cellStyle name="Normalny 13 32" xfId="32867"/>
    <cellStyle name="Normalny 13 33" xfId="32868"/>
    <cellStyle name="Normalny 13 34" xfId="32869"/>
    <cellStyle name="Normalny 13 35" xfId="32870"/>
    <cellStyle name="Normalny 13 36" xfId="32871"/>
    <cellStyle name="Normalny 13 37" xfId="32872"/>
    <cellStyle name="Normalny 13 38" xfId="32873"/>
    <cellStyle name="Normalny 13 39" xfId="32874"/>
    <cellStyle name="Normalny 13 4" xfId="32875"/>
    <cellStyle name="Normalny 13 40" xfId="32876"/>
    <cellStyle name="Normalny 13 41" xfId="32877"/>
    <cellStyle name="Normalny 13 42" xfId="32878"/>
    <cellStyle name="Normalny 13 43" xfId="32879"/>
    <cellStyle name="Normalny 13 44" xfId="32880"/>
    <cellStyle name="Normalny 13 45" xfId="32881"/>
    <cellStyle name="Normalny 13 46" xfId="32882"/>
    <cellStyle name="Normalny 13 47" xfId="32883"/>
    <cellStyle name="Normalny 13 5" xfId="32884"/>
    <cellStyle name="Normalny 13 6" xfId="32885"/>
    <cellStyle name="Normalny 13 7" xfId="32886"/>
    <cellStyle name="Normalny 13 8" xfId="32887"/>
    <cellStyle name="Normalny 13 9" xfId="32888"/>
    <cellStyle name="Normalny 13_2011'05 Raport PGE_DO-CO2" xfId="32889"/>
    <cellStyle name="Normalny 130" xfId="32890"/>
    <cellStyle name="Normalny 131" xfId="32891"/>
    <cellStyle name="Normalny 132" xfId="32892"/>
    <cellStyle name="Normalny 133" xfId="32893"/>
    <cellStyle name="Normalny 134" xfId="32894"/>
    <cellStyle name="Normalny 135" xfId="32895"/>
    <cellStyle name="Normalny 135 10" xfId="32896"/>
    <cellStyle name="Normalny 135 2" xfId="32897"/>
    <cellStyle name="Normalny 136" xfId="32898"/>
    <cellStyle name="Normalny 137" xfId="32899"/>
    <cellStyle name="Normalny 138" xfId="32900"/>
    <cellStyle name="Normalny 138 2" xfId="32901"/>
    <cellStyle name="Normalny 138 2 2" xfId="32902"/>
    <cellStyle name="Normalny 139" xfId="32903"/>
    <cellStyle name="Normalny 139 2" xfId="32904"/>
    <cellStyle name="Normalny 139 2 2" xfId="32905"/>
    <cellStyle name="Normalny 139 3" xfId="32906"/>
    <cellStyle name="Normalny 139 4" xfId="32907"/>
    <cellStyle name="Normalny 14" xfId="32908"/>
    <cellStyle name="Normalny 14 10" xfId="32909"/>
    <cellStyle name="Normalny 14 11" xfId="32910"/>
    <cellStyle name="Normalny 14 12" xfId="32911"/>
    <cellStyle name="Normalny 14 13" xfId="32912"/>
    <cellStyle name="Normalny 14 14" xfId="32913"/>
    <cellStyle name="Normalny 14 15" xfId="32914"/>
    <cellStyle name="Normalny 14 16" xfId="32915"/>
    <cellStyle name="Normalny 14 17" xfId="32916"/>
    <cellStyle name="Normalny 14 18" xfId="32917"/>
    <cellStyle name="Normalny 14 19" xfId="32918"/>
    <cellStyle name="Normalny 14 2" xfId="32919"/>
    <cellStyle name="Normalny 14 2 10" xfId="32920"/>
    <cellStyle name="Normalny 14 2 11" xfId="32921"/>
    <cellStyle name="Normalny 14 2 12" xfId="32922"/>
    <cellStyle name="Normalny 14 2 13" xfId="32923"/>
    <cellStyle name="Normalny 14 2 14" xfId="32924"/>
    <cellStyle name="Normalny 14 2 15" xfId="32925"/>
    <cellStyle name="Normalny 14 2 16" xfId="32926"/>
    <cellStyle name="Normalny 14 2 17" xfId="32927"/>
    <cellStyle name="Normalny 14 2 18" xfId="32928"/>
    <cellStyle name="Normalny 14 2 19" xfId="32929"/>
    <cellStyle name="Normalny 14 2 2" xfId="32930"/>
    <cellStyle name="Normalny 14 2 2 2" xfId="32931"/>
    <cellStyle name="Normalny 14 2 20" xfId="32932"/>
    <cellStyle name="Normalny 14 2 20 2" xfId="32933"/>
    <cellStyle name="Normalny 14 2 20 2 2" xfId="32934"/>
    <cellStyle name="Normalny 14 2 20 2 2 2" xfId="32935"/>
    <cellStyle name="Normalny 14 2 20 2 2 3" xfId="32936"/>
    <cellStyle name="Normalny 14 2 20 2 3" xfId="32937"/>
    <cellStyle name="Normalny 14 2 20 2 4" xfId="32938"/>
    <cellStyle name="Normalny 14 2 20 3" xfId="32939"/>
    <cellStyle name="Normalny 14 2 20 3 2" xfId="32940"/>
    <cellStyle name="Normalny 14 2 20 3 3" xfId="32941"/>
    <cellStyle name="Normalny 14 2 20 4" xfId="32942"/>
    <cellStyle name="Normalny 14 2 20 5" xfId="32943"/>
    <cellStyle name="Normalny 14 2 21" xfId="32944"/>
    <cellStyle name="Normalny 14 2 21 2" xfId="32945"/>
    <cellStyle name="Normalny 14 2 21 2 2" xfId="32946"/>
    <cellStyle name="Normalny 14 2 21 2 2 2" xfId="32947"/>
    <cellStyle name="Normalny 14 2 21 2 2 3" xfId="32948"/>
    <cellStyle name="Normalny 14 2 21 2 3" xfId="32949"/>
    <cellStyle name="Normalny 14 2 21 2 4" xfId="32950"/>
    <cellStyle name="Normalny 14 2 21 3" xfId="32951"/>
    <cellStyle name="Normalny 14 2 21 3 2" xfId="32952"/>
    <cellStyle name="Normalny 14 2 21 3 3" xfId="32953"/>
    <cellStyle name="Normalny 14 2 21 4" xfId="32954"/>
    <cellStyle name="Normalny 14 2 21 5" xfId="32955"/>
    <cellStyle name="Normalny 14 2 22" xfId="32956"/>
    <cellStyle name="Normalny 14 2 22 2" xfId="32957"/>
    <cellStyle name="Normalny 14 2 22 2 2" xfId="32958"/>
    <cellStyle name="Normalny 14 2 22 2 3" xfId="32959"/>
    <cellStyle name="Normalny 14 2 22 3" xfId="32960"/>
    <cellStyle name="Normalny 14 2 22 4" xfId="32961"/>
    <cellStyle name="Normalny 14 2 23" xfId="32962"/>
    <cellStyle name="Normalny 14 2 23 2" xfId="32963"/>
    <cellStyle name="Normalny 14 2 23 3" xfId="32964"/>
    <cellStyle name="Normalny 14 2 24" xfId="32965"/>
    <cellStyle name="Normalny 14 2 24 2" xfId="32966"/>
    <cellStyle name="Normalny 14 2 24 3" xfId="32967"/>
    <cellStyle name="Normalny 14 2 25" xfId="32968"/>
    <cellStyle name="Normalny 14 2 26" xfId="32969"/>
    <cellStyle name="Normalny 14 2 27" xfId="32970"/>
    <cellStyle name="Normalny 14 2 3" xfId="32971"/>
    <cellStyle name="Normalny 14 2 3 2" xfId="32972"/>
    <cellStyle name="Normalny 14 2 4" xfId="32973"/>
    <cellStyle name="Normalny 14 2 5" xfId="32974"/>
    <cellStyle name="Normalny 14 2 6" xfId="32975"/>
    <cellStyle name="Normalny 14 2 7" xfId="32976"/>
    <cellStyle name="Normalny 14 2 8" xfId="32977"/>
    <cellStyle name="Normalny 14 2 9" xfId="32978"/>
    <cellStyle name="Normalny 14 20" xfId="32979"/>
    <cellStyle name="Normalny 14 21" xfId="32980"/>
    <cellStyle name="Normalny 14 21 2" xfId="32981"/>
    <cellStyle name="Normalny 14 22" xfId="32982"/>
    <cellStyle name="Normalny 14 22 2" xfId="32983"/>
    <cellStyle name="Normalny 14 23" xfId="32984"/>
    <cellStyle name="Normalny 14 24" xfId="32985"/>
    <cellStyle name="Normalny 14 3" xfId="32986"/>
    <cellStyle name="Normalny 14 3 2" xfId="32987"/>
    <cellStyle name="Normalny 14 3 3" xfId="32988"/>
    <cellStyle name="Normalny 14 3 4" xfId="32989"/>
    <cellStyle name="Normalny 14 4" xfId="32990"/>
    <cellStyle name="Normalny 14 4 2" xfId="32991"/>
    <cellStyle name="Normalny 14 4 3" xfId="32992"/>
    <cellStyle name="Normalny 14 4 4" xfId="32993"/>
    <cellStyle name="Normalny 14 5" xfId="32994"/>
    <cellStyle name="Normalny 14 5 2" xfId="32995"/>
    <cellStyle name="Normalny 14 5 3" xfId="32996"/>
    <cellStyle name="Normalny 14 6" xfId="32997"/>
    <cellStyle name="Normalny 14 6 2" xfId="32998"/>
    <cellStyle name="Normalny 14 7" xfId="32999"/>
    <cellStyle name="Normalny 14 7 2" xfId="33000"/>
    <cellStyle name="Normalny 14 8" xfId="33001"/>
    <cellStyle name="Normalny 14 8 2" xfId="33002"/>
    <cellStyle name="Normalny 14 9" xfId="33003"/>
    <cellStyle name="Normalny 14 9 2" xfId="33004"/>
    <cellStyle name="Normalny 14_BR_Inwestycje_zał_2" xfId="33005"/>
    <cellStyle name="Normalny 140" xfId="33006"/>
    <cellStyle name="Normalny 141" xfId="33007"/>
    <cellStyle name="Normalny 141 2" xfId="33008"/>
    <cellStyle name="Normalny 142" xfId="33009"/>
    <cellStyle name="Normalny 142 2" xfId="33010"/>
    <cellStyle name="Normalny 143" xfId="33011"/>
    <cellStyle name="Normalny 143 2" xfId="33012"/>
    <cellStyle name="Normalny 144" xfId="33013"/>
    <cellStyle name="Normalny 144 2" xfId="33014"/>
    <cellStyle name="Normalny 144 2 2" xfId="33015"/>
    <cellStyle name="Normalny 145" xfId="33016"/>
    <cellStyle name="Normalny 146" xfId="33017"/>
    <cellStyle name="Normalny 146 2" xfId="33018"/>
    <cellStyle name="Normalny 147" xfId="33019"/>
    <cellStyle name="Normalny 148" xfId="33020"/>
    <cellStyle name="Normalny 148 2" xfId="33021"/>
    <cellStyle name="Normalny 149" xfId="33022"/>
    <cellStyle name="Normalny 149 2" xfId="33023"/>
    <cellStyle name="Normalny 15" xfId="33024"/>
    <cellStyle name="Normalny 15 10" xfId="33025"/>
    <cellStyle name="Normalny 15 11" xfId="33026"/>
    <cellStyle name="Normalny 15 12" xfId="33027"/>
    <cellStyle name="Normalny 15 13" xfId="33028"/>
    <cellStyle name="Normalny 15 14" xfId="33029"/>
    <cellStyle name="Normalny 15 15" xfId="33030"/>
    <cellStyle name="Normalny 15 16" xfId="33031"/>
    <cellStyle name="Normalny 15 17" xfId="33032"/>
    <cellStyle name="Normalny 15 18" xfId="33033"/>
    <cellStyle name="Normalny 15 19" xfId="33034"/>
    <cellStyle name="Normalny 15 2" xfId="33035"/>
    <cellStyle name="Normalny 15 2 10" xfId="33036"/>
    <cellStyle name="Normalny 15 2 11" xfId="33037"/>
    <cellStyle name="Normalny 15 2 12" xfId="33038"/>
    <cellStyle name="Normalny 15 2 13" xfId="33039"/>
    <cellStyle name="Normalny 15 2 14" xfId="33040"/>
    <cellStyle name="Normalny 15 2 15" xfId="33041"/>
    <cellStyle name="Normalny 15 2 16" xfId="33042"/>
    <cellStyle name="Normalny 15 2 17" xfId="33043"/>
    <cellStyle name="Normalny 15 2 18" xfId="33044"/>
    <cellStyle name="Normalny 15 2 19" xfId="33045"/>
    <cellStyle name="Normalny 15 2 2" xfId="33046"/>
    <cellStyle name="Normalny 15 2 2 2" xfId="33047"/>
    <cellStyle name="Normalny 15 2 20" xfId="33048"/>
    <cellStyle name="Normalny 15 2 21" xfId="33049"/>
    <cellStyle name="Normalny 15 2 21 2" xfId="33050"/>
    <cellStyle name="Normalny 15 2 21 2 2" xfId="33051"/>
    <cellStyle name="Normalny 15 2 21 2 2 2" xfId="33052"/>
    <cellStyle name="Normalny 15 2 21 2 3" xfId="33053"/>
    <cellStyle name="Normalny 15 2 21 3" xfId="33054"/>
    <cellStyle name="Normalny 15 2 21 3 2" xfId="33055"/>
    <cellStyle name="Normalny 15 2 21 3 2 2" xfId="33056"/>
    <cellStyle name="Normalny 15 2 21 3 3" xfId="33057"/>
    <cellStyle name="Normalny 15 2 21 4" xfId="33058"/>
    <cellStyle name="Normalny 15 2 21 4 2" xfId="33059"/>
    <cellStyle name="Normalny 15 2 21 5" xfId="33060"/>
    <cellStyle name="Normalny 15 2 22" xfId="33061"/>
    <cellStyle name="Normalny 15 2 22 2" xfId="33062"/>
    <cellStyle name="Normalny 15 2 22 2 2" xfId="33063"/>
    <cellStyle name="Normalny 15 2 22 3" xfId="33064"/>
    <cellStyle name="Normalny 15 2 23" xfId="33065"/>
    <cellStyle name="Normalny 15 2 23 2" xfId="33066"/>
    <cellStyle name="Normalny 15 2 23 2 2" xfId="33067"/>
    <cellStyle name="Normalny 15 2 23 3" xfId="33068"/>
    <cellStyle name="Normalny 15 2 24" xfId="33069"/>
    <cellStyle name="Normalny 15 2 24 2" xfId="33070"/>
    <cellStyle name="Normalny 15 2 25" xfId="33071"/>
    <cellStyle name="Normalny 15 2 3" xfId="33072"/>
    <cellStyle name="Normalny 15 2 4" xfId="33073"/>
    <cellStyle name="Normalny 15 2 5" xfId="33074"/>
    <cellStyle name="Normalny 15 2 6" xfId="33075"/>
    <cellStyle name="Normalny 15 2 7" xfId="33076"/>
    <cellStyle name="Normalny 15 2 8" xfId="33077"/>
    <cellStyle name="Normalny 15 2 9" xfId="33078"/>
    <cellStyle name="Normalny 15 20" xfId="33079"/>
    <cellStyle name="Normalny 15 21" xfId="33080"/>
    <cellStyle name="Normalny 15 22" xfId="33081"/>
    <cellStyle name="Normalny 15 22 2" xfId="33082"/>
    <cellStyle name="Normalny 15 22 2 2" xfId="33083"/>
    <cellStyle name="Normalny 15 22 2 2 2" xfId="33084"/>
    <cellStyle name="Normalny 15 22 2 3" xfId="33085"/>
    <cellStyle name="Normalny 15 22 3" xfId="33086"/>
    <cellStyle name="Normalny 15 22 3 2" xfId="33087"/>
    <cellStyle name="Normalny 15 22 3 2 2" xfId="33088"/>
    <cellStyle name="Normalny 15 22 3 3" xfId="33089"/>
    <cellStyle name="Normalny 15 22 4" xfId="33090"/>
    <cellStyle name="Normalny 15 22 4 2" xfId="33091"/>
    <cellStyle name="Normalny 15 22 5" xfId="33092"/>
    <cellStyle name="Normalny 15 23" xfId="33093"/>
    <cellStyle name="Normalny 15 23 2" xfId="33094"/>
    <cellStyle name="Normalny 15 23 2 2" xfId="33095"/>
    <cellStyle name="Normalny 15 23 3" xfId="33096"/>
    <cellStyle name="Normalny 15 24" xfId="33097"/>
    <cellStyle name="Normalny 15 24 2" xfId="33098"/>
    <cellStyle name="Normalny 15 24 2 2" xfId="33099"/>
    <cellStyle name="Normalny 15 24 3" xfId="33100"/>
    <cellStyle name="Normalny 15 25" xfId="33101"/>
    <cellStyle name="Normalny 15 25 2" xfId="33102"/>
    <cellStyle name="Normalny 15 26" xfId="33103"/>
    <cellStyle name="Normalny 15 3" xfId="33104"/>
    <cellStyle name="Normalny 15 3 2" xfId="33105"/>
    <cellStyle name="Normalny 15 4" xfId="33106"/>
    <cellStyle name="Normalny 15 5" xfId="33107"/>
    <cellStyle name="Normalny 15 6" xfId="33108"/>
    <cellStyle name="Normalny 15 7" xfId="33109"/>
    <cellStyle name="Normalny 15 8" xfId="33110"/>
    <cellStyle name="Normalny 15 9" xfId="33111"/>
    <cellStyle name="Normalny 15_2011'05 Raport PGE_DO-CO2" xfId="33112"/>
    <cellStyle name="Normalny 150" xfId="33113"/>
    <cellStyle name="Normalny 150 2" xfId="33114"/>
    <cellStyle name="Normalny 151" xfId="33115"/>
    <cellStyle name="Normalny 151 2" xfId="33116"/>
    <cellStyle name="Normalny 152" xfId="33117"/>
    <cellStyle name="Normalny 152 2" xfId="33118"/>
    <cellStyle name="Normalny 153" xfId="33119"/>
    <cellStyle name="Normalny 154" xfId="33120"/>
    <cellStyle name="Normalny 154 2" xfId="33121"/>
    <cellStyle name="Normalny 155" xfId="33122"/>
    <cellStyle name="Normalny 156" xfId="33123"/>
    <cellStyle name="Normalny 157" xfId="33124"/>
    <cellStyle name="Normalny 158" xfId="33125"/>
    <cellStyle name="Normalny 159" xfId="33126"/>
    <cellStyle name="Normalny 16" xfId="33127"/>
    <cellStyle name="Normalny 16 10" xfId="33128"/>
    <cellStyle name="Normalny 16 11" xfId="33129"/>
    <cellStyle name="Normalny 16 12" xfId="33130"/>
    <cellStyle name="Normalny 16 13" xfId="33131"/>
    <cellStyle name="Normalny 16 14" xfId="33132"/>
    <cellStyle name="Normalny 16 15" xfId="33133"/>
    <cellStyle name="Normalny 16 16" xfId="33134"/>
    <cellStyle name="Normalny 16 17" xfId="33135"/>
    <cellStyle name="Normalny 16 18" xfId="33136"/>
    <cellStyle name="Normalny 16 19" xfId="33137"/>
    <cellStyle name="Normalny 16 2" xfId="33138"/>
    <cellStyle name="Normalny 16 2 10" xfId="33139"/>
    <cellStyle name="Normalny 16 2 11" xfId="33140"/>
    <cellStyle name="Normalny 16 2 12" xfId="33141"/>
    <cellStyle name="Normalny 16 2 13" xfId="33142"/>
    <cellStyle name="Normalny 16 2 14" xfId="33143"/>
    <cellStyle name="Normalny 16 2 15" xfId="33144"/>
    <cellStyle name="Normalny 16 2 16" xfId="33145"/>
    <cellStyle name="Normalny 16 2 17" xfId="33146"/>
    <cellStyle name="Normalny 16 2 18" xfId="33147"/>
    <cellStyle name="Normalny 16 2 19" xfId="33148"/>
    <cellStyle name="Normalny 16 2 2" xfId="33149"/>
    <cellStyle name="Normalny 16 2 3" xfId="33150"/>
    <cellStyle name="Normalny 16 2 4" xfId="33151"/>
    <cellStyle name="Normalny 16 2 5" xfId="33152"/>
    <cellStyle name="Normalny 16 2 6" xfId="33153"/>
    <cellStyle name="Normalny 16 2 7" xfId="33154"/>
    <cellStyle name="Normalny 16 2 8" xfId="33155"/>
    <cellStyle name="Normalny 16 2 9" xfId="33156"/>
    <cellStyle name="Normalny 16 20" xfId="33157"/>
    <cellStyle name="Normalny 16 21" xfId="33158"/>
    <cellStyle name="Normalny 16 21 2" xfId="33159"/>
    <cellStyle name="Normalny 16 22" xfId="33160"/>
    <cellStyle name="Normalny 16 22 2" xfId="33161"/>
    <cellStyle name="Normalny 16 22 2 2" xfId="33162"/>
    <cellStyle name="Normalny 16 22 2 2 2" xfId="33163"/>
    <cellStyle name="Normalny 16 22 2 3" xfId="33164"/>
    <cellStyle name="Normalny 16 22 3" xfId="33165"/>
    <cellStyle name="Normalny 16 22 3 2" xfId="33166"/>
    <cellStyle name="Normalny 16 22 4" xfId="33167"/>
    <cellStyle name="Normalny 16 23" xfId="33168"/>
    <cellStyle name="Normalny 16 3" xfId="33169"/>
    <cellStyle name="Normalny 16 4" xfId="33170"/>
    <cellStyle name="Normalny 16 5" xfId="33171"/>
    <cellStyle name="Normalny 16 6" xfId="33172"/>
    <cellStyle name="Normalny 16 7" xfId="33173"/>
    <cellStyle name="Normalny 16 8" xfId="33174"/>
    <cellStyle name="Normalny 16 9" xfId="33175"/>
    <cellStyle name="Normalny 160" xfId="33176"/>
    <cellStyle name="Normalny 161" xfId="33177"/>
    <cellStyle name="Normalny 162" xfId="33178"/>
    <cellStyle name="Normalny 162 2" xfId="33179"/>
    <cellStyle name="Normalny 163" xfId="33180"/>
    <cellStyle name="Normalny 163 2" xfId="33181"/>
    <cellStyle name="Normalny 164" xfId="3"/>
    <cellStyle name="Normalny 164 2" xfId="33183"/>
    <cellStyle name="Normalny 164 2 2" xfId="33184"/>
    <cellStyle name="Normalny 164 3" xfId="33185"/>
    <cellStyle name="Normalny 164 3 2" xfId="33186"/>
    <cellStyle name="Normalny 164 4" xfId="33187"/>
    <cellStyle name="Normalny 164 5" xfId="42968"/>
    <cellStyle name="Normalny 164 6" xfId="33182"/>
    <cellStyle name="Normalny 165" xfId="33188"/>
    <cellStyle name="Normalny 166" xfId="33189"/>
    <cellStyle name="Normalny 167" xfId="33190"/>
    <cellStyle name="Normalny 168" xfId="33191"/>
    <cellStyle name="Normalny 169" xfId="33192"/>
    <cellStyle name="Normalny 17" xfId="33193"/>
    <cellStyle name="Normalny 17 10" xfId="33194"/>
    <cellStyle name="Normalny 17 11" xfId="33195"/>
    <cellStyle name="Normalny 17 12" xfId="33196"/>
    <cellStyle name="Normalny 17 13" xfId="33197"/>
    <cellStyle name="Normalny 17 14" xfId="33198"/>
    <cellStyle name="Normalny 17 15" xfId="33199"/>
    <cellStyle name="Normalny 17 16" xfId="33200"/>
    <cellStyle name="Normalny 17 17" xfId="33201"/>
    <cellStyle name="Normalny 17 18" xfId="33202"/>
    <cellStyle name="Normalny 17 19" xfId="33203"/>
    <cellStyle name="Normalny 17 2" xfId="33204"/>
    <cellStyle name="Normalny 17 2 10" xfId="33205"/>
    <cellStyle name="Normalny 17 2 11" xfId="33206"/>
    <cellStyle name="Normalny 17 2 12" xfId="33207"/>
    <cellStyle name="Normalny 17 2 13" xfId="33208"/>
    <cellStyle name="Normalny 17 2 14" xfId="33209"/>
    <cellStyle name="Normalny 17 2 15" xfId="33210"/>
    <cellStyle name="Normalny 17 2 16" xfId="33211"/>
    <cellStyle name="Normalny 17 2 17" xfId="33212"/>
    <cellStyle name="Normalny 17 2 18" xfId="33213"/>
    <cellStyle name="Normalny 17 2 19" xfId="33214"/>
    <cellStyle name="Normalny 17 2 2" xfId="33215"/>
    <cellStyle name="Normalny 17 2 3" xfId="33216"/>
    <cellStyle name="Normalny 17 2 4" xfId="33217"/>
    <cellStyle name="Normalny 17 2 5" xfId="33218"/>
    <cellStyle name="Normalny 17 2 6" xfId="33219"/>
    <cellStyle name="Normalny 17 2 7" xfId="33220"/>
    <cellStyle name="Normalny 17 2 8" xfId="33221"/>
    <cellStyle name="Normalny 17 2 9" xfId="33222"/>
    <cellStyle name="Normalny 17 20" xfId="33223"/>
    <cellStyle name="Normalny 17 21" xfId="33224"/>
    <cellStyle name="Normalny 17 22" xfId="33225"/>
    <cellStyle name="Normalny 17 22 2" xfId="33226"/>
    <cellStyle name="Normalny 17 22 2 2" xfId="33227"/>
    <cellStyle name="Normalny 17 22 2 2 2" xfId="33228"/>
    <cellStyle name="Normalny 17 22 2 3" xfId="33229"/>
    <cellStyle name="Normalny 17 22 3" xfId="33230"/>
    <cellStyle name="Normalny 17 22 3 2" xfId="33231"/>
    <cellStyle name="Normalny 17 22 3 2 2" xfId="33232"/>
    <cellStyle name="Normalny 17 22 3 3" xfId="33233"/>
    <cellStyle name="Normalny 17 22 4" xfId="33234"/>
    <cellStyle name="Normalny 17 22 4 2" xfId="33235"/>
    <cellStyle name="Normalny 17 22 5" xfId="33236"/>
    <cellStyle name="Normalny 17 23" xfId="33237"/>
    <cellStyle name="Normalny 17 23 2" xfId="33238"/>
    <cellStyle name="Normalny 17 23 2 2" xfId="33239"/>
    <cellStyle name="Normalny 17 23 3" xfId="33240"/>
    <cellStyle name="Normalny 17 24" xfId="33241"/>
    <cellStyle name="Normalny 17 24 2" xfId="33242"/>
    <cellStyle name="Normalny 17 24 2 2" xfId="33243"/>
    <cellStyle name="Normalny 17 24 3" xfId="33244"/>
    <cellStyle name="Normalny 17 25" xfId="33245"/>
    <cellStyle name="Normalny 17 25 2" xfId="33246"/>
    <cellStyle name="Normalny 17 26" xfId="33247"/>
    <cellStyle name="Normalny 17 3" xfId="33248"/>
    <cellStyle name="Normalny 17 4" xfId="33249"/>
    <cellStyle name="Normalny 17 5" xfId="33250"/>
    <cellStyle name="Normalny 17 6" xfId="33251"/>
    <cellStyle name="Normalny 17 7" xfId="33252"/>
    <cellStyle name="Normalny 17 8" xfId="33253"/>
    <cellStyle name="Normalny 17 9" xfId="33254"/>
    <cellStyle name="Normalny 170" xfId="33255"/>
    <cellStyle name="Normalny 171" xfId="33256"/>
    <cellStyle name="Normalny 172" xfId="33257"/>
    <cellStyle name="Normalny 173" xfId="33258"/>
    <cellStyle name="Normalny 174" xfId="33259"/>
    <cellStyle name="Normalny 175" xfId="33260"/>
    <cellStyle name="Normalny 176" xfId="33261"/>
    <cellStyle name="Normalny 177" xfId="33262"/>
    <cellStyle name="Normalny 178" xfId="33263"/>
    <cellStyle name="Normalny 179" xfId="33264"/>
    <cellStyle name="Normalny 18" xfId="6"/>
    <cellStyle name="Normalny 18 10" xfId="33265"/>
    <cellStyle name="Normalny 18 11" xfId="33266"/>
    <cellStyle name="Normalny 18 12" xfId="33267"/>
    <cellStyle name="Normalny 18 13" xfId="33268"/>
    <cellStyle name="Normalny 18 14" xfId="33269"/>
    <cellStyle name="Normalny 18 15" xfId="33270"/>
    <cellStyle name="Normalny 18 16" xfId="33271"/>
    <cellStyle name="Normalny 18 17" xfId="33272"/>
    <cellStyle name="Normalny 18 18" xfId="33273"/>
    <cellStyle name="Normalny 18 19" xfId="33274"/>
    <cellStyle name="Normalny 18 2" xfId="33275"/>
    <cellStyle name="Normalny 18 2 10" xfId="33276"/>
    <cellStyle name="Normalny 18 2 11" xfId="33277"/>
    <cellStyle name="Normalny 18 2 12" xfId="33278"/>
    <cellStyle name="Normalny 18 2 13" xfId="33279"/>
    <cellStyle name="Normalny 18 2 14" xfId="33280"/>
    <cellStyle name="Normalny 18 2 15" xfId="33281"/>
    <cellStyle name="Normalny 18 2 16" xfId="33282"/>
    <cellStyle name="Normalny 18 2 17" xfId="33283"/>
    <cellStyle name="Normalny 18 2 18" xfId="33284"/>
    <cellStyle name="Normalny 18 2 19" xfId="33285"/>
    <cellStyle name="Normalny 18 2 2" xfId="33286"/>
    <cellStyle name="Normalny 18 2 2 2" xfId="33287"/>
    <cellStyle name="Normalny 18 2 20" xfId="33288"/>
    <cellStyle name="Normalny 18 2 3" xfId="33289"/>
    <cellStyle name="Normalny 18 2 4" xfId="33290"/>
    <cellStyle name="Normalny 18 2 5" xfId="33291"/>
    <cellStyle name="Normalny 18 2 6" xfId="33292"/>
    <cellStyle name="Normalny 18 2 7" xfId="33293"/>
    <cellStyle name="Normalny 18 2 8" xfId="33294"/>
    <cellStyle name="Normalny 18 2 9" xfId="33295"/>
    <cellStyle name="Normalny 18 20" xfId="33296"/>
    <cellStyle name="Normalny 18 21" xfId="33297"/>
    <cellStyle name="Normalny 18 21 2" xfId="33298"/>
    <cellStyle name="Normalny 18 22" xfId="33299"/>
    <cellStyle name="Normalny 18 22 2" xfId="33300"/>
    <cellStyle name="Normalny 18 23" xfId="33301"/>
    <cellStyle name="Normalny 18 3" xfId="33302"/>
    <cellStyle name="Normalny 18 4" xfId="33303"/>
    <cellStyle name="Normalny 18 5" xfId="33304"/>
    <cellStyle name="Normalny 18 6" xfId="33305"/>
    <cellStyle name="Normalny 18 7" xfId="33306"/>
    <cellStyle name="Normalny 18 8" xfId="33307"/>
    <cellStyle name="Normalny 18 9" xfId="33308"/>
    <cellStyle name="Normalny 180" xfId="33309"/>
    <cellStyle name="Normalny 181" xfId="33310"/>
    <cellStyle name="Normalny 182" xfId="33311"/>
    <cellStyle name="Normalny 183" xfId="33312"/>
    <cellStyle name="Normalny 184" xfId="33313"/>
    <cellStyle name="Normalny 185" xfId="33314"/>
    <cellStyle name="Normalny 186" xfId="33315"/>
    <cellStyle name="Normalny 187" xfId="33316"/>
    <cellStyle name="Normalny 188" xfId="33317"/>
    <cellStyle name="Normalny 189" xfId="33318"/>
    <cellStyle name="Normalny 19" xfId="33319"/>
    <cellStyle name="Normalny 19 10" xfId="33320"/>
    <cellStyle name="Normalny 19 11" xfId="33321"/>
    <cellStyle name="Normalny 19 12" xfId="33322"/>
    <cellStyle name="Normalny 19 13" xfId="33323"/>
    <cellStyle name="Normalny 19 14" xfId="33324"/>
    <cellStyle name="Normalny 19 15" xfId="33325"/>
    <cellStyle name="Normalny 19 16" xfId="33326"/>
    <cellStyle name="Normalny 19 17" xfId="33327"/>
    <cellStyle name="Normalny 19 18" xfId="33328"/>
    <cellStyle name="Normalny 19 19" xfId="33329"/>
    <cellStyle name="Normalny 19 2" xfId="33330"/>
    <cellStyle name="Normalny 19 2 10" xfId="33331"/>
    <cellStyle name="Normalny 19 2 11" xfId="33332"/>
    <cellStyle name="Normalny 19 2 12" xfId="33333"/>
    <cellStyle name="Normalny 19 2 13" xfId="33334"/>
    <cellStyle name="Normalny 19 2 14" xfId="33335"/>
    <cellStyle name="Normalny 19 2 15" xfId="33336"/>
    <cellStyle name="Normalny 19 2 16" xfId="33337"/>
    <cellStyle name="Normalny 19 2 17" xfId="33338"/>
    <cellStyle name="Normalny 19 2 18" xfId="33339"/>
    <cellStyle name="Normalny 19 2 19" xfId="33340"/>
    <cellStyle name="Normalny 19 2 2" xfId="33341"/>
    <cellStyle name="Normalny 19 2 3" xfId="33342"/>
    <cellStyle name="Normalny 19 2 4" xfId="33343"/>
    <cellStyle name="Normalny 19 2 5" xfId="33344"/>
    <cellStyle name="Normalny 19 2 6" xfId="33345"/>
    <cellStyle name="Normalny 19 2 7" xfId="33346"/>
    <cellStyle name="Normalny 19 2 8" xfId="33347"/>
    <cellStyle name="Normalny 19 2 9" xfId="33348"/>
    <cellStyle name="Normalny 19 20" xfId="33349"/>
    <cellStyle name="Normalny 19 21" xfId="33350"/>
    <cellStyle name="Normalny 19 21 2" xfId="33351"/>
    <cellStyle name="Normalny 19 21 2 2" xfId="33352"/>
    <cellStyle name="Normalny 19 21 2 2 2" xfId="33353"/>
    <cellStyle name="Normalny 19 21 2 3" xfId="33354"/>
    <cellStyle name="Normalny 19 21 3" xfId="33355"/>
    <cellStyle name="Normalny 19 21 3 2" xfId="33356"/>
    <cellStyle name="Normalny 19 21 3 2 2" xfId="33357"/>
    <cellStyle name="Normalny 19 21 3 3" xfId="33358"/>
    <cellStyle name="Normalny 19 21 4" xfId="33359"/>
    <cellStyle name="Normalny 19 21 4 2" xfId="33360"/>
    <cellStyle name="Normalny 19 21 5" xfId="33361"/>
    <cellStyle name="Normalny 19 22" xfId="33362"/>
    <cellStyle name="Normalny 19 22 2" xfId="33363"/>
    <cellStyle name="Normalny 19 22 2 2" xfId="33364"/>
    <cellStyle name="Normalny 19 22 3" xfId="33365"/>
    <cellStyle name="Normalny 19 23" xfId="33366"/>
    <cellStyle name="Normalny 19 23 2" xfId="33367"/>
    <cellStyle name="Normalny 19 23 2 2" xfId="33368"/>
    <cellStyle name="Normalny 19 23 3" xfId="33369"/>
    <cellStyle name="Normalny 19 24" xfId="33370"/>
    <cellStyle name="Normalny 19 24 2" xfId="33371"/>
    <cellStyle name="Normalny 19 25" xfId="33372"/>
    <cellStyle name="Normalny 19 3" xfId="33373"/>
    <cellStyle name="Normalny 19 4" xfId="33374"/>
    <cellStyle name="Normalny 19 5" xfId="33375"/>
    <cellStyle name="Normalny 19 6" xfId="33376"/>
    <cellStyle name="Normalny 19 7" xfId="33377"/>
    <cellStyle name="Normalny 19 8" xfId="33378"/>
    <cellStyle name="Normalny 19 9" xfId="33379"/>
    <cellStyle name="Normalny 190" xfId="33380"/>
    <cellStyle name="Normalny 191" xfId="33381"/>
    <cellStyle name="Normalny 192" xfId="33382"/>
    <cellStyle name="Normalny 193" xfId="33383"/>
    <cellStyle name="Normalny 194" xfId="33384"/>
    <cellStyle name="Normalny 195" xfId="33385"/>
    <cellStyle name="Normalny 196" xfId="33386"/>
    <cellStyle name="Normalny 197" xfId="33387"/>
    <cellStyle name="Normalny 198" xfId="33388"/>
    <cellStyle name="Normalny 199" xfId="33389"/>
    <cellStyle name="Normalny 2" xfId="1"/>
    <cellStyle name="Normalny 2 10" xfId="33391"/>
    <cellStyle name="Normalny 2 10 2" xfId="33392"/>
    <cellStyle name="Normalny 2 11" xfId="33393"/>
    <cellStyle name="Normalny 2 12" xfId="33394"/>
    <cellStyle name="Normalny 2 13" xfId="33395"/>
    <cellStyle name="Normalny 2 14" xfId="33396"/>
    <cellStyle name="Normalny 2 14 2" xfId="33397"/>
    <cellStyle name="Normalny 2 15" xfId="33398"/>
    <cellStyle name="Normalny 2 16" xfId="33399"/>
    <cellStyle name="Normalny 2 17" xfId="33400"/>
    <cellStyle name="Normalny 2 18" xfId="33401"/>
    <cellStyle name="Normalny 2 19" xfId="33402"/>
    <cellStyle name="Normalny 2 2" xfId="19"/>
    <cellStyle name="Normalny 2 2 10" xfId="33403"/>
    <cellStyle name="Normalny 2 2 11" xfId="33404"/>
    <cellStyle name="Normalny 2 2 12" xfId="33405"/>
    <cellStyle name="Normalny 2 2 12 2" xfId="33406"/>
    <cellStyle name="Normalny 2 2 12 2 2" xfId="33407"/>
    <cellStyle name="Normalny 2 2 12 3" xfId="33408"/>
    <cellStyle name="Normalny 2 2 12 4" xfId="33409"/>
    <cellStyle name="Normalny 2 2 13" xfId="33410"/>
    <cellStyle name="Normalny 2 2 14" xfId="33411"/>
    <cellStyle name="Normalny 2 2 15" xfId="33412"/>
    <cellStyle name="Normalny 2 2 16" xfId="33413"/>
    <cellStyle name="Normalny 2 2 17" xfId="33414"/>
    <cellStyle name="Normalny 2 2 18" xfId="33415"/>
    <cellStyle name="Normalny 2 2 19" xfId="33416"/>
    <cellStyle name="Normalny 2 2 2" xfId="21"/>
    <cellStyle name="Normalny 2 2 2 10" xfId="33418"/>
    <cellStyle name="Normalny 2 2 2 10 2" xfId="33419"/>
    <cellStyle name="Normalny 2 2 2 10 2 2" xfId="33420"/>
    <cellStyle name="Normalny 2 2 2 10 2 2 2" xfId="33421"/>
    <cellStyle name="Normalny 2 2 2 10 2 2 2 2" xfId="33422"/>
    <cellStyle name="Normalny 2 2 2 10 2 2 3" xfId="33423"/>
    <cellStyle name="Normalny 2 2 2 10 2 3" xfId="33424"/>
    <cellStyle name="Normalny 2 2 2 10 2 3 2" xfId="33425"/>
    <cellStyle name="Normalny 2 2 2 10 2 3 2 2" xfId="33426"/>
    <cellStyle name="Normalny 2 2 2 10 2 3 3" xfId="33427"/>
    <cellStyle name="Normalny 2 2 2 10 2 4" xfId="33428"/>
    <cellStyle name="Normalny 2 2 2 10 2 4 2" xfId="33429"/>
    <cellStyle name="Normalny 2 2 2 10 2 4 2 2" xfId="33430"/>
    <cellStyle name="Normalny 2 2 2 10 2 4 3" xfId="33431"/>
    <cellStyle name="Normalny 2 2 2 10 2 5" xfId="33432"/>
    <cellStyle name="Normalny 2 2 2 10 2 5 2" xfId="33433"/>
    <cellStyle name="Normalny 2 2 2 10 2 6" xfId="33434"/>
    <cellStyle name="Normalny 2 2 2 11" xfId="33435"/>
    <cellStyle name="Normalny 2 2 2 12" xfId="33436"/>
    <cellStyle name="Normalny 2 2 2 13" xfId="33437"/>
    <cellStyle name="Normalny 2 2 2 14" xfId="33417"/>
    <cellStyle name="Normalny 2 2 2 2" xfId="33438"/>
    <cellStyle name="Normalny 2 2 2 2 2" xfId="33439"/>
    <cellStyle name="Normalny 2 2 2 2 2 10" xfId="33440"/>
    <cellStyle name="Normalny 2 2 2 2 2 2" xfId="33441"/>
    <cellStyle name="Normalny 2 2 2 2 2 2 2" xfId="33442"/>
    <cellStyle name="Normalny 2 2 2 2 2 2 2 2" xfId="33443"/>
    <cellStyle name="Normalny 2 2 2 2 2 2 2 2 2" xfId="33444"/>
    <cellStyle name="Normalny 2 2 2 2 2 2 2 2 2 2" xfId="33445"/>
    <cellStyle name="Normalny 2 2 2 2 2 2 2 2 2 2 2" xfId="33446"/>
    <cellStyle name="Normalny 2 2 2 2 2 2 2 2 2 3" xfId="33447"/>
    <cellStyle name="Normalny 2 2 2 2 2 2 2 2 3" xfId="33448"/>
    <cellStyle name="Normalny 2 2 2 2 2 2 2 2 3 2" xfId="33449"/>
    <cellStyle name="Normalny 2 2 2 2 2 2 2 2 3 2 2" xfId="33450"/>
    <cellStyle name="Normalny 2 2 2 2 2 2 2 2 3 3" xfId="33451"/>
    <cellStyle name="Normalny 2 2 2 2 2 2 2 2 4" xfId="33452"/>
    <cellStyle name="Normalny 2 2 2 2 2 2 2 2 4 2" xfId="33453"/>
    <cellStyle name="Normalny 2 2 2 2 2 2 2 2 4 2 2" xfId="33454"/>
    <cellStyle name="Normalny 2 2 2 2 2 2 2 2 4 3" xfId="33455"/>
    <cellStyle name="Normalny 2 2 2 2 2 2 2 2 5" xfId="33456"/>
    <cellStyle name="Normalny 2 2 2 2 2 2 2 2 5 2" xfId="33457"/>
    <cellStyle name="Normalny 2 2 2 2 2 2 2 2 6" xfId="33458"/>
    <cellStyle name="Normalny 2 2 2 2 2 2 2 3" xfId="33459"/>
    <cellStyle name="Normalny 2 2 2 2 2 2 2 3 2" xfId="33460"/>
    <cellStyle name="Normalny 2 2 2 2 2 2 2 3 2 2" xfId="33461"/>
    <cellStyle name="Normalny 2 2 2 2 2 2 2 3 3" xfId="33462"/>
    <cellStyle name="Normalny 2 2 2 2 2 2 2 4" xfId="33463"/>
    <cellStyle name="Normalny 2 2 2 2 2 2 2 4 2" xfId="33464"/>
    <cellStyle name="Normalny 2 2 2 2 2 2 2 4 2 2" xfId="33465"/>
    <cellStyle name="Normalny 2 2 2 2 2 2 2 4 3" xfId="33466"/>
    <cellStyle name="Normalny 2 2 2 2 2 2 2 5" xfId="33467"/>
    <cellStyle name="Normalny 2 2 2 2 2 2 2 5 2" xfId="33468"/>
    <cellStyle name="Normalny 2 2 2 2 2 2 2 5 2 2" xfId="33469"/>
    <cellStyle name="Normalny 2 2 2 2 2 2 2 5 3" xfId="33470"/>
    <cellStyle name="Normalny 2 2 2 2 2 2 2 6" xfId="33471"/>
    <cellStyle name="Normalny 2 2 2 2 2 2 2 6 2" xfId="33472"/>
    <cellStyle name="Normalny 2 2 2 2 2 2 2 7" xfId="33473"/>
    <cellStyle name="Normalny 2 2 2 2 2 2 3" xfId="33474"/>
    <cellStyle name="Normalny 2 2 2 2 2 2 3 2" xfId="33475"/>
    <cellStyle name="Normalny 2 2 2 2 2 2 3 2 2" xfId="33476"/>
    <cellStyle name="Normalny 2 2 2 2 2 2 3 2 2 2" xfId="33477"/>
    <cellStyle name="Normalny 2 2 2 2 2 2 3 2 3" xfId="33478"/>
    <cellStyle name="Normalny 2 2 2 2 2 2 3 3" xfId="33479"/>
    <cellStyle name="Normalny 2 2 2 2 2 2 3 3 2" xfId="33480"/>
    <cellStyle name="Normalny 2 2 2 2 2 2 3 3 2 2" xfId="33481"/>
    <cellStyle name="Normalny 2 2 2 2 2 2 3 3 3" xfId="33482"/>
    <cellStyle name="Normalny 2 2 2 2 2 2 3 4" xfId="33483"/>
    <cellStyle name="Normalny 2 2 2 2 2 2 3 4 2" xfId="33484"/>
    <cellStyle name="Normalny 2 2 2 2 2 2 3 4 2 2" xfId="33485"/>
    <cellStyle name="Normalny 2 2 2 2 2 2 3 4 3" xfId="33486"/>
    <cellStyle name="Normalny 2 2 2 2 2 2 3 5" xfId="33487"/>
    <cellStyle name="Normalny 2 2 2 2 2 2 3 5 2" xfId="33488"/>
    <cellStyle name="Normalny 2 2 2 2 2 2 3 6" xfId="33489"/>
    <cellStyle name="Normalny 2 2 2 2 2 2 4" xfId="33490"/>
    <cellStyle name="Normalny 2 2 2 2 2 2 4 2" xfId="33491"/>
    <cellStyle name="Normalny 2 2 2 2 2 2 4 2 2" xfId="33492"/>
    <cellStyle name="Normalny 2 2 2 2 2 2 4 2 2 2" xfId="33493"/>
    <cellStyle name="Normalny 2 2 2 2 2 2 4 2 3" xfId="33494"/>
    <cellStyle name="Normalny 2 2 2 2 2 2 4 3" xfId="33495"/>
    <cellStyle name="Normalny 2 2 2 2 2 2 4 3 2" xfId="33496"/>
    <cellStyle name="Normalny 2 2 2 2 2 2 4 3 2 2" xfId="33497"/>
    <cellStyle name="Normalny 2 2 2 2 2 2 4 3 3" xfId="33498"/>
    <cellStyle name="Normalny 2 2 2 2 2 2 4 4" xfId="33499"/>
    <cellStyle name="Normalny 2 2 2 2 2 2 4 4 2" xfId="33500"/>
    <cellStyle name="Normalny 2 2 2 2 2 2 4 4 2 2" xfId="33501"/>
    <cellStyle name="Normalny 2 2 2 2 2 2 4 4 3" xfId="33502"/>
    <cellStyle name="Normalny 2 2 2 2 2 2 4 5" xfId="33503"/>
    <cellStyle name="Normalny 2 2 2 2 2 2 4 5 2" xfId="33504"/>
    <cellStyle name="Normalny 2 2 2 2 2 2 4 6" xfId="33505"/>
    <cellStyle name="Normalny 2 2 2 2 2 2 5" xfId="33506"/>
    <cellStyle name="Normalny 2 2 2 2 2 2 5 2" xfId="33507"/>
    <cellStyle name="Normalny 2 2 2 2 2 2 5 2 2" xfId="33508"/>
    <cellStyle name="Normalny 2 2 2 2 2 2 5 3" xfId="33509"/>
    <cellStyle name="Normalny 2 2 2 2 2 2 6" xfId="33510"/>
    <cellStyle name="Normalny 2 2 2 2 2 2 6 2" xfId="33511"/>
    <cellStyle name="Normalny 2 2 2 2 2 2 6 2 2" xfId="33512"/>
    <cellStyle name="Normalny 2 2 2 2 2 2 6 3" xfId="33513"/>
    <cellStyle name="Normalny 2 2 2 2 2 2 7" xfId="33514"/>
    <cellStyle name="Normalny 2 2 2 2 2 2 7 2" xfId="33515"/>
    <cellStyle name="Normalny 2 2 2 2 2 2 7 2 2" xfId="33516"/>
    <cellStyle name="Normalny 2 2 2 2 2 2 7 3" xfId="33517"/>
    <cellStyle name="Normalny 2 2 2 2 2 2 8" xfId="33518"/>
    <cellStyle name="Normalny 2 2 2 2 2 2 8 2" xfId="33519"/>
    <cellStyle name="Normalny 2 2 2 2 2 2 9" xfId="33520"/>
    <cellStyle name="Normalny 2 2 2 2 2 3" xfId="33521"/>
    <cellStyle name="Normalny 2 2 2 2 2 3 2" xfId="33522"/>
    <cellStyle name="Normalny 2 2 2 2 2 3 2 2" xfId="33523"/>
    <cellStyle name="Normalny 2 2 2 2 2 3 2 2 2" xfId="33524"/>
    <cellStyle name="Normalny 2 2 2 2 2 3 2 2 2 2" xfId="33525"/>
    <cellStyle name="Normalny 2 2 2 2 2 3 2 2 3" xfId="33526"/>
    <cellStyle name="Normalny 2 2 2 2 2 3 2 3" xfId="33527"/>
    <cellStyle name="Normalny 2 2 2 2 2 3 2 3 2" xfId="33528"/>
    <cellStyle name="Normalny 2 2 2 2 2 3 2 3 2 2" xfId="33529"/>
    <cellStyle name="Normalny 2 2 2 2 2 3 2 3 3" xfId="33530"/>
    <cellStyle name="Normalny 2 2 2 2 2 3 2 4" xfId="33531"/>
    <cellStyle name="Normalny 2 2 2 2 2 3 2 4 2" xfId="33532"/>
    <cellStyle name="Normalny 2 2 2 2 2 3 2 4 2 2" xfId="33533"/>
    <cellStyle name="Normalny 2 2 2 2 2 3 2 4 3" xfId="33534"/>
    <cellStyle name="Normalny 2 2 2 2 2 3 2 5" xfId="33535"/>
    <cellStyle name="Normalny 2 2 2 2 2 3 2 5 2" xfId="33536"/>
    <cellStyle name="Normalny 2 2 2 2 2 3 2 6" xfId="33537"/>
    <cellStyle name="Normalny 2 2 2 2 2 3 3" xfId="33538"/>
    <cellStyle name="Normalny 2 2 2 2 2 3 3 2" xfId="33539"/>
    <cellStyle name="Normalny 2 2 2 2 2 3 3 2 2" xfId="33540"/>
    <cellStyle name="Normalny 2 2 2 2 2 3 3 3" xfId="33541"/>
    <cellStyle name="Normalny 2 2 2 2 2 3 4" xfId="33542"/>
    <cellStyle name="Normalny 2 2 2 2 2 3 4 2" xfId="33543"/>
    <cellStyle name="Normalny 2 2 2 2 2 3 4 2 2" xfId="33544"/>
    <cellStyle name="Normalny 2 2 2 2 2 3 4 3" xfId="33545"/>
    <cellStyle name="Normalny 2 2 2 2 2 3 5" xfId="33546"/>
    <cellStyle name="Normalny 2 2 2 2 2 3 5 2" xfId="33547"/>
    <cellStyle name="Normalny 2 2 2 2 2 3 5 2 2" xfId="33548"/>
    <cellStyle name="Normalny 2 2 2 2 2 3 5 3" xfId="33549"/>
    <cellStyle name="Normalny 2 2 2 2 2 3 6" xfId="33550"/>
    <cellStyle name="Normalny 2 2 2 2 2 3 6 2" xfId="33551"/>
    <cellStyle name="Normalny 2 2 2 2 2 3 7" xfId="33552"/>
    <cellStyle name="Normalny 2 2 2 2 2 4" xfId="33553"/>
    <cellStyle name="Normalny 2 2 2 2 2 4 2" xfId="33554"/>
    <cellStyle name="Normalny 2 2 2 2 2 4 2 2" xfId="33555"/>
    <cellStyle name="Normalny 2 2 2 2 2 4 2 2 2" xfId="33556"/>
    <cellStyle name="Normalny 2 2 2 2 2 4 2 3" xfId="33557"/>
    <cellStyle name="Normalny 2 2 2 2 2 4 3" xfId="33558"/>
    <cellStyle name="Normalny 2 2 2 2 2 4 3 2" xfId="33559"/>
    <cellStyle name="Normalny 2 2 2 2 2 4 3 2 2" xfId="33560"/>
    <cellStyle name="Normalny 2 2 2 2 2 4 3 3" xfId="33561"/>
    <cellStyle name="Normalny 2 2 2 2 2 4 4" xfId="33562"/>
    <cellStyle name="Normalny 2 2 2 2 2 4 4 2" xfId="33563"/>
    <cellStyle name="Normalny 2 2 2 2 2 4 4 2 2" xfId="33564"/>
    <cellStyle name="Normalny 2 2 2 2 2 4 4 3" xfId="33565"/>
    <cellStyle name="Normalny 2 2 2 2 2 4 5" xfId="33566"/>
    <cellStyle name="Normalny 2 2 2 2 2 4 5 2" xfId="33567"/>
    <cellStyle name="Normalny 2 2 2 2 2 4 6" xfId="33568"/>
    <cellStyle name="Normalny 2 2 2 2 2 5" xfId="33569"/>
    <cellStyle name="Normalny 2 2 2 2 2 5 2" xfId="33570"/>
    <cellStyle name="Normalny 2 2 2 2 2 5 2 2" xfId="33571"/>
    <cellStyle name="Normalny 2 2 2 2 2 5 2 2 2" xfId="33572"/>
    <cellStyle name="Normalny 2 2 2 2 2 5 2 3" xfId="33573"/>
    <cellStyle name="Normalny 2 2 2 2 2 5 3" xfId="33574"/>
    <cellStyle name="Normalny 2 2 2 2 2 5 3 2" xfId="33575"/>
    <cellStyle name="Normalny 2 2 2 2 2 5 3 2 2" xfId="33576"/>
    <cellStyle name="Normalny 2 2 2 2 2 5 3 3" xfId="33577"/>
    <cellStyle name="Normalny 2 2 2 2 2 5 4" xfId="33578"/>
    <cellStyle name="Normalny 2 2 2 2 2 5 4 2" xfId="33579"/>
    <cellStyle name="Normalny 2 2 2 2 2 5 4 2 2" xfId="33580"/>
    <cellStyle name="Normalny 2 2 2 2 2 5 4 3" xfId="33581"/>
    <cellStyle name="Normalny 2 2 2 2 2 5 5" xfId="33582"/>
    <cellStyle name="Normalny 2 2 2 2 2 5 5 2" xfId="33583"/>
    <cellStyle name="Normalny 2 2 2 2 2 5 6" xfId="33584"/>
    <cellStyle name="Normalny 2 2 2 2 2 6" xfId="33585"/>
    <cellStyle name="Normalny 2 2 2 2 2 6 2" xfId="33586"/>
    <cellStyle name="Normalny 2 2 2 2 2 6 2 2" xfId="33587"/>
    <cellStyle name="Normalny 2 2 2 2 2 6 3" xfId="33588"/>
    <cellStyle name="Normalny 2 2 2 2 2 7" xfId="33589"/>
    <cellStyle name="Normalny 2 2 2 2 2 7 2" xfId="33590"/>
    <cellStyle name="Normalny 2 2 2 2 2 7 2 2" xfId="33591"/>
    <cellStyle name="Normalny 2 2 2 2 2 7 3" xfId="33592"/>
    <cellStyle name="Normalny 2 2 2 2 2 8" xfId="33593"/>
    <cellStyle name="Normalny 2 2 2 2 2 8 2" xfId="33594"/>
    <cellStyle name="Normalny 2 2 2 2 2 8 2 2" xfId="33595"/>
    <cellStyle name="Normalny 2 2 2 2 2 8 3" xfId="33596"/>
    <cellStyle name="Normalny 2 2 2 2 2 9" xfId="33597"/>
    <cellStyle name="Normalny 2 2 2 2 2 9 2" xfId="33598"/>
    <cellStyle name="Normalny 2 2 2 2 3" xfId="33599"/>
    <cellStyle name="Normalny 2 2 2 2 3 2" xfId="33600"/>
    <cellStyle name="Normalny 2 2 2 2 3 2 2" xfId="33601"/>
    <cellStyle name="Normalny 2 2 2 2 3 2 2 2" xfId="33602"/>
    <cellStyle name="Normalny 2 2 2 2 3 2 2 2 2" xfId="33603"/>
    <cellStyle name="Normalny 2 2 2 2 3 2 2 2 2 2" xfId="33604"/>
    <cellStyle name="Normalny 2 2 2 2 3 2 2 2 3" xfId="33605"/>
    <cellStyle name="Normalny 2 2 2 2 3 2 2 3" xfId="33606"/>
    <cellStyle name="Normalny 2 2 2 2 3 2 2 3 2" xfId="33607"/>
    <cellStyle name="Normalny 2 2 2 2 3 2 2 3 2 2" xfId="33608"/>
    <cellStyle name="Normalny 2 2 2 2 3 2 2 3 3" xfId="33609"/>
    <cellStyle name="Normalny 2 2 2 2 3 2 2 4" xfId="33610"/>
    <cellStyle name="Normalny 2 2 2 2 3 2 2 4 2" xfId="33611"/>
    <cellStyle name="Normalny 2 2 2 2 3 2 2 4 2 2" xfId="33612"/>
    <cellStyle name="Normalny 2 2 2 2 3 2 2 4 3" xfId="33613"/>
    <cellStyle name="Normalny 2 2 2 2 3 2 2 5" xfId="33614"/>
    <cellStyle name="Normalny 2 2 2 2 3 2 2 5 2" xfId="33615"/>
    <cellStyle name="Normalny 2 2 2 2 3 2 2 6" xfId="33616"/>
    <cellStyle name="Normalny 2 2 2 2 3 2 3" xfId="33617"/>
    <cellStyle name="Normalny 2 2 2 2 3 2 3 2" xfId="33618"/>
    <cellStyle name="Normalny 2 2 2 2 3 2 3 2 2" xfId="33619"/>
    <cellStyle name="Normalny 2 2 2 2 3 2 3 3" xfId="33620"/>
    <cellStyle name="Normalny 2 2 2 2 3 2 4" xfId="33621"/>
    <cellStyle name="Normalny 2 2 2 2 3 2 4 2" xfId="33622"/>
    <cellStyle name="Normalny 2 2 2 2 3 2 4 2 2" xfId="33623"/>
    <cellStyle name="Normalny 2 2 2 2 3 2 4 3" xfId="33624"/>
    <cellStyle name="Normalny 2 2 2 2 3 2 5" xfId="33625"/>
    <cellStyle name="Normalny 2 2 2 2 3 2 5 2" xfId="33626"/>
    <cellStyle name="Normalny 2 2 2 2 3 2 5 2 2" xfId="33627"/>
    <cellStyle name="Normalny 2 2 2 2 3 2 5 3" xfId="33628"/>
    <cellStyle name="Normalny 2 2 2 2 3 2 6" xfId="33629"/>
    <cellStyle name="Normalny 2 2 2 2 3 2 6 2" xfId="33630"/>
    <cellStyle name="Normalny 2 2 2 2 3 2 7" xfId="33631"/>
    <cellStyle name="Normalny 2 2 2 2 3 3" xfId="33632"/>
    <cellStyle name="Normalny 2 2 2 2 3 3 2" xfId="33633"/>
    <cellStyle name="Normalny 2 2 2 2 3 3 2 2" xfId="33634"/>
    <cellStyle name="Normalny 2 2 2 2 3 3 2 2 2" xfId="33635"/>
    <cellStyle name="Normalny 2 2 2 2 3 3 2 3" xfId="33636"/>
    <cellStyle name="Normalny 2 2 2 2 3 3 3" xfId="33637"/>
    <cellStyle name="Normalny 2 2 2 2 3 3 3 2" xfId="33638"/>
    <cellStyle name="Normalny 2 2 2 2 3 3 3 2 2" xfId="33639"/>
    <cellStyle name="Normalny 2 2 2 2 3 3 3 3" xfId="33640"/>
    <cellStyle name="Normalny 2 2 2 2 3 3 4" xfId="33641"/>
    <cellStyle name="Normalny 2 2 2 2 3 3 4 2" xfId="33642"/>
    <cellStyle name="Normalny 2 2 2 2 3 3 4 2 2" xfId="33643"/>
    <cellStyle name="Normalny 2 2 2 2 3 3 4 3" xfId="33644"/>
    <cellStyle name="Normalny 2 2 2 2 3 3 5" xfId="33645"/>
    <cellStyle name="Normalny 2 2 2 2 3 3 5 2" xfId="33646"/>
    <cellStyle name="Normalny 2 2 2 2 3 3 6" xfId="33647"/>
    <cellStyle name="Normalny 2 2 2 2 3 4" xfId="33648"/>
    <cellStyle name="Normalny 2 2 2 2 3 4 2" xfId="33649"/>
    <cellStyle name="Normalny 2 2 2 2 3 4 2 2" xfId="33650"/>
    <cellStyle name="Normalny 2 2 2 2 3 4 2 2 2" xfId="33651"/>
    <cellStyle name="Normalny 2 2 2 2 3 4 2 3" xfId="33652"/>
    <cellStyle name="Normalny 2 2 2 2 3 4 3" xfId="33653"/>
    <cellStyle name="Normalny 2 2 2 2 3 4 3 2" xfId="33654"/>
    <cellStyle name="Normalny 2 2 2 2 3 4 3 2 2" xfId="33655"/>
    <cellStyle name="Normalny 2 2 2 2 3 4 3 3" xfId="33656"/>
    <cellStyle name="Normalny 2 2 2 2 3 4 4" xfId="33657"/>
    <cellStyle name="Normalny 2 2 2 2 3 4 4 2" xfId="33658"/>
    <cellStyle name="Normalny 2 2 2 2 3 4 4 2 2" xfId="33659"/>
    <cellStyle name="Normalny 2 2 2 2 3 4 4 3" xfId="33660"/>
    <cellStyle name="Normalny 2 2 2 2 3 4 5" xfId="33661"/>
    <cellStyle name="Normalny 2 2 2 2 3 4 5 2" xfId="33662"/>
    <cellStyle name="Normalny 2 2 2 2 3 4 6" xfId="33663"/>
    <cellStyle name="Normalny 2 2 2 2 3 5" xfId="33664"/>
    <cellStyle name="Normalny 2 2 2 2 3 5 2" xfId="33665"/>
    <cellStyle name="Normalny 2 2 2 2 3 5 2 2" xfId="33666"/>
    <cellStyle name="Normalny 2 2 2 2 3 5 3" xfId="33667"/>
    <cellStyle name="Normalny 2 2 2 2 3 6" xfId="33668"/>
    <cellStyle name="Normalny 2 2 2 2 3 6 2" xfId="33669"/>
    <cellStyle name="Normalny 2 2 2 2 3 6 2 2" xfId="33670"/>
    <cellStyle name="Normalny 2 2 2 2 3 6 3" xfId="33671"/>
    <cellStyle name="Normalny 2 2 2 2 3 7" xfId="33672"/>
    <cellStyle name="Normalny 2 2 2 2 3 7 2" xfId="33673"/>
    <cellStyle name="Normalny 2 2 2 2 3 7 2 2" xfId="33674"/>
    <cellStyle name="Normalny 2 2 2 2 3 7 3" xfId="33675"/>
    <cellStyle name="Normalny 2 2 2 2 3 8" xfId="33676"/>
    <cellStyle name="Normalny 2 2 2 2 3 8 2" xfId="33677"/>
    <cellStyle name="Normalny 2 2 2 2 3 9" xfId="33678"/>
    <cellStyle name="Normalny 2 2 2 2 4" xfId="33679"/>
    <cellStyle name="Normalny 2 2 2 2 4 2" xfId="33680"/>
    <cellStyle name="Normalny 2 2 2 2 4 2 2" xfId="33681"/>
    <cellStyle name="Normalny 2 2 2 2 4 2 2 2" xfId="33682"/>
    <cellStyle name="Normalny 2 2 2 2 4 2 2 2 2" xfId="33683"/>
    <cellStyle name="Normalny 2 2 2 2 4 2 2 3" xfId="33684"/>
    <cellStyle name="Normalny 2 2 2 2 4 2 3" xfId="33685"/>
    <cellStyle name="Normalny 2 2 2 2 4 2 3 2" xfId="33686"/>
    <cellStyle name="Normalny 2 2 2 2 4 2 3 2 2" xfId="33687"/>
    <cellStyle name="Normalny 2 2 2 2 4 2 3 3" xfId="33688"/>
    <cellStyle name="Normalny 2 2 2 2 4 2 4" xfId="33689"/>
    <cellStyle name="Normalny 2 2 2 2 4 2 4 2" xfId="33690"/>
    <cellStyle name="Normalny 2 2 2 2 4 2 4 2 2" xfId="33691"/>
    <cellStyle name="Normalny 2 2 2 2 4 2 4 3" xfId="33692"/>
    <cellStyle name="Normalny 2 2 2 2 4 2 5" xfId="33693"/>
    <cellStyle name="Normalny 2 2 2 2 4 2 5 2" xfId="33694"/>
    <cellStyle name="Normalny 2 2 2 2 4 2 6" xfId="33695"/>
    <cellStyle name="Normalny 2 2 2 2 4 3" xfId="33696"/>
    <cellStyle name="Normalny 2 2 2 2 4 3 2" xfId="33697"/>
    <cellStyle name="Normalny 2 2 2 2 4 3 2 2" xfId="33698"/>
    <cellStyle name="Normalny 2 2 2 2 4 3 3" xfId="33699"/>
    <cellStyle name="Normalny 2 2 2 2 4 4" xfId="33700"/>
    <cellStyle name="Normalny 2 2 2 2 4 4 2" xfId="33701"/>
    <cellStyle name="Normalny 2 2 2 2 4 4 2 2" xfId="33702"/>
    <cellStyle name="Normalny 2 2 2 2 4 4 3" xfId="33703"/>
    <cellStyle name="Normalny 2 2 2 2 4 5" xfId="33704"/>
    <cellStyle name="Normalny 2 2 2 2 4 5 2" xfId="33705"/>
    <cellStyle name="Normalny 2 2 2 2 4 5 2 2" xfId="33706"/>
    <cellStyle name="Normalny 2 2 2 2 4 5 3" xfId="33707"/>
    <cellStyle name="Normalny 2 2 2 2 4 6" xfId="33708"/>
    <cellStyle name="Normalny 2 2 2 2 4 6 2" xfId="33709"/>
    <cellStyle name="Normalny 2 2 2 2 4 7" xfId="33710"/>
    <cellStyle name="Normalny 2 2 2 2 5" xfId="33711"/>
    <cellStyle name="Normalny 2 2 2 2 5 2" xfId="33712"/>
    <cellStyle name="Normalny 2 2 2 2 5 2 2" xfId="33713"/>
    <cellStyle name="Normalny 2 2 2 2 5 2 2 2" xfId="33714"/>
    <cellStyle name="Normalny 2 2 2 2 5 2 3" xfId="33715"/>
    <cellStyle name="Normalny 2 2 2 2 5 3" xfId="33716"/>
    <cellStyle name="Normalny 2 2 2 2 5 3 2" xfId="33717"/>
    <cellStyle name="Normalny 2 2 2 2 5 3 2 2" xfId="33718"/>
    <cellStyle name="Normalny 2 2 2 2 5 3 3" xfId="33719"/>
    <cellStyle name="Normalny 2 2 2 2 5 4" xfId="33720"/>
    <cellStyle name="Normalny 2 2 2 2 5 4 2" xfId="33721"/>
    <cellStyle name="Normalny 2 2 2 2 5 4 2 2" xfId="33722"/>
    <cellStyle name="Normalny 2 2 2 2 5 4 3" xfId="33723"/>
    <cellStyle name="Normalny 2 2 2 2 5 5" xfId="33724"/>
    <cellStyle name="Normalny 2 2 2 2 5 5 2" xfId="33725"/>
    <cellStyle name="Normalny 2 2 2 2 5 6" xfId="33726"/>
    <cellStyle name="Normalny 2 2 2 2 6" xfId="33727"/>
    <cellStyle name="Normalny 2 2 2 2 6 2" xfId="33728"/>
    <cellStyle name="Normalny 2 2 2 2 6 2 2" xfId="33729"/>
    <cellStyle name="Normalny 2 2 2 2 6 2 2 2" xfId="33730"/>
    <cellStyle name="Normalny 2 2 2 2 6 2 3" xfId="33731"/>
    <cellStyle name="Normalny 2 2 2 2 6 3" xfId="33732"/>
    <cellStyle name="Normalny 2 2 2 2 6 3 2" xfId="33733"/>
    <cellStyle name="Normalny 2 2 2 2 6 3 2 2" xfId="33734"/>
    <cellStyle name="Normalny 2 2 2 2 6 3 3" xfId="33735"/>
    <cellStyle name="Normalny 2 2 2 2 6 4" xfId="33736"/>
    <cellStyle name="Normalny 2 2 2 2 6 4 2" xfId="33737"/>
    <cellStyle name="Normalny 2 2 2 2 6 4 2 2" xfId="33738"/>
    <cellStyle name="Normalny 2 2 2 2 6 4 3" xfId="33739"/>
    <cellStyle name="Normalny 2 2 2 2 6 5" xfId="33740"/>
    <cellStyle name="Normalny 2 2 2 2 6 5 2" xfId="33741"/>
    <cellStyle name="Normalny 2 2 2 2 6 6" xfId="33742"/>
    <cellStyle name="Normalny 2 2 2 2 7" xfId="33743"/>
    <cellStyle name="Normalny 2 2 2 2 7 2" xfId="33744"/>
    <cellStyle name="Normalny 2 2 2 2 7 2 2" xfId="33745"/>
    <cellStyle name="Normalny 2 2 2 2 7 2 2 2" xfId="33746"/>
    <cellStyle name="Normalny 2 2 2 2 7 2 3" xfId="33747"/>
    <cellStyle name="Normalny 2 2 2 2 7 3" xfId="33748"/>
    <cellStyle name="Normalny 2 2 2 2 7 3 2" xfId="33749"/>
    <cellStyle name="Normalny 2 2 2 2 7 3 2 2" xfId="33750"/>
    <cellStyle name="Normalny 2 2 2 2 7 3 3" xfId="33751"/>
    <cellStyle name="Normalny 2 2 2 2 7 4" xfId="33752"/>
    <cellStyle name="Normalny 2 2 2 2 7 4 2" xfId="33753"/>
    <cellStyle name="Normalny 2 2 2 2 7 4 2 2" xfId="33754"/>
    <cellStyle name="Normalny 2 2 2 2 7 4 3" xfId="33755"/>
    <cellStyle name="Normalny 2 2 2 2 7 5" xfId="33756"/>
    <cellStyle name="Normalny 2 2 2 2 7 5 2" xfId="33757"/>
    <cellStyle name="Normalny 2 2 2 2 7 6" xfId="33758"/>
    <cellStyle name="Normalny 2 2 2 3" xfId="33759"/>
    <cellStyle name="Normalny 2 2 2 3 2" xfId="33760"/>
    <cellStyle name="Normalny 2 2 2 3 2 2" xfId="33761"/>
    <cellStyle name="Normalny 2 2 2 3 2 2 2" xfId="33762"/>
    <cellStyle name="Normalny 2 2 2 3 2 2 2 2" xfId="33763"/>
    <cellStyle name="Normalny 2 2 2 3 2 2 2 2 2" xfId="33764"/>
    <cellStyle name="Normalny 2 2 2 3 2 2 2 2 2 2" xfId="33765"/>
    <cellStyle name="Normalny 2 2 2 3 2 2 2 2 3" xfId="33766"/>
    <cellStyle name="Normalny 2 2 2 3 2 2 2 3" xfId="33767"/>
    <cellStyle name="Normalny 2 2 2 3 2 2 2 3 2" xfId="33768"/>
    <cellStyle name="Normalny 2 2 2 3 2 2 2 3 2 2" xfId="33769"/>
    <cellStyle name="Normalny 2 2 2 3 2 2 2 3 3" xfId="33770"/>
    <cellStyle name="Normalny 2 2 2 3 2 2 2 4" xfId="33771"/>
    <cellStyle name="Normalny 2 2 2 3 2 2 2 4 2" xfId="33772"/>
    <cellStyle name="Normalny 2 2 2 3 2 2 2 4 2 2" xfId="33773"/>
    <cellStyle name="Normalny 2 2 2 3 2 2 2 4 3" xfId="33774"/>
    <cellStyle name="Normalny 2 2 2 3 2 2 2 5" xfId="33775"/>
    <cellStyle name="Normalny 2 2 2 3 2 2 2 5 2" xfId="33776"/>
    <cellStyle name="Normalny 2 2 2 3 2 2 2 6" xfId="33777"/>
    <cellStyle name="Normalny 2 2 2 3 2 2 3" xfId="33778"/>
    <cellStyle name="Normalny 2 2 2 3 2 2 3 2" xfId="33779"/>
    <cellStyle name="Normalny 2 2 2 3 2 2 3 2 2" xfId="33780"/>
    <cellStyle name="Normalny 2 2 2 3 2 2 3 3" xfId="33781"/>
    <cellStyle name="Normalny 2 2 2 3 2 2 4" xfId="33782"/>
    <cellStyle name="Normalny 2 2 2 3 2 2 4 2" xfId="33783"/>
    <cellStyle name="Normalny 2 2 2 3 2 2 4 2 2" xfId="33784"/>
    <cellStyle name="Normalny 2 2 2 3 2 2 4 3" xfId="33785"/>
    <cellStyle name="Normalny 2 2 2 3 2 2 5" xfId="33786"/>
    <cellStyle name="Normalny 2 2 2 3 2 2 5 2" xfId="33787"/>
    <cellStyle name="Normalny 2 2 2 3 2 2 5 2 2" xfId="33788"/>
    <cellStyle name="Normalny 2 2 2 3 2 2 5 3" xfId="33789"/>
    <cellStyle name="Normalny 2 2 2 3 2 2 6" xfId="33790"/>
    <cellStyle name="Normalny 2 2 2 3 2 2 6 2" xfId="33791"/>
    <cellStyle name="Normalny 2 2 2 3 2 2 7" xfId="33792"/>
    <cellStyle name="Normalny 2 2 2 3 2 3" xfId="33793"/>
    <cellStyle name="Normalny 2 2 2 3 2 3 2" xfId="33794"/>
    <cellStyle name="Normalny 2 2 2 3 2 3 2 2" xfId="33795"/>
    <cellStyle name="Normalny 2 2 2 3 2 3 2 2 2" xfId="33796"/>
    <cellStyle name="Normalny 2 2 2 3 2 3 2 3" xfId="33797"/>
    <cellStyle name="Normalny 2 2 2 3 2 3 3" xfId="33798"/>
    <cellStyle name="Normalny 2 2 2 3 2 3 3 2" xfId="33799"/>
    <cellStyle name="Normalny 2 2 2 3 2 3 3 2 2" xfId="33800"/>
    <cellStyle name="Normalny 2 2 2 3 2 3 3 3" xfId="33801"/>
    <cellStyle name="Normalny 2 2 2 3 2 3 4" xfId="33802"/>
    <cellStyle name="Normalny 2 2 2 3 2 3 4 2" xfId="33803"/>
    <cellStyle name="Normalny 2 2 2 3 2 3 4 2 2" xfId="33804"/>
    <cellStyle name="Normalny 2 2 2 3 2 3 4 3" xfId="33805"/>
    <cellStyle name="Normalny 2 2 2 3 2 3 5" xfId="33806"/>
    <cellStyle name="Normalny 2 2 2 3 2 3 5 2" xfId="33807"/>
    <cellStyle name="Normalny 2 2 2 3 2 3 6" xfId="33808"/>
    <cellStyle name="Normalny 2 2 2 3 2 4" xfId="33809"/>
    <cellStyle name="Normalny 2 2 2 3 2 4 2" xfId="33810"/>
    <cellStyle name="Normalny 2 2 2 3 2 4 2 2" xfId="33811"/>
    <cellStyle name="Normalny 2 2 2 3 2 4 2 2 2" xfId="33812"/>
    <cellStyle name="Normalny 2 2 2 3 2 4 2 3" xfId="33813"/>
    <cellStyle name="Normalny 2 2 2 3 2 4 3" xfId="33814"/>
    <cellStyle name="Normalny 2 2 2 3 2 4 3 2" xfId="33815"/>
    <cellStyle name="Normalny 2 2 2 3 2 4 3 2 2" xfId="33816"/>
    <cellStyle name="Normalny 2 2 2 3 2 4 3 3" xfId="33817"/>
    <cellStyle name="Normalny 2 2 2 3 2 4 4" xfId="33818"/>
    <cellStyle name="Normalny 2 2 2 3 2 4 4 2" xfId="33819"/>
    <cellStyle name="Normalny 2 2 2 3 2 4 4 2 2" xfId="33820"/>
    <cellStyle name="Normalny 2 2 2 3 2 4 4 3" xfId="33821"/>
    <cellStyle name="Normalny 2 2 2 3 2 4 5" xfId="33822"/>
    <cellStyle name="Normalny 2 2 2 3 2 4 5 2" xfId="33823"/>
    <cellStyle name="Normalny 2 2 2 3 2 4 6" xfId="33824"/>
    <cellStyle name="Normalny 2 2 2 3 2 5" xfId="33825"/>
    <cellStyle name="Normalny 2 2 2 3 2 5 2" xfId="33826"/>
    <cellStyle name="Normalny 2 2 2 3 2 5 2 2" xfId="33827"/>
    <cellStyle name="Normalny 2 2 2 3 2 5 3" xfId="33828"/>
    <cellStyle name="Normalny 2 2 2 3 2 6" xfId="33829"/>
    <cellStyle name="Normalny 2 2 2 3 2 6 2" xfId="33830"/>
    <cellStyle name="Normalny 2 2 2 3 2 6 2 2" xfId="33831"/>
    <cellStyle name="Normalny 2 2 2 3 2 6 3" xfId="33832"/>
    <cellStyle name="Normalny 2 2 2 3 2 7" xfId="33833"/>
    <cellStyle name="Normalny 2 2 2 3 2 7 2" xfId="33834"/>
    <cellStyle name="Normalny 2 2 2 3 2 7 2 2" xfId="33835"/>
    <cellStyle name="Normalny 2 2 2 3 2 7 3" xfId="33836"/>
    <cellStyle name="Normalny 2 2 2 3 2 8" xfId="33837"/>
    <cellStyle name="Normalny 2 2 2 3 2 8 2" xfId="33838"/>
    <cellStyle name="Normalny 2 2 2 3 2 9" xfId="33839"/>
    <cellStyle name="Normalny 2 2 2 3 3" xfId="33840"/>
    <cellStyle name="Normalny 2 2 2 3 3 2" xfId="33841"/>
    <cellStyle name="Normalny 2 2 2 3 3 2 2" xfId="33842"/>
    <cellStyle name="Normalny 2 2 2 3 3 2 2 2" xfId="33843"/>
    <cellStyle name="Normalny 2 2 2 3 3 2 2 2 2" xfId="33844"/>
    <cellStyle name="Normalny 2 2 2 3 3 2 2 3" xfId="33845"/>
    <cellStyle name="Normalny 2 2 2 3 3 2 3" xfId="33846"/>
    <cellStyle name="Normalny 2 2 2 3 3 2 3 2" xfId="33847"/>
    <cellStyle name="Normalny 2 2 2 3 3 2 3 2 2" xfId="33848"/>
    <cellStyle name="Normalny 2 2 2 3 3 2 3 3" xfId="33849"/>
    <cellStyle name="Normalny 2 2 2 3 3 2 4" xfId="33850"/>
    <cellStyle name="Normalny 2 2 2 3 3 2 4 2" xfId="33851"/>
    <cellStyle name="Normalny 2 2 2 3 3 2 4 2 2" xfId="33852"/>
    <cellStyle name="Normalny 2 2 2 3 3 2 4 3" xfId="33853"/>
    <cellStyle name="Normalny 2 2 2 3 3 2 5" xfId="33854"/>
    <cellStyle name="Normalny 2 2 2 3 3 2 5 2" xfId="33855"/>
    <cellStyle name="Normalny 2 2 2 3 3 2 6" xfId="33856"/>
    <cellStyle name="Normalny 2 2 2 3 3 3" xfId="33857"/>
    <cellStyle name="Normalny 2 2 2 3 3 3 2" xfId="33858"/>
    <cellStyle name="Normalny 2 2 2 3 3 3 2 2" xfId="33859"/>
    <cellStyle name="Normalny 2 2 2 3 3 3 3" xfId="33860"/>
    <cellStyle name="Normalny 2 2 2 3 3 4" xfId="33861"/>
    <cellStyle name="Normalny 2 2 2 3 3 4 2" xfId="33862"/>
    <cellStyle name="Normalny 2 2 2 3 3 4 2 2" xfId="33863"/>
    <cellStyle name="Normalny 2 2 2 3 3 4 3" xfId="33864"/>
    <cellStyle name="Normalny 2 2 2 3 3 5" xfId="33865"/>
    <cellStyle name="Normalny 2 2 2 3 3 5 2" xfId="33866"/>
    <cellStyle name="Normalny 2 2 2 3 3 5 2 2" xfId="33867"/>
    <cellStyle name="Normalny 2 2 2 3 3 5 3" xfId="33868"/>
    <cellStyle name="Normalny 2 2 2 3 3 6" xfId="33869"/>
    <cellStyle name="Normalny 2 2 2 3 3 6 2" xfId="33870"/>
    <cellStyle name="Normalny 2 2 2 3 3 7" xfId="33871"/>
    <cellStyle name="Normalny 2 2 2 3 4" xfId="33872"/>
    <cellStyle name="Normalny 2 2 2 3 4 2" xfId="33873"/>
    <cellStyle name="Normalny 2 2 2 3 4 2 2" xfId="33874"/>
    <cellStyle name="Normalny 2 2 2 3 4 2 2 2" xfId="33875"/>
    <cellStyle name="Normalny 2 2 2 3 4 2 3" xfId="33876"/>
    <cellStyle name="Normalny 2 2 2 3 4 3" xfId="33877"/>
    <cellStyle name="Normalny 2 2 2 3 4 3 2" xfId="33878"/>
    <cellStyle name="Normalny 2 2 2 3 4 3 2 2" xfId="33879"/>
    <cellStyle name="Normalny 2 2 2 3 4 3 3" xfId="33880"/>
    <cellStyle name="Normalny 2 2 2 3 4 4" xfId="33881"/>
    <cellStyle name="Normalny 2 2 2 3 4 4 2" xfId="33882"/>
    <cellStyle name="Normalny 2 2 2 3 4 4 2 2" xfId="33883"/>
    <cellStyle name="Normalny 2 2 2 3 4 4 3" xfId="33884"/>
    <cellStyle name="Normalny 2 2 2 3 4 5" xfId="33885"/>
    <cellStyle name="Normalny 2 2 2 3 4 5 2" xfId="33886"/>
    <cellStyle name="Normalny 2 2 2 3 4 6" xfId="33887"/>
    <cellStyle name="Normalny 2 2 2 3 5" xfId="33888"/>
    <cellStyle name="Normalny 2 2 2 3 5 2" xfId="33889"/>
    <cellStyle name="Normalny 2 2 2 3 5 2 2" xfId="33890"/>
    <cellStyle name="Normalny 2 2 2 3 5 2 2 2" xfId="33891"/>
    <cellStyle name="Normalny 2 2 2 3 5 2 3" xfId="33892"/>
    <cellStyle name="Normalny 2 2 2 3 5 3" xfId="33893"/>
    <cellStyle name="Normalny 2 2 2 3 5 3 2" xfId="33894"/>
    <cellStyle name="Normalny 2 2 2 3 5 3 2 2" xfId="33895"/>
    <cellStyle name="Normalny 2 2 2 3 5 3 3" xfId="33896"/>
    <cellStyle name="Normalny 2 2 2 3 5 4" xfId="33897"/>
    <cellStyle name="Normalny 2 2 2 3 5 4 2" xfId="33898"/>
    <cellStyle name="Normalny 2 2 2 3 5 4 2 2" xfId="33899"/>
    <cellStyle name="Normalny 2 2 2 3 5 4 3" xfId="33900"/>
    <cellStyle name="Normalny 2 2 2 3 5 5" xfId="33901"/>
    <cellStyle name="Normalny 2 2 2 3 5 5 2" xfId="33902"/>
    <cellStyle name="Normalny 2 2 2 3 5 6" xfId="33903"/>
    <cellStyle name="Normalny 2 2 2 3 6" xfId="33904"/>
    <cellStyle name="Normalny 2 2 2 3 6 2" xfId="33905"/>
    <cellStyle name="Normalny 2 2 2 3 6 2 2" xfId="33906"/>
    <cellStyle name="Normalny 2 2 2 3 6 2 2 2" xfId="33907"/>
    <cellStyle name="Normalny 2 2 2 3 6 2 3" xfId="33908"/>
    <cellStyle name="Normalny 2 2 2 3 6 3" xfId="33909"/>
    <cellStyle name="Normalny 2 2 2 3 6 3 2" xfId="33910"/>
    <cellStyle name="Normalny 2 2 2 3 6 3 2 2" xfId="33911"/>
    <cellStyle name="Normalny 2 2 2 3 6 3 3" xfId="33912"/>
    <cellStyle name="Normalny 2 2 2 3 6 4" xfId="33913"/>
    <cellStyle name="Normalny 2 2 2 3 6 4 2" xfId="33914"/>
    <cellStyle name="Normalny 2 2 2 3 6 4 2 2" xfId="33915"/>
    <cellStyle name="Normalny 2 2 2 3 6 4 3" xfId="33916"/>
    <cellStyle name="Normalny 2 2 2 3 6 5" xfId="33917"/>
    <cellStyle name="Normalny 2 2 2 3 6 5 2" xfId="33918"/>
    <cellStyle name="Normalny 2 2 2 3 6 6" xfId="33919"/>
    <cellStyle name="Normalny 2 2 2 4" xfId="33920"/>
    <cellStyle name="Normalny 2 2 2 4 2" xfId="33921"/>
    <cellStyle name="Normalny 2 2 2 4 2 2" xfId="33922"/>
    <cellStyle name="Normalny 2 2 2 4 2 2 2" xfId="33923"/>
    <cellStyle name="Normalny 2 2 2 4 2 2 2 2" xfId="33924"/>
    <cellStyle name="Normalny 2 2 2 4 2 2 2 2 2" xfId="33925"/>
    <cellStyle name="Normalny 2 2 2 4 2 2 2 2 2 2" xfId="33926"/>
    <cellStyle name="Normalny 2 2 2 4 2 2 2 2 3" xfId="33927"/>
    <cellStyle name="Normalny 2 2 2 4 2 2 2 3" xfId="33928"/>
    <cellStyle name="Normalny 2 2 2 4 2 2 2 3 2" xfId="33929"/>
    <cellStyle name="Normalny 2 2 2 4 2 2 2 3 2 2" xfId="33930"/>
    <cellStyle name="Normalny 2 2 2 4 2 2 2 3 3" xfId="33931"/>
    <cellStyle name="Normalny 2 2 2 4 2 2 2 4" xfId="33932"/>
    <cellStyle name="Normalny 2 2 2 4 2 2 2 4 2" xfId="33933"/>
    <cellStyle name="Normalny 2 2 2 4 2 2 2 4 2 2" xfId="33934"/>
    <cellStyle name="Normalny 2 2 2 4 2 2 2 4 3" xfId="33935"/>
    <cellStyle name="Normalny 2 2 2 4 2 2 2 5" xfId="33936"/>
    <cellStyle name="Normalny 2 2 2 4 2 2 2 5 2" xfId="33937"/>
    <cellStyle name="Normalny 2 2 2 4 2 2 2 6" xfId="33938"/>
    <cellStyle name="Normalny 2 2 2 4 2 2 3" xfId="33939"/>
    <cellStyle name="Normalny 2 2 2 4 2 2 3 2" xfId="33940"/>
    <cellStyle name="Normalny 2 2 2 4 2 2 3 2 2" xfId="33941"/>
    <cellStyle name="Normalny 2 2 2 4 2 2 3 3" xfId="33942"/>
    <cellStyle name="Normalny 2 2 2 4 2 2 4" xfId="33943"/>
    <cellStyle name="Normalny 2 2 2 4 2 2 4 2" xfId="33944"/>
    <cellStyle name="Normalny 2 2 2 4 2 2 4 2 2" xfId="33945"/>
    <cellStyle name="Normalny 2 2 2 4 2 2 4 3" xfId="33946"/>
    <cellStyle name="Normalny 2 2 2 4 2 2 5" xfId="33947"/>
    <cellStyle name="Normalny 2 2 2 4 2 2 5 2" xfId="33948"/>
    <cellStyle name="Normalny 2 2 2 4 2 2 5 2 2" xfId="33949"/>
    <cellStyle name="Normalny 2 2 2 4 2 2 5 3" xfId="33950"/>
    <cellStyle name="Normalny 2 2 2 4 2 2 6" xfId="33951"/>
    <cellStyle name="Normalny 2 2 2 4 2 2 6 2" xfId="33952"/>
    <cellStyle name="Normalny 2 2 2 4 2 2 7" xfId="33953"/>
    <cellStyle name="Normalny 2 2 2 4 2 3" xfId="33954"/>
    <cellStyle name="Normalny 2 2 2 4 2 3 2" xfId="33955"/>
    <cellStyle name="Normalny 2 2 2 4 2 3 2 2" xfId="33956"/>
    <cellStyle name="Normalny 2 2 2 4 2 3 2 2 2" xfId="33957"/>
    <cellStyle name="Normalny 2 2 2 4 2 3 2 3" xfId="33958"/>
    <cellStyle name="Normalny 2 2 2 4 2 3 3" xfId="33959"/>
    <cellStyle name="Normalny 2 2 2 4 2 3 3 2" xfId="33960"/>
    <cellStyle name="Normalny 2 2 2 4 2 3 3 2 2" xfId="33961"/>
    <cellStyle name="Normalny 2 2 2 4 2 3 3 3" xfId="33962"/>
    <cellStyle name="Normalny 2 2 2 4 2 3 4" xfId="33963"/>
    <cellStyle name="Normalny 2 2 2 4 2 3 4 2" xfId="33964"/>
    <cellStyle name="Normalny 2 2 2 4 2 3 4 2 2" xfId="33965"/>
    <cellStyle name="Normalny 2 2 2 4 2 3 4 3" xfId="33966"/>
    <cellStyle name="Normalny 2 2 2 4 2 3 5" xfId="33967"/>
    <cellStyle name="Normalny 2 2 2 4 2 3 5 2" xfId="33968"/>
    <cellStyle name="Normalny 2 2 2 4 2 3 6" xfId="33969"/>
    <cellStyle name="Normalny 2 2 2 4 2 4" xfId="33970"/>
    <cellStyle name="Normalny 2 2 2 4 2 4 2" xfId="33971"/>
    <cellStyle name="Normalny 2 2 2 4 2 4 2 2" xfId="33972"/>
    <cellStyle name="Normalny 2 2 2 4 2 4 2 2 2" xfId="33973"/>
    <cellStyle name="Normalny 2 2 2 4 2 4 2 3" xfId="33974"/>
    <cellStyle name="Normalny 2 2 2 4 2 4 3" xfId="33975"/>
    <cellStyle name="Normalny 2 2 2 4 2 4 3 2" xfId="33976"/>
    <cellStyle name="Normalny 2 2 2 4 2 4 3 2 2" xfId="33977"/>
    <cellStyle name="Normalny 2 2 2 4 2 4 3 3" xfId="33978"/>
    <cellStyle name="Normalny 2 2 2 4 2 4 4" xfId="33979"/>
    <cellStyle name="Normalny 2 2 2 4 2 4 4 2" xfId="33980"/>
    <cellStyle name="Normalny 2 2 2 4 2 4 4 2 2" xfId="33981"/>
    <cellStyle name="Normalny 2 2 2 4 2 4 4 3" xfId="33982"/>
    <cellStyle name="Normalny 2 2 2 4 2 4 5" xfId="33983"/>
    <cellStyle name="Normalny 2 2 2 4 2 4 5 2" xfId="33984"/>
    <cellStyle name="Normalny 2 2 2 4 2 4 6" xfId="33985"/>
    <cellStyle name="Normalny 2 2 2 4 2 5" xfId="33986"/>
    <cellStyle name="Normalny 2 2 2 4 2 5 2" xfId="33987"/>
    <cellStyle name="Normalny 2 2 2 4 2 5 2 2" xfId="33988"/>
    <cellStyle name="Normalny 2 2 2 4 2 5 3" xfId="33989"/>
    <cellStyle name="Normalny 2 2 2 4 2 6" xfId="33990"/>
    <cellStyle name="Normalny 2 2 2 4 2 6 2" xfId="33991"/>
    <cellStyle name="Normalny 2 2 2 4 2 6 2 2" xfId="33992"/>
    <cellStyle name="Normalny 2 2 2 4 2 6 3" xfId="33993"/>
    <cellStyle name="Normalny 2 2 2 4 2 7" xfId="33994"/>
    <cellStyle name="Normalny 2 2 2 4 2 7 2" xfId="33995"/>
    <cellStyle name="Normalny 2 2 2 4 2 7 2 2" xfId="33996"/>
    <cellStyle name="Normalny 2 2 2 4 2 7 3" xfId="33997"/>
    <cellStyle name="Normalny 2 2 2 4 2 8" xfId="33998"/>
    <cellStyle name="Normalny 2 2 2 4 2 8 2" xfId="33999"/>
    <cellStyle name="Normalny 2 2 2 4 2 9" xfId="34000"/>
    <cellStyle name="Normalny 2 2 2 4 3" xfId="34001"/>
    <cellStyle name="Normalny 2 2 2 4 3 2" xfId="34002"/>
    <cellStyle name="Normalny 2 2 2 4 3 2 2" xfId="34003"/>
    <cellStyle name="Normalny 2 2 2 4 3 2 2 2" xfId="34004"/>
    <cellStyle name="Normalny 2 2 2 4 3 2 2 2 2" xfId="34005"/>
    <cellStyle name="Normalny 2 2 2 4 3 2 2 3" xfId="34006"/>
    <cellStyle name="Normalny 2 2 2 4 3 2 3" xfId="34007"/>
    <cellStyle name="Normalny 2 2 2 4 3 2 3 2" xfId="34008"/>
    <cellStyle name="Normalny 2 2 2 4 3 2 3 2 2" xfId="34009"/>
    <cellStyle name="Normalny 2 2 2 4 3 2 3 3" xfId="34010"/>
    <cellStyle name="Normalny 2 2 2 4 3 2 4" xfId="34011"/>
    <cellStyle name="Normalny 2 2 2 4 3 2 4 2" xfId="34012"/>
    <cellStyle name="Normalny 2 2 2 4 3 2 4 2 2" xfId="34013"/>
    <cellStyle name="Normalny 2 2 2 4 3 2 4 3" xfId="34014"/>
    <cellStyle name="Normalny 2 2 2 4 3 2 5" xfId="34015"/>
    <cellStyle name="Normalny 2 2 2 4 3 2 5 2" xfId="34016"/>
    <cellStyle name="Normalny 2 2 2 4 3 2 6" xfId="34017"/>
    <cellStyle name="Normalny 2 2 2 4 3 3" xfId="34018"/>
    <cellStyle name="Normalny 2 2 2 4 3 3 2" xfId="34019"/>
    <cellStyle name="Normalny 2 2 2 4 3 3 2 2" xfId="34020"/>
    <cellStyle name="Normalny 2 2 2 4 3 3 3" xfId="34021"/>
    <cellStyle name="Normalny 2 2 2 4 3 4" xfId="34022"/>
    <cellStyle name="Normalny 2 2 2 4 3 4 2" xfId="34023"/>
    <cellStyle name="Normalny 2 2 2 4 3 4 2 2" xfId="34024"/>
    <cellStyle name="Normalny 2 2 2 4 3 4 3" xfId="34025"/>
    <cellStyle name="Normalny 2 2 2 4 3 5" xfId="34026"/>
    <cellStyle name="Normalny 2 2 2 4 3 5 2" xfId="34027"/>
    <cellStyle name="Normalny 2 2 2 4 3 5 2 2" xfId="34028"/>
    <cellStyle name="Normalny 2 2 2 4 3 5 3" xfId="34029"/>
    <cellStyle name="Normalny 2 2 2 4 3 6" xfId="34030"/>
    <cellStyle name="Normalny 2 2 2 4 3 6 2" xfId="34031"/>
    <cellStyle name="Normalny 2 2 2 4 3 7" xfId="34032"/>
    <cellStyle name="Normalny 2 2 2 4 4" xfId="34033"/>
    <cellStyle name="Normalny 2 2 2 4 4 2" xfId="34034"/>
    <cellStyle name="Normalny 2 2 2 4 4 2 2" xfId="34035"/>
    <cellStyle name="Normalny 2 2 2 4 4 2 2 2" xfId="34036"/>
    <cellStyle name="Normalny 2 2 2 4 4 2 3" xfId="34037"/>
    <cellStyle name="Normalny 2 2 2 4 4 3" xfId="34038"/>
    <cellStyle name="Normalny 2 2 2 4 4 3 2" xfId="34039"/>
    <cellStyle name="Normalny 2 2 2 4 4 3 2 2" xfId="34040"/>
    <cellStyle name="Normalny 2 2 2 4 4 3 3" xfId="34041"/>
    <cellStyle name="Normalny 2 2 2 4 4 4" xfId="34042"/>
    <cellStyle name="Normalny 2 2 2 4 4 4 2" xfId="34043"/>
    <cellStyle name="Normalny 2 2 2 4 4 4 2 2" xfId="34044"/>
    <cellStyle name="Normalny 2 2 2 4 4 4 3" xfId="34045"/>
    <cellStyle name="Normalny 2 2 2 4 4 5" xfId="34046"/>
    <cellStyle name="Normalny 2 2 2 4 4 5 2" xfId="34047"/>
    <cellStyle name="Normalny 2 2 2 4 4 6" xfId="34048"/>
    <cellStyle name="Normalny 2 2 2 4 5" xfId="34049"/>
    <cellStyle name="Normalny 2 2 2 4 5 2" xfId="34050"/>
    <cellStyle name="Normalny 2 2 2 4 5 2 2" xfId="34051"/>
    <cellStyle name="Normalny 2 2 2 4 5 2 2 2" xfId="34052"/>
    <cellStyle name="Normalny 2 2 2 4 5 2 3" xfId="34053"/>
    <cellStyle name="Normalny 2 2 2 4 5 3" xfId="34054"/>
    <cellStyle name="Normalny 2 2 2 4 5 3 2" xfId="34055"/>
    <cellStyle name="Normalny 2 2 2 4 5 3 2 2" xfId="34056"/>
    <cellStyle name="Normalny 2 2 2 4 5 3 3" xfId="34057"/>
    <cellStyle name="Normalny 2 2 2 4 5 4" xfId="34058"/>
    <cellStyle name="Normalny 2 2 2 4 5 4 2" xfId="34059"/>
    <cellStyle name="Normalny 2 2 2 4 5 4 2 2" xfId="34060"/>
    <cellStyle name="Normalny 2 2 2 4 5 4 3" xfId="34061"/>
    <cellStyle name="Normalny 2 2 2 4 5 5" xfId="34062"/>
    <cellStyle name="Normalny 2 2 2 4 5 5 2" xfId="34063"/>
    <cellStyle name="Normalny 2 2 2 4 5 6" xfId="34064"/>
    <cellStyle name="Normalny 2 2 2 4 6" xfId="34065"/>
    <cellStyle name="Normalny 2 2 2 4 6 2" xfId="34066"/>
    <cellStyle name="Normalny 2 2 2 4 6 2 2" xfId="34067"/>
    <cellStyle name="Normalny 2 2 2 4 6 2 2 2" xfId="34068"/>
    <cellStyle name="Normalny 2 2 2 4 6 2 3" xfId="34069"/>
    <cellStyle name="Normalny 2 2 2 4 6 3" xfId="34070"/>
    <cellStyle name="Normalny 2 2 2 4 6 3 2" xfId="34071"/>
    <cellStyle name="Normalny 2 2 2 4 6 3 2 2" xfId="34072"/>
    <cellStyle name="Normalny 2 2 2 4 6 3 3" xfId="34073"/>
    <cellStyle name="Normalny 2 2 2 4 6 4" xfId="34074"/>
    <cellStyle name="Normalny 2 2 2 4 6 4 2" xfId="34075"/>
    <cellStyle name="Normalny 2 2 2 4 6 4 2 2" xfId="34076"/>
    <cellStyle name="Normalny 2 2 2 4 6 4 3" xfId="34077"/>
    <cellStyle name="Normalny 2 2 2 4 6 5" xfId="34078"/>
    <cellStyle name="Normalny 2 2 2 4 6 5 2" xfId="34079"/>
    <cellStyle name="Normalny 2 2 2 4 6 6" xfId="34080"/>
    <cellStyle name="Normalny 2 2 2 5" xfId="34081"/>
    <cellStyle name="Normalny 2 2 2 5 2" xfId="34082"/>
    <cellStyle name="Normalny 2 2 2 5 2 2" xfId="34083"/>
    <cellStyle name="Normalny 2 2 2 5 2 2 2" xfId="34084"/>
    <cellStyle name="Normalny 2 2 2 5 2 2 2 2" xfId="34085"/>
    <cellStyle name="Normalny 2 2 2 5 2 2 2 2 2" xfId="34086"/>
    <cellStyle name="Normalny 2 2 2 5 2 2 2 3" xfId="34087"/>
    <cellStyle name="Normalny 2 2 2 5 2 2 3" xfId="34088"/>
    <cellStyle name="Normalny 2 2 2 5 2 2 3 2" xfId="34089"/>
    <cellStyle name="Normalny 2 2 2 5 2 2 3 2 2" xfId="34090"/>
    <cellStyle name="Normalny 2 2 2 5 2 2 3 3" xfId="34091"/>
    <cellStyle name="Normalny 2 2 2 5 2 2 4" xfId="34092"/>
    <cellStyle name="Normalny 2 2 2 5 2 2 4 2" xfId="34093"/>
    <cellStyle name="Normalny 2 2 2 5 2 2 4 2 2" xfId="34094"/>
    <cellStyle name="Normalny 2 2 2 5 2 2 4 3" xfId="34095"/>
    <cellStyle name="Normalny 2 2 2 5 2 2 5" xfId="34096"/>
    <cellStyle name="Normalny 2 2 2 5 2 2 5 2" xfId="34097"/>
    <cellStyle name="Normalny 2 2 2 5 2 2 6" xfId="34098"/>
    <cellStyle name="Normalny 2 2 2 5 2 3" xfId="34099"/>
    <cellStyle name="Normalny 2 2 2 5 2 3 2" xfId="34100"/>
    <cellStyle name="Normalny 2 2 2 5 2 3 2 2" xfId="34101"/>
    <cellStyle name="Normalny 2 2 2 5 2 3 3" xfId="34102"/>
    <cellStyle name="Normalny 2 2 2 5 2 4" xfId="34103"/>
    <cellStyle name="Normalny 2 2 2 5 2 4 2" xfId="34104"/>
    <cellStyle name="Normalny 2 2 2 5 2 4 2 2" xfId="34105"/>
    <cellStyle name="Normalny 2 2 2 5 2 4 3" xfId="34106"/>
    <cellStyle name="Normalny 2 2 2 5 2 5" xfId="34107"/>
    <cellStyle name="Normalny 2 2 2 5 2 5 2" xfId="34108"/>
    <cellStyle name="Normalny 2 2 2 5 2 5 2 2" xfId="34109"/>
    <cellStyle name="Normalny 2 2 2 5 2 5 3" xfId="34110"/>
    <cellStyle name="Normalny 2 2 2 5 2 6" xfId="34111"/>
    <cellStyle name="Normalny 2 2 2 5 2 6 2" xfId="34112"/>
    <cellStyle name="Normalny 2 2 2 5 2 7" xfId="34113"/>
    <cellStyle name="Normalny 2 2 2 5 3" xfId="34114"/>
    <cellStyle name="Normalny 2 2 2 5 3 2" xfId="34115"/>
    <cellStyle name="Normalny 2 2 2 5 3 2 2" xfId="34116"/>
    <cellStyle name="Normalny 2 2 2 5 3 2 2 2" xfId="34117"/>
    <cellStyle name="Normalny 2 2 2 5 3 2 3" xfId="34118"/>
    <cellStyle name="Normalny 2 2 2 5 3 3" xfId="34119"/>
    <cellStyle name="Normalny 2 2 2 5 3 3 2" xfId="34120"/>
    <cellStyle name="Normalny 2 2 2 5 3 3 2 2" xfId="34121"/>
    <cellStyle name="Normalny 2 2 2 5 3 3 3" xfId="34122"/>
    <cellStyle name="Normalny 2 2 2 5 3 4" xfId="34123"/>
    <cellStyle name="Normalny 2 2 2 5 3 4 2" xfId="34124"/>
    <cellStyle name="Normalny 2 2 2 5 3 4 2 2" xfId="34125"/>
    <cellStyle name="Normalny 2 2 2 5 3 4 3" xfId="34126"/>
    <cellStyle name="Normalny 2 2 2 5 3 5" xfId="34127"/>
    <cellStyle name="Normalny 2 2 2 5 3 5 2" xfId="34128"/>
    <cellStyle name="Normalny 2 2 2 5 3 6" xfId="34129"/>
    <cellStyle name="Normalny 2 2 2 5 4" xfId="34130"/>
    <cellStyle name="Normalny 2 2 2 5 4 2" xfId="34131"/>
    <cellStyle name="Normalny 2 2 2 5 4 2 2" xfId="34132"/>
    <cellStyle name="Normalny 2 2 2 5 4 2 2 2" xfId="34133"/>
    <cellStyle name="Normalny 2 2 2 5 4 2 3" xfId="34134"/>
    <cellStyle name="Normalny 2 2 2 5 4 3" xfId="34135"/>
    <cellStyle name="Normalny 2 2 2 5 4 3 2" xfId="34136"/>
    <cellStyle name="Normalny 2 2 2 5 4 3 2 2" xfId="34137"/>
    <cellStyle name="Normalny 2 2 2 5 4 3 3" xfId="34138"/>
    <cellStyle name="Normalny 2 2 2 5 4 4" xfId="34139"/>
    <cellStyle name="Normalny 2 2 2 5 4 4 2" xfId="34140"/>
    <cellStyle name="Normalny 2 2 2 5 4 4 2 2" xfId="34141"/>
    <cellStyle name="Normalny 2 2 2 5 4 4 3" xfId="34142"/>
    <cellStyle name="Normalny 2 2 2 5 4 5" xfId="34143"/>
    <cellStyle name="Normalny 2 2 2 5 4 5 2" xfId="34144"/>
    <cellStyle name="Normalny 2 2 2 5 4 6" xfId="34145"/>
    <cellStyle name="Normalny 2 2 2 5 5" xfId="34146"/>
    <cellStyle name="Normalny 2 2 2 5 5 2" xfId="34147"/>
    <cellStyle name="Normalny 2 2 2 5 5 2 2" xfId="34148"/>
    <cellStyle name="Normalny 2 2 2 5 5 2 2 2" xfId="34149"/>
    <cellStyle name="Normalny 2 2 2 5 5 2 3" xfId="34150"/>
    <cellStyle name="Normalny 2 2 2 5 5 3" xfId="34151"/>
    <cellStyle name="Normalny 2 2 2 5 5 3 2" xfId="34152"/>
    <cellStyle name="Normalny 2 2 2 5 5 3 2 2" xfId="34153"/>
    <cellStyle name="Normalny 2 2 2 5 5 3 3" xfId="34154"/>
    <cellStyle name="Normalny 2 2 2 5 5 4" xfId="34155"/>
    <cellStyle name="Normalny 2 2 2 5 5 4 2" xfId="34156"/>
    <cellStyle name="Normalny 2 2 2 5 5 4 2 2" xfId="34157"/>
    <cellStyle name="Normalny 2 2 2 5 5 4 3" xfId="34158"/>
    <cellStyle name="Normalny 2 2 2 5 5 5" xfId="34159"/>
    <cellStyle name="Normalny 2 2 2 5 5 5 2" xfId="34160"/>
    <cellStyle name="Normalny 2 2 2 5 5 6" xfId="34161"/>
    <cellStyle name="Normalny 2 2 2 6" xfId="34162"/>
    <cellStyle name="Normalny 2 2 2 6 2" xfId="34163"/>
    <cellStyle name="Normalny 2 2 2 6 2 2" xfId="34164"/>
    <cellStyle name="Normalny 2 2 2 6 2 2 2" xfId="34165"/>
    <cellStyle name="Normalny 2 2 2 6 2 2 2 2" xfId="34166"/>
    <cellStyle name="Normalny 2 2 2 6 2 2 2 2 2" xfId="34167"/>
    <cellStyle name="Normalny 2 2 2 6 2 2 2 3" xfId="34168"/>
    <cellStyle name="Normalny 2 2 2 6 2 2 3" xfId="34169"/>
    <cellStyle name="Normalny 2 2 2 6 2 2 3 2" xfId="34170"/>
    <cellStyle name="Normalny 2 2 2 6 2 2 3 2 2" xfId="34171"/>
    <cellStyle name="Normalny 2 2 2 6 2 2 3 3" xfId="34172"/>
    <cellStyle name="Normalny 2 2 2 6 2 2 4" xfId="34173"/>
    <cellStyle name="Normalny 2 2 2 6 2 2 4 2" xfId="34174"/>
    <cellStyle name="Normalny 2 2 2 6 2 2 4 2 2" xfId="34175"/>
    <cellStyle name="Normalny 2 2 2 6 2 2 4 3" xfId="34176"/>
    <cellStyle name="Normalny 2 2 2 6 2 2 5" xfId="34177"/>
    <cellStyle name="Normalny 2 2 2 6 2 2 5 2" xfId="34178"/>
    <cellStyle name="Normalny 2 2 2 6 2 2 6" xfId="34179"/>
    <cellStyle name="Normalny 2 2 2 6 2 3" xfId="34180"/>
    <cellStyle name="Normalny 2 2 2 6 2 3 2" xfId="34181"/>
    <cellStyle name="Normalny 2 2 2 6 2 3 2 2" xfId="34182"/>
    <cellStyle name="Normalny 2 2 2 6 2 3 3" xfId="34183"/>
    <cellStyle name="Normalny 2 2 2 6 2 4" xfId="34184"/>
    <cellStyle name="Normalny 2 2 2 6 2 4 2" xfId="34185"/>
    <cellStyle name="Normalny 2 2 2 6 2 4 2 2" xfId="34186"/>
    <cellStyle name="Normalny 2 2 2 6 2 4 3" xfId="34187"/>
    <cellStyle name="Normalny 2 2 2 6 2 5" xfId="34188"/>
    <cellStyle name="Normalny 2 2 2 6 2 5 2" xfId="34189"/>
    <cellStyle name="Normalny 2 2 2 6 2 5 2 2" xfId="34190"/>
    <cellStyle name="Normalny 2 2 2 6 2 5 3" xfId="34191"/>
    <cellStyle name="Normalny 2 2 2 6 2 6" xfId="34192"/>
    <cellStyle name="Normalny 2 2 2 6 2 6 2" xfId="34193"/>
    <cellStyle name="Normalny 2 2 2 6 2 7" xfId="34194"/>
    <cellStyle name="Normalny 2 2 2 6 3" xfId="34195"/>
    <cellStyle name="Normalny 2 2 2 6 3 2" xfId="34196"/>
    <cellStyle name="Normalny 2 2 2 6 3 2 2" xfId="34197"/>
    <cellStyle name="Normalny 2 2 2 6 3 2 2 2" xfId="34198"/>
    <cellStyle name="Normalny 2 2 2 6 3 2 3" xfId="34199"/>
    <cellStyle name="Normalny 2 2 2 6 3 3" xfId="34200"/>
    <cellStyle name="Normalny 2 2 2 6 3 3 2" xfId="34201"/>
    <cellStyle name="Normalny 2 2 2 6 3 3 2 2" xfId="34202"/>
    <cellStyle name="Normalny 2 2 2 6 3 3 3" xfId="34203"/>
    <cellStyle name="Normalny 2 2 2 6 3 4" xfId="34204"/>
    <cellStyle name="Normalny 2 2 2 6 3 4 2" xfId="34205"/>
    <cellStyle name="Normalny 2 2 2 6 3 4 2 2" xfId="34206"/>
    <cellStyle name="Normalny 2 2 2 6 3 4 3" xfId="34207"/>
    <cellStyle name="Normalny 2 2 2 6 3 5" xfId="34208"/>
    <cellStyle name="Normalny 2 2 2 6 3 5 2" xfId="34209"/>
    <cellStyle name="Normalny 2 2 2 6 3 6" xfId="34210"/>
    <cellStyle name="Normalny 2 2 2 6 4" xfId="34211"/>
    <cellStyle name="Normalny 2 2 2 6 4 2" xfId="34212"/>
    <cellStyle name="Normalny 2 2 2 6 4 2 2" xfId="34213"/>
    <cellStyle name="Normalny 2 2 2 6 4 2 2 2" xfId="34214"/>
    <cellStyle name="Normalny 2 2 2 6 4 2 3" xfId="34215"/>
    <cellStyle name="Normalny 2 2 2 6 4 3" xfId="34216"/>
    <cellStyle name="Normalny 2 2 2 6 4 3 2" xfId="34217"/>
    <cellStyle name="Normalny 2 2 2 6 4 3 2 2" xfId="34218"/>
    <cellStyle name="Normalny 2 2 2 6 4 3 3" xfId="34219"/>
    <cellStyle name="Normalny 2 2 2 6 4 4" xfId="34220"/>
    <cellStyle name="Normalny 2 2 2 6 4 4 2" xfId="34221"/>
    <cellStyle name="Normalny 2 2 2 6 4 4 2 2" xfId="34222"/>
    <cellStyle name="Normalny 2 2 2 6 4 4 3" xfId="34223"/>
    <cellStyle name="Normalny 2 2 2 6 4 5" xfId="34224"/>
    <cellStyle name="Normalny 2 2 2 6 4 5 2" xfId="34225"/>
    <cellStyle name="Normalny 2 2 2 6 4 6" xfId="34226"/>
    <cellStyle name="Normalny 2 2 2 6 5" xfId="34227"/>
    <cellStyle name="Normalny 2 2 2 6 5 2" xfId="34228"/>
    <cellStyle name="Normalny 2 2 2 6 5 2 2" xfId="34229"/>
    <cellStyle name="Normalny 2 2 2 6 5 2 2 2" xfId="34230"/>
    <cellStyle name="Normalny 2 2 2 6 5 2 3" xfId="34231"/>
    <cellStyle name="Normalny 2 2 2 6 5 3" xfId="34232"/>
    <cellStyle name="Normalny 2 2 2 6 5 3 2" xfId="34233"/>
    <cellStyle name="Normalny 2 2 2 6 5 3 2 2" xfId="34234"/>
    <cellStyle name="Normalny 2 2 2 6 5 3 3" xfId="34235"/>
    <cellStyle name="Normalny 2 2 2 6 5 4" xfId="34236"/>
    <cellStyle name="Normalny 2 2 2 6 5 4 2" xfId="34237"/>
    <cellStyle name="Normalny 2 2 2 6 5 4 2 2" xfId="34238"/>
    <cellStyle name="Normalny 2 2 2 6 5 4 3" xfId="34239"/>
    <cellStyle name="Normalny 2 2 2 6 5 5" xfId="34240"/>
    <cellStyle name="Normalny 2 2 2 6 5 5 2" xfId="34241"/>
    <cellStyle name="Normalny 2 2 2 6 5 6" xfId="34242"/>
    <cellStyle name="Normalny 2 2 2 7" xfId="34243"/>
    <cellStyle name="Normalny 2 2 2 7 2" xfId="34244"/>
    <cellStyle name="Normalny 2 2 2 7 2 2" xfId="34245"/>
    <cellStyle name="Normalny 2 2 2 7 2 2 2" xfId="34246"/>
    <cellStyle name="Normalny 2 2 2 7 2 2 2 2" xfId="34247"/>
    <cellStyle name="Normalny 2 2 2 7 2 2 3" xfId="34248"/>
    <cellStyle name="Normalny 2 2 2 7 2 3" xfId="34249"/>
    <cellStyle name="Normalny 2 2 2 7 2 3 2" xfId="34250"/>
    <cellStyle name="Normalny 2 2 2 7 2 3 2 2" xfId="34251"/>
    <cellStyle name="Normalny 2 2 2 7 2 3 3" xfId="34252"/>
    <cellStyle name="Normalny 2 2 2 7 2 4" xfId="34253"/>
    <cellStyle name="Normalny 2 2 2 7 2 4 2" xfId="34254"/>
    <cellStyle name="Normalny 2 2 2 7 2 4 2 2" xfId="34255"/>
    <cellStyle name="Normalny 2 2 2 7 2 4 3" xfId="34256"/>
    <cellStyle name="Normalny 2 2 2 7 2 5" xfId="34257"/>
    <cellStyle name="Normalny 2 2 2 7 2 5 2" xfId="34258"/>
    <cellStyle name="Normalny 2 2 2 7 2 6" xfId="34259"/>
    <cellStyle name="Normalny 2 2 2 7 3" xfId="34260"/>
    <cellStyle name="Normalny 2 2 2 7 3 2" xfId="34261"/>
    <cellStyle name="Normalny 2 2 2 7 3 2 2" xfId="34262"/>
    <cellStyle name="Normalny 2 2 2 7 3 2 2 2" xfId="34263"/>
    <cellStyle name="Normalny 2 2 2 7 3 2 3" xfId="34264"/>
    <cellStyle name="Normalny 2 2 2 7 3 3" xfId="34265"/>
    <cellStyle name="Normalny 2 2 2 7 3 3 2" xfId="34266"/>
    <cellStyle name="Normalny 2 2 2 7 3 3 2 2" xfId="34267"/>
    <cellStyle name="Normalny 2 2 2 7 3 3 3" xfId="34268"/>
    <cellStyle name="Normalny 2 2 2 7 3 4" xfId="34269"/>
    <cellStyle name="Normalny 2 2 2 7 3 4 2" xfId="34270"/>
    <cellStyle name="Normalny 2 2 2 7 3 4 2 2" xfId="34271"/>
    <cellStyle name="Normalny 2 2 2 7 3 4 3" xfId="34272"/>
    <cellStyle name="Normalny 2 2 2 7 3 5" xfId="34273"/>
    <cellStyle name="Normalny 2 2 2 7 3 5 2" xfId="34274"/>
    <cellStyle name="Normalny 2 2 2 7 3 6" xfId="34275"/>
    <cellStyle name="Normalny 2 2 2 8" xfId="34276"/>
    <cellStyle name="Normalny 2 2 2 8 2" xfId="34277"/>
    <cellStyle name="Normalny 2 2 2 8 2 2" xfId="34278"/>
    <cellStyle name="Normalny 2 2 2 8 2 2 2" xfId="34279"/>
    <cellStyle name="Normalny 2 2 2 8 2 2 2 2" xfId="34280"/>
    <cellStyle name="Normalny 2 2 2 8 2 2 3" xfId="34281"/>
    <cellStyle name="Normalny 2 2 2 8 2 3" xfId="34282"/>
    <cellStyle name="Normalny 2 2 2 8 2 3 2" xfId="34283"/>
    <cellStyle name="Normalny 2 2 2 8 2 3 2 2" xfId="34284"/>
    <cellStyle name="Normalny 2 2 2 8 2 3 3" xfId="34285"/>
    <cellStyle name="Normalny 2 2 2 8 2 4" xfId="34286"/>
    <cellStyle name="Normalny 2 2 2 8 2 4 2" xfId="34287"/>
    <cellStyle name="Normalny 2 2 2 8 2 4 2 2" xfId="34288"/>
    <cellStyle name="Normalny 2 2 2 8 2 4 3" xfId="34289"/>
    <cellStyle name="Normalny 2 2 2 8 2 5" xfId="34290"/>
    <cellStyle name="Normalny 2 2 2 8 2 5 2" xfId="34291"/>
    <cellStyle name="Normalny 2 2 2 8 2 6" xfId="34292"/>
    <cellStyle name="Normalny 2 2 2 9" xfId="34293"/>
    <cellStyle name="Normalny 2 2 2 9 2" xfId="34294"/>
    <cellStyle name="Normalny 2 2 2 9 2 2" xfId="34295"/>
    <cellStyle name="Normalny 2 2 2 9 2 2 2" xfId="34296"/>
    <cellStyle name="Normalny 2 2 2 9 2 2 2 2" xfId="34297"/>
    <cellStyle name="Normalny 2 2 2 9 2 2 3" xfId="34298"/>
    <cellStyle name="Normalny 2 2 2 9 2 3" xfId="34299"/>
    <cellStyle name="Normalny 2 2 2 9 2 3 2" xfId="34300"/>
    <cellStyle name="Normalny 2 2 2 9 2 3 2 2" xfId="34301"/>
    <cellStyle name="Normalny 2 2 2 9 2 3 3" xfId="34302"/>
    <cellStyle name="Normalny 2 2 2 9 2 4" xfId="34303"/>
    <cellStyle name="Normalny 2 2 2 9 2 4 2" xfId="34304"/>
    <cellStyle name="Normalny 2 2 2 9 2 4 2 2" xfId="34305"/>
    <cellStyle name="Normalny 2 2 2 9 2 4 3" xfId="34306"/>
    <cellStyle name="Normalny 2 2 2 9 2 5" xfId="34307"/>
    <cellStyle name="Normalny 2 2 2 9 2 5 2" xfId="34308"/>
    <cellStyle name="Normalny 2 2 2 9 2 6" xfId="34309"/>
    <cellStyle name="Normalny 2 2 2_2011'05 Raport PGE_DO-CO2" xfId="34310"/>
    <cellStyle name="Normalny 2 2 20" xfId="34311"/>
    <cellStyle name="Normalny 2 2 20 2" xfId="34312"/>
    <cellStyle name="Normalny 2 2 20 3" xfId="34313"/>
    <cellStyle name="Normalny 2 2 21" xfId="34314"/>
    <cellStyle name="Normalny 2 2 22" xfId="34315"/>
    <cellStyle name="Normalny 2 2 23" xfId="34316"/>
    <cellStyle name="Normalny 2 2 24" xfId="34317"/>
    <cellStyle name="Normalny 2 2 25" xfId="34318"/>
    <cellStyle name="Normalny 2 2 26" xfId="34319"/>
    <cellStyle name="Normalny 2 2 3" xfId="34320"/>
    <cellStyle name="Normalny 2 2 3 2" xfId="34321"/>
    <cellStyle name="Normalny 2 2 3 2 10" xfId="34322"/>
    <cellStyle name="Normalny 2 2 3 2 10 2" xfId="34323"/>
    <cellStyle name="Normalny 2 2 3 2 11" xfId="34324"/>
    <cellStyle name="Normalny 2 2 3 2 2" xfId="34325"/>
    <cellStyle name="Normalny 2 2 3 2 2 10" xfId="34326"/>
    <cellStyle name="Normalny 2 2 3 2 2 2" xfId="34327"/>
    <cellStyle name="Normalny 2 2 3 2 2 2 2" xfId="34328"/>
    <cellStyle name="Normalny 2 2 3 2 2 2 2 2" xfId="34329"/>
    <cellStyle name="Normalny 2 2 3 2 2 2 2 2 2" xfId="34330"/>
    <cellStyle name="Normalny 2 2 3 2 2 2 2 2 2 2" xfId="34331"/>
    <cellStyle name="Normalny 2 2 3 2 2 2 2 2 2 2 2" xfId="34332"/>
    <cellStyle name="Normalny 2 2 3 2 2 2 2 2 2 3" xfId="34333"/>
    <cellStyle name="Normalny 2 2 3 2 2 2 2 2 3" xfId="34334"/>
    <cellStyle name="Normalny 2 2 3 2 2 2 2 2 3 2" xfId="34335"/>
    <cellStyle name="Normalny 2 2 3 2 2 2 2 2 3 2 2" xfId="34336"/>
    <cellStyle name="Normalny 2 2 3 2 2 2 2 2 3 3" xfId="34337"/>
    <cellStyle name="Normalny 2 2 3 2 2 2 2 2 4" xfId="34338"/>
    <cellStyle name="Normalny 2 2 3 2 2 2 2 2 4 2" xfId="34339"/>
    <cellStyle name="Normalny 2 2 3 2 2 2 2 2 4 2 2" xfId="34340"/>
    <cellStyle name="Normalny 2 2 3 2 2 2 2 2 4 3" xfId="34341"/>
    <cellStyle name="Normalny 2 2 3 2 2 2 2 2 5" xfId="34342"/>
    <cellStyle name="Normalny 2 2 3 2 2 2 2 2 5 2" xfId="34343"/>
    <cellStyle name="Normalny 2 2 3 2 2 2 2 2 6" xfId="34344"/>
    <cellStyle name="Normalny 2 2 3 2 2 2 2 3" xfId="34345"/>
    <cellStyle name="Normalny 2 2 3 2 2 2 2 3 2" xfId="34346"/>
    <cellStyle name="Normalny 2 2 3 2 2 2 2 3 2 2" xfId="34347"/>
    <cellStyle name="Normalny 2 2 3 2 2 2 2 3 3" xfId="34348"/>
    <cellStyle name="Normalny 2 2 3 2 2 2 2 4" xfId="34349"/>
    <cellStyle name="Normalny 2 2 3 2 2 2 2 4 2" xfId="34350"/>
    <cellStyle name="Normalny 2 2 3 2 2 2 2 4 2 2" xfId="34351"/>
    <cellStyle name="Normalny 2 2 3 2 2 2 2 4 3" xfId="34352"/>
    <cellStyle name="Normalny 2 2 3 2 2 2 2 5" xfId="34353"/>
    <cellStyle name="Normalny 2 2 3 2 2 2 2 5 2" xfId="34354"/>
    <cellStyle name="Normalny 2 2 3 2 2 2 2 5 2 2" xfId="34355"/>
    <cellStyle name="Normalny 2 2 3 2 2 2 2 5 3" xfId="34356"/>
    <cellStyle name="Normalny 2 2 3 2 2 2 2 6" xfId="34357"/>
    <cellStyle name="Normalny 2 2 3 2 2 2 2 6 2" xfId="34358"/>
    <cellStyle name="Normalny 2 2 3 2 2 2 2 7" xfId="34359"/>
    <cellStyle name="Normalny 2 2 3 2 2 2 3" xfId="34360"/>
    <cellStyle name="Normalny 2 2 3 2 2 2 3 2" xfId="34361"/>
    <cellStyle name="Normalny 2 2 3 2 2 2 3 2 2" xfId="34362"/>
    <cellStyle name="Normalny 2 2 3 2 2 2 3 2 2 2" xfId="34363"/>
    <cellStyle name="Normalny 2 2 3 2 2 2 3 2 3" xfId="34364"/>
    <cellStyle name="Normalny 2 2 3 2 2 2 3 3" xfId="34365"/>
    <cellStyle name="Normalny 2 2 3 2 2 2 3 3 2" xfId="34366"/>
    <cellStyle name="Normalny 2 2 3 2 2 2 3 3 2 2" xfId="34367"/>
    <cellStyle name="Normalny 2 2 3 2 2 2 3 3 3" xfId="34368"/>
    <cellStyle name="Normalny 2 2 3 2 2 2 3 4" xfId="34369"/>
    <cellStyle name="Normalny 2 2 3 2 2 2 3 4 2" xfId="34370"/>
    <cellStyle name="Normalny 2 2 3 2 2 2 3 4 2 2" xfId="34371"/>
    <cellStyle name="Normalny 2 2 3 2 2 2 3 4 3" xfId="34372"/>
    <cellStyle name="Normalny 2 2 3 2 2 2 3 5" xfId="34373"/>
    <cellStyle name="Normalny 2 2 3 2 2 2 3 5 2" xfId="34374"/>
    <cellStyle name="Normalny 2 2 3 2 2 2 3 6" xfId="34375"/>
    <cellStyle name="Normalny 2 2 3 2 2 2 4" xfId="34376"/>
    <cellStyle name="Normalny 2 2 3 2 2 2 4 2" xfId="34377"/>
    <cellStyle name="Normalny 2 2 3 2 2 2 4 2 2" xfId="34378"/>
    <cellStyle name="Normalny 2 2 3 2 2 2 4 2 2 2" xfId="34379"/>
    <cellStyle name="Normalny 2 2 3 2 2 2 4 2 3" xfId="34380"/>
    <cellStyle name="Normalny 2 2 3 2 2 2 4 3" xfId="34381"/>
    <cellStyle name="Normalny 2 2 3 2 2 2 4 3 2" xfId="34382"/>
    <cellStyle name="Normalny 2 2 3 2 2 2 4 3 2 2" xfId="34383"/>
    <cellStyle name="Normalny 2 2 3 2 2 2 4 3 3" xfId="34384"/>
    <cellStyle name="Normalny 2 2 3 2 2 2 4 4" xfId="34385"/>
    <cellStyle name="Normalny 2 2 3 2 2 2 4 4 2" xfId="34386"/>
    <cellStyle name="Normalny 2 2 3 2 2 2 4 4 2 2" xfId="34387"/>
    <cellStyle name="Normalny 2 2 3 2 2 2 4 4 3" xfId="34388"/>
    <cellStyle name="Normalny 2 2 3 2 2 2 4 5" xfId="34389"/>
    <cellStyle name="Normalny 2 2 3 2 2 2 4 5 2" xfId="34390"/>
    <cellStyle name="Normalny 2 2 3 2 2 2 4 6" xfId="34391"/>
    <cellStyle name="Normalny 2 2 3 2 2 2 5" xfId="34392"/>
    <cellStyle name="Normalny 2 2 3 2 2 2 5 2" xfId="34393"/>
    <cellStyle name="Normalny 2 2 3 2 2 2 5 2 2" xfId="34394"/>
    <cellStyle name="Normalny 2 2 3 2 2 2 5 3" xfId="34395"/>
    <cellStyle name="Normalny 2 2 3 2 2 2 6" xfId="34396"/>
    <cellStyle name="Normalny 2 2 3 2 2 2 6 2" xfId="34397"/>
    <cellStyle name="Normalny 2 2 3 2 2 2 6 2 2" xfId="34398"/>
    <cellStyle name="Normalny 2 2 3 2 2 2 6 3" xfId="34399"/>
    <cellStyle name="Normalny 2 2 3 2 2 2 7" xfId="34400"/>
    <cellStyle name="Normalny 2 2 3 2 2 2 7 2" xfId="34401"/>
    <cellStyle name="Normalny 2 2 3 2 2 2 7 2 2" xfId="34402"/>
    <cellStyle name="Normalny 2 2 3 2 2 2 7 3" xfId="34403"/>
    <cellStyle name="Normalny 2 2 3 2 2 2 8" xfId="34404"/>
    <cellStyle name="Normalny 2 2 3 2 2 2 8 2" xfId="34405"/>
    <cellStyle name="Normalny 2 2 3 2 2 2 9" xfId="34406"/>
    <cellStyle name="Normalny 2 2 3 2 2 3" xfId="34407"/>
    <cellStyle name="Normalny 2 2 3 2 2 3 2" xfId="34408"/>
    <cellStyle name="Normalny 2 2 3 2 2 3 2 2" xfId="34409"/>
    <cellStyle name="Normalny 2 2 3 2 2 3 2 2 2" xfId="34410"/>
    <cellStyle name="Normalny 2 2 3 2 2 3 2 2 2 2" xfId="34411"/>
    <cellStyle name="Normalny 2 2 3 2 2 3 2 2 3" xfId="34412"/>
    <cellStyle name="Normalny 2 2 3 2 2 3 2 3" xfId="34413"/>
    <cellStyle name="Normalny 2 2 3 2 2 3 2 3 2" xfId="34414"/>
    <cellStyle name="Normalny 2 2 3 2 2 3 2 3 2 2" xfId="34415"/>
    <cellStyle name="Normalny 2 2 3 2 2 3 2 3 3" xfId="34416"/>
    <cellStyle name="Normalny 2 2 3 2 2 3 2 4" xfId="34417"/>
    <cellStyle name="Normalny 2 2 3 2 2 3 2 4 2" xfId="34418"/>
    <cellStyle name="Normalny 2 2 3 2 2 3 2 4 2 2" xfId="34419"/>
    <cellStyle name="Normalny 2 2 3 2 2 3 2 4 3" xfId="34420"/>
    <cellStyle name="Normalny 2 2 3 2 2 3 2 5" xfId="34421"/>
    <cellStyle name="Normalny 2 2 3 2 2 3 2 5 2" xfId="34422"/>
    <cellStyle name="Normalny 2 2 3 2 2 3 2 6" xfId="34423"/>
    <cellStyle name="Normalny 2 2 3 2 2 3 3" xfId="34424"/>
    <cellStyle name="Normalny 2 2 3 2 2 3 3 2" xfId="34425"/>
    <cellStyle name="Normalny 2 2 3 2 2 3 3 2 2" xfId="34426"/>
    <cellStyle name="Normalny 2 2 3 2 2 3 3 3" xfId="34427"/>
    <cellStyle name="Normalny 2 2 3 2 2 3 4" xfId="34428"/>
    <cellStyle name="Normalny 2 2 3 2 2 3 4 2" xfId="34429"/>
    <cellStyle name="Normalny 2 2 3 2 2 3 4 2 2" xfId="34430"/>
    <cellStyle name="Normalny 2 2 3 2 2 3 4 3" xfId="34431"/>
    <cellStyle name="Normalny 2 2 3 2 2 3 5" xfId="34432"/>
    <cellStyle name="Normalny 2 2 3 2 2 3 5 2" xfId="34433"/>
    <cellStyle name="Normalny 2 2 3 2 2 3 5 2 2" xfId="34434"/>
    <cellStyle name="Normalny 2 2 3 2 2 3 5 3" xfId="34435"/>
    <cellStyle name="Normalny 2 2 3 2 2 3 6" xfId="34436"/>
    <cellStyle name="Normalny 2 2 3 2 2 3 6 2" xfId="34437"/>
    <cellStyle name="Normalny 2 2 3 2 2 3 7" xfId="34438"/>
    <cellStyle name="Normalny 2 2 3 2 2 4" xfId="34439"/>
    <cellStyle name="Normalny 2 2 3 2 2 4 2" xfId="34440"/>
    <cellStyle name="Normalny 2 2 3 2 2 4 2 2" xfId="34441"/>
    <cellStyle name="Normalny 2 2 3 2 2 4 2 2 2" xfId="34442"/>
    <cellStyle name="Normalny 2 2 3 2 2 4 2 3" xfId="34443"/>
    <cellStyle name="Normalny 2 2 3 2 2 4 3" xfId="34444"/>
    <cellStyle name="Normalny 2 2 3 2 2 4 3 2" xfId="34445"/>
    <cellStyle name="Normalny 2 2 3 2 2 4 3 2 2" xfId="34446"/>
    <cellStyle name="Normalny 2 2 3 2 2 4 3 3" xfId="34447"/>
    <cellStyle name="Normalny 2 2 3 2 2 4 4" xfId="34448"/>
    <cellStyle name="Normalny 2 2 3 2 2 4 4 2" xfId="34449"/>
    <cellStyle name="Normalny 2 2 3 2 2 4 4 2 2" xfId="34450"/>
    <cellStyle name="Normalny 2 2 3 2 2 4 4 3" xfId="34451"/>
    <cellStyle name="Normalny 2 2 3 2 2 4 5" xfId="34452"/>
    <cellStyle name="Normalny 2 2 3 2 2 4 5 2" xfId="34453"/>
    <cellStyle name="Normalny 2 2 3 2 2 4 6" xfId="34454"/>
    <cellStyle name="Normalny 2 2 3 2 2 5" xfId="34455"/>
    <cellStyle name="Normalny 2 2 3 2 2 5 2" xfId="34456"/>
    <cellStyle name="Normalny 2 2 3 2 2 5 2 2" xfId="34457"/>
    <cellStyle name="Normalny 2 2 3 2 2 5 2 2 2" xfId="34458"/>
    <cellStyle name="Normalny 2 2 3 2 2 5 2 3" xfId="34459"/>
    <cellStyle name="Normalny 2 2 3 2 2 5 3" xfId="34460"/>
    <cellStyle name="Normalny 2 2 3 2 2 5 3 2" xfId="34461"/>
    <cellStyle name="Normalny 2 2 3 2 2 5 3 2 2" xfId="34462"/>
    <cellStyle name="Normalny 2 2 3 2 2 5 3 3" xfId="34463"/>
    <cellStyle name="Normalny 2 2 3 2 2 5 4" xfId="34464"/>
    <cellStyle name="Normalny 2 2 3 2 2 5 4 2" xfId="34465"/>
    <cellStyle name="Normalny 2 2 3 2 2 5 4 2 2" xfId="34466"/>
    <cellStyle name="Normalny 2 2 3 2 2 5 4 3" xfId="34467"/>
    <cellStyle name="Normalny 2 2 3 2 2 5 5" xfId="34468"/>
    <cellStyle name="Normalny 2 2 3 2 2 5 5 2" xfId="34469"/>
    <cellStyle name="Normalny 2 2 3 2 2 5 6" xfId="34470"/>
    <cellStyle name="Normalny 2 2 3 2 2 6" xfId="34471"/>
    <cellStyle name="Normalny 2 2 3 2 2 6 2" xfId="34472"/>
    <cellStyle name="Normalny 2 2 3 2 2 6 2 2" xfId="34473"/>
    <cellStyle name="Normalny 2 2 3 2 2 6 3" xfId="34474"/>
    <cellStyle name="Normalny 2 2 3 2 2 7" xfId="34475"/>
    <cellStyle name="Normalny 2 2 3 2 2 7 2" xfId="34476"/>
    <cellStyle name="Normalny 2 2 3 2 2 7 2 2" xfId="34477"/>
    <cellStyle name="Normalny 2 2 3 2 2 7 3" xfId="34478"/>
    <cellStyle name="Normalny 2 2 3 2 2 8" xfId="34479"/>
    <cellStyle name="Normalny 2 2 3 2 2 8 2" xfId="34480"/>
    <cellStyle name="Normalny 2 2 3 2 2 8 2 2" xfId="34481"/>
    <cellStyle name="Normalny 2 2 3 2 2 8 3" xfId="34482"/>
    <cellStyle name="Normalny 2 2 3 2 2 9" xfId="34483"/>
    <cellStyle name="Normalny 2 2 3 2 2 9 2" xfId="34484"/>
    <cellStyle name="Normalny 2 2 3 2 3" xfId="34485"/>
    <cellStyle name="Normalny 2 2 3 2 3 2" xfId="34486"/>
    <cellStyle name="Normalny 2 2 3 2 3 2 2" xfId="34487"/>
    <cellStyle name="Normalny 2 2 3 2 3 2 2 2" xfId="34488"/>
    <cellStyle name="Normalny 2 2 3 2 3 2 2 2 2" xfId="34489"/>
    <cellStyle name="Normalny 2 2 3 2 3 2 2 2 2 2" xfId="34490"/>
    <cellStyle name="Normalny 2 2 3 2 3 2 2 2 3" xfId="34491"/>
    <cellStyle name="Normalny 2 2 3 2 3 2 2 3" xfId="34492"/>
    <cellStyle name="Normalny 2 2 3 2 3 2 2 3 2" xfId="34493"/>
    <cellStyle name="Normalny 2 2 3 2 3 2 2 3 2 2" xfId="34494"/>
    <cellStyle name="Normalny 2 2 3 2 3 2 2 3 3" xfId="34495"/>
    <cellStyle name="Normalny 2 2 3 2 3 2 2 4" xfId="34496"/>
    <cellStyle name="Normalny 2 2 3 2 3 2 2 4 2" xfId="34497"/>
    <cellStyle name="Normalny 2 2 3 2 3 2 2 4 2 2" xfId="34498"/>
    <cellStyle name="Normalny 2 2 3 2 3 2 2 4 3" xfId="34499"/>
    <cellStyle name="Normalny 2 2 3 2 3 2 2 5" xfId="34500"/>
    <cellStyle name="Normalny 2 2 3 2 3 2 2 5 2" xfId="34501"/>
    <cellStyle name="Normalny 2 2 3 2 3 2 2 6" xfId="34502"/>
    <cellStyle name="Normalny 2 2 3 2 3 2 3" xfId="34503"/>
    <cellStyle name="Normalny 2 2 3 2 3 2 3 2" xfId="34504"/>
    <cellStyle name="Normalny 2 2 3 2 3 2 3 2 2" xfId="34505"/>
    <cellStyle name="Normalny 2 2 3 2 3 2 3 3" xfId="34506"/>
    <cellStyle name="Normalny 2 2 3 2 3 2 4" xfId="34507"/>
    <cellStyle name="Normalny 2 2 3 2 3 2 4 2" xfId="34508"/>
    <cellStyle name="Normalny 2 2 3 2 3 2 4 2 2" xfId="34509"/>
    <cellStyle name="Normalny 2 2 3 2 3 2 4 3" xfId="34510"/>
    <cellStyle name="Normalny 2 2 3 2 3 2 5" xfId="34511"/>
    <cellStyle name="Normalny 2 2 3 2 3 2 5 2" xfId="34512"/>
    <cellStyle name="Normalny 2 2 3 2 3 2 5 2 2" xfId="34513"/>
    <cellStyle name="Normalny 2 2 3 2 3 2 5 3" xfId="34514"/>
    <cellStyle name="Normalny 2 2 3 2 3 2 6" xfId="34515"/>
    <cellStyle name="Normalny 2 2 3 2 3 2 6 2" xfId="34516"/>
    <cellStyle name="Normalny 2 2 3 2 3 2 7" xfId="34517"/>
    <cellStyle name="Normalny 2 2 3 2 3 3" xfId="34518"/>
    <cellStyle name="Normalny 2 2 3 2 3 3 2" xfId="34519"/>
    <cellStyle name="Normalny 2 2 3 2 3 3 2 2" xfId="34520"/>
    <cellStyle name="Normalny 2 2 3 2 3 3 2 2 2" xfId="34521"/>
    <cellStyle name="Normalny 2 2 3 2 3 3 2 3" xfId="34522"/>
    <cellStyle name="Normalny 2 2 3 2 3 3 3" xfId="34523"/>
    <cellStyle name="Normalny 2 2 3 2 3 3 3 2" xfId="34524"/>
    <cellStyle name="Normalny 2 2 3 2 3 3 3 2 2" xfId="34525"/>
    <cellStyle name="Normalny 2 2 3 2 3 3 3 3" xfId="34526"/>
    <cellStyle name="Normalny 2 2 3 2 3 3 4" xfId="34527"/>
    <cellStyle name="Normalny 2 2 3 2 3 3 4 2" xfId="34528"/>
    <cellStyle name="Normalny 2 2 3 2 3 3 4 2 2" xfId="34529"/>
    <cellStyle name="Normalny 2 2 3 2 3 3 4 3" xfId="34530"/>
    <cellStyle name="Normalny 2 2 3 2 3 3 5" xfId="34531"/>
    <cellStyle name="Normalny 2 2 3 2 3 3 5 2" xfId="34532"/>
    <cellStyle name="Normalny 2 2 3 2 3 3 6" xfId="34533"/>
    <cellStyle name="Normalny 2 2 3 2 3 4" xfId="34534"/>
    <cellStyle name="Normalny 2 2 3 2 3 4 2" xfId="34535"/>
    <cellStyle name="Normalny 2 2 3 2 3 4 2 2" xfId="34536"/>
    <cellStyle name="Normalny 2 2 3 2 3 4 2 2 2" xfId="34537"/>
    <cellStyle name="Normalny 2 2 3 2 3 4 2 3" xfId="34538"/>
    <cellStyle name="Normalny 2 2 3 2 3 4 3" xfId="34539"/>
    <cellStyle name="Normalny 2 2 3 2 3 4 3 2" xfId="34540"/>
    <cellStyle name="Normalny 2 2 3 2 3 4 3 2 2" xfId="34541"/>
    <cellStyle name="Normalny 2 2 3 2 3 4 3 3" xfId="34542"/>
    <cellStyle name="Normalny 2 2 3 2 3 4 4" xfId="34543"/>
    <cellStyle name="Normalny 2 2 3 2 3 4 4 2" xfId="34544"/>
    <cellStyle name="Normalny 2 2 3 2 3 4 4 2 2" xfId="34545"/>
    <cellStyle name="Normalny 2 2 3 2 3 4 4 3" xfId="34546"/>
    <cellStyle name="Normalny 2 2 3 2 3 4 5" xfId="34547"/>
    <cellStyle name="Normalny 2 2 3 2 3 4 5 2" xfId="34548"/>
    <cellStyle name="Normalny 2 2 3 2 3 4 6" xfId="34549"/>
    <cellStyle name="Normalny 2 2 3 2 3 5" xfId="34550"/>
    <cellStyle name="Normalny 2 2 3 2 3 5 2" xfId="34551"/>
    <cellStyle name="Normalny 2 2 3 2 3 5 2 2" xfId="34552"/>
    <cellStyle name="Normalny 2 2 3 2 3 5 3" xfId="34553"/>
    <cellStyle name="Normalny 2 2 3 2 3 6" xfId="34554"/>
    <cellStyle name="Normalny 2 2 3 2 3 6 2" xfId="34555"/>
    <cellStyle name="Normalny 2 2 3 2 3 6 2 2" xfId="34556"/>
    <cellStyle name="Normalny 2 2 3 2 3 6 3" xfId="34557"/>
    <cellStyle name="Normalny 2 2 3 2 3 7" xfId="34558"/>
    <cellStyle name="Normalny 2 2 3 2 3 7 2" xfId="34559"/>
    <cellStyle name="Normalny 2 2 3 2 3 7 2 2" xfId="34560"/>
    <cellStyle name="Normalny 2 2 3 2 3 7 3" xfId="34561"/>
    <cellStyle name="Normalny 2 2 3 2 3 8" xfId="34562"/>
    <cellStyle name="Normalny 2 2 3 2 3 8 2" xfId="34563"/>
    <cellStyle name="Normalny 2 2 3 2 3 9" xfId="34564"/>
    <cellStyle name="Normalny 2 2 3 2 4" xfId="34565"/>
    <cellStyle name="Normalny 2 2 3 2 4 2" xfId="34566"/>
    <cellStyle name="Normalny 2 2 3 2 4 2 2" xfId="34567"/>
    <cellStyle name="Normalny 2 2 3 2 4 2 2 2" xfId="34568"/>
    <cellStyle name="Normalny 2 2 3 2 4 2 2 2 2" xfId="34569"/>
    <cellStyle name="Normalny 2 2 3 2 4 2 2 3" xfId="34570"/>
    <cellStyle name="Normalny 2 2 3 2 4 2 3" xfId="34571"/>
    <cellStyle name="Normalny 2 2 3 2 4 2 3 2" xfId="34572"/>
    <cellStyle name="Normalny 2 2 3 2 4 2 3 2 2" xfId="34573"/>
    <cellStyle name="Normalny 2 2 3 2 4 2 3 3" xfId="34574"/>
    <cellStyle name="Normalny 2 2 3 2 4 2 4" xfId="34575"/>
    <cellStyle name="Normalny 2 2 3 2 4 2 4 2" xfId="34576"/>
    <cellStyle name="Normalny 2 2 3 2 4 2 4 2 2" xfId="34577"/>
    <cellStyle name="Normalny 2 2 3 2 4 2 4 3" xfId="34578"/>
    <cellStyle name="Normalny 2 2 3 2 4 2 5" xfId="34579"/>
    <cellStyle name="Normalny 2 2 3 2 4 2 5 2" xfId="34580"/>
    <cellStyle name="Normalny 2 2 3 2 4 2 6" xfId="34581"/>
    <cellStyle name="Normalny 2 2 3 2 4 3" xfId="34582"/>
    <cellStyle name="Normalny 2 2 3 2 4 3 2" xfId="34583"/>
    <cellStyle name="Normalny 2 2 3 2 4 3 2 2" xfId="34584"/>
    <cellStyle name="Normalny 2 2 3 2 4 3 3" xfId="34585"/>
    <cellStyle name="Normalny 2 2 3 2 4 4" xfId="34586"/>
    <cellStyle name="Normalny 2 2 3 2 4 4 2" xfId="34587"/>
    <cellStyle name="Normalny 2 2 3 2 4 4 2 2" xfId="34588"/>
    <cellStyle name="Normalny 2 2 3 2 4 4 3" xfId="34589"/>
    <cellStyle name="Normalny 2 2 3 2 4 5" xfId="34590"/>
    <cellStyle name="Normalny 2 2 3 2 4 5 2" xfId="34591"/>
    <cellStyle name="Normalny 2 2 3 2 4 5 2 2" xfId="34592"/>
    <cellStyle name="Normalny 2 2 3 2 4 5 3" xfId="34593"/>
    <cellStyle name="Normalny 2 2 3 2 4 6" xfId="34594"/>
    <cellStyle name="Normalny 2 2 3 2 4 6 2" xfId="34595"/>
    <cellStyle name="Normalny 2 2 3 2 4 7" xfId="34596"/>
    <cellStyle name="Normalny 2 2 3 2 5" xfId="34597"/>
    <cellStyle name="Normalny 2 2 3 2 5 2" xfId="34598"/>
    <cellStyle name="Normalny 2 2 3 2 5 2 2" xfId="34599"/>
    <cellStyle name="Normalny 2 2 3 2 5 2 2 2" xfId="34600"/>
    <cellStyle name="Normalny 2 2 3 2 5 2 3" xfId="34601"/>
    <cellStyle name="Normalny 2 2 3 2 5 3" xfId="34602"/>
    <cellStyle name="Normalny 2 2 3 2 5 3 2" xfId="34603"/>
    <cellStyle name="Normalny 2 2 3 2 5 3 2 2" xfId="34604"/>
    <cellStyle name="Normalny 2 2 3 2 5 3 3" xfId="34605"/>
    <cellStyle name="Normalny 2 2 3 2 5 4" xfId="34606"/>
    <cellStyle name="Normalny 2 2 3 2 5 4 2" xfId="34607"/>
    <cellStyle name="Normalny 2 2 3 2 5 4 2 2" xfId="34608"/>
    <cellStyle name="Normalny 2 2 3 2 5 4 3" xfId="34609"/>
    <cellStyle name="Normalny 2 2 3 2 5 5" xfId="34610"/>
    <cellStyle name="Normalny 2 2 3 2 5 5 2" xfId="34611"/>
    <cellStyle name="Normalny 2 2 3 2 5 6" xfId="34612"/>
    <cellStyle name="Normalny 2 2 3 2 6" xfId="34613"/>
    <cellStyle name="Normalny 2 2 3 2 6 2" xfId="34614"/>
    <cellStyle name="Normalny 2 2 3 2 6 2 2" xfId="34615"/>
    <cellStyle name="Normalny 2 2 3 2 6 2 2 2" xfId="34616"/>
    <cellStyle name="Normalny 2 2 3 2 6 2 3" xfId="34617"/>
    <cellStyle name="Normalny 2 2 3 2 6 3" xfId="34618"/>
    <cellStyle name="Normalny 2 2 3 2 6 3 2" xfId="34619"/>
    <cellStyle name="Normalny 2 2 3 2 6 3 2 2" xfId="34620"/>
    <cellStyle name="Normalny 2 2 3 2 6 3 3" xfId="34621"/>
    <cellStyle name="Normalny 2 2 3 2 6 4" xfId="34622"/>
    <cellStyle name="Normalny 2 2 3 2 6 4 2" xfId="34623"/>
    <cellStyle name="Normalny 2 2 3 2 6 4 2 2" xfId="34624"/>
    <cellStyle name="Normalny 2 2 3 2 6 4 3" xfId="34625"/>
    <cellStyle name="Normalny 2 2 3 2 6 5" xfId="34626"/>
    <cellStyle name="Normalny 2 2 3 2 6 5 2" xfId="34627"/>
    <cellStyle name="Normalny 2 2 3 2 6 6" xfId="34628"/>
    <cellStyle name="Normalny 2 2 3 2 7" xfId="34629"/>
    <cellStyle name="Normalny 2 2 3 2 7 2" xfId="34630"/>
    <cellStyle name="Normalny 2 2 3 2 7 2 2" xfId="34631"/>
    <cellStyle name="Normalny 2 2 3 2 7 3" xfId="34632"/>
    <cellStyle name="Normalny 2 2 3 2 8" xfId="34633"/>
    <cellStyle name="Normalny 2 2 3 2 8 2" xfId="34634"/>
    <cellStyle name="Normalny 2 2 3 2 8 2 2" xfId="34635"/>
    <cellStyle name="Normalny 2 2 3 2 8 3" xfId="34636"/>
    <cellStyle name="Normalny 2 2 3 2 9" xfId="34637"/>
    <cellStyle name="Normalny 2 2 3 2 9 2" xfId="34638"/>
    <cellStyle name="Normalny 2 2 3 2 9 2 2" xfId="34639"/>
    <cellStyle name="Normalny 2 2 3 2 9 3" xfId="34640"/>
    <cellStyle name="Normalny 2 2 3 3" xfId="34641"/>
    <cellStyle name="Normalny 2 2 3 3 10" xfId="34642"/>
    <cellStyle name="Normalny 2 2 3 3 2" xfId="34643"/>
    <cellStyle name="Normalny 2 2 3 3 2 2" xfId="34644"/>
    <cellStyle name="Normalny 2 2 3 3 2 2 2" xfId="34645"/>
    <cellStyle name="Normalny 2 2 3 3 2 2 2 2" xfId="34646"/>
    <cellStyle name="Normalny 2 2 3 3 2 2 2 2 2" xfId="34647"/>
    <cellStyle name="Normalny 2 2 3 3 2 2 2 2 2 2" xfId="34648"/>
    <cellStyle name="Normalny 2 2 3 3 2 2 2 2 3" xfId="34649"/>
    <cellStyle name="Normalny 2 2 3 3 2 2 2 3" xfId="34650"/>
    <cellStyle name="Normalny 2 2 3 3 2 2 2 3 2" xfId="34651"/>
    <cellStyle name="Normalny 2 2 3 3 2 2 2 3 2 2" xfId="34652"/>
    <cellStyle name="Normalny 2 2 3 3 2 2 2 3 3" xfId="34653"/>
    <cellStyle name="Normalny 2 2 3 3 2 2 2 4" xfId="34654"/>
    <cellStyle name="Normalny 2 2 3 3 2 2 2 4 2" xfId="34655"/>
    <cellStyle name="Normalny 2 2 3 3 2 2 2 4 2 2" xfId="34656"/>
    <cellStyle name="Normalny 2 2 3 3 2 2 2 4 3" xfId="34657"/>
    <cellStyle name="Normalny 2 2 3 3 2 2 2 5" xfId="34658"/>
    <cellStyle name="Normalny 2 2 3 3 2 2 2 5 2" xfId="34659"/>
    <cellStyle name="Normalny 2 2 3 3 2 2 2 6" xfId="34660"/>
    <cellStyle name="Normalny 2 2 3 3 2 2 3" xfId="34661"/>
    <cellStyle name="Normalny 2 2 3 3 2 2 3 2" xfId="34662"/>
    <cellStyle name="Normalny 2 2 3 3 2 2 3 2 2" xfId="34663"/>
    <cellStyle name="Normalny 2 2 3 3 2 2 3 3" xfId="34664"/>
    <cellStyle name="Normalny 2 2 3 3 2 2 4" xfId="34665"/>
    <cellStyle name="Normalny 2 2 3 3 2 2 4 2" xfId="34666"/>
    <cellStyle name="Normalny 2 2 3 3 2 2 4 2 2" xfId="34667"/>
    <cellStyle name="Normalny 2 2 3 3 2 2 4 3" xfId="34668"/>
    <cellStyle name="Normalny 2 2 3 3 2 2 5" xfId="34669"/>
    <cellStyle name="Normalny 2 2 3 3 2 2 5 2" xfId="34670"/>
    <cellStyle name="Normalny 2 2 3 3 2 2 5 2 2" xfId="34671"/>
    <cellStyle name="Normalny 2 2 3 3 2 2 5 3" xfId="34672"/>
    <cellStyle name="Normalny 2 2 3 3 2 2 6" xfId="34673"/>
    <cellStyle name="Normalny 2 2 3 3 2 2 6 2" xfId="34674"/>
    <cellStyle name="Normalny 2 2 3 3 2 2 7" xfId="34675"/>
    <cellStyle name="Normalny 2 2 3 3 2 3" xfId="34676"/>
    <cellStyle name="Normalny 2 2 3 3 2 3 2" xfId="34677"/>
    <cellStyle name="Normalny 2 2 3 3 2 3 2 2" xfId="34678"/>
    <cellStyle name="Normalny 2 2 3 3 2 3 2 2 2" xfId="34679"/>
    <cellStyle name="Normalny 2 2 3 3 2 3 2 3" xfId="34680"/>
    <cellStyle name="Normalny 2 2 3 3 2 3 3" xfId="34681"/>
    <cellStyle name="Normalny 2 2 3 3 2 3 3 2" xfId="34682"/>
    <cellStyle name="Normalny 2 2 3 3 2 3 3 2 2" xfId="34683"/>
    <cellStyle name="Normalny 2 2 3 3 2 3 3 3" xfId="34684"/>
    <cellStyle name="Normalny 2 2 3 3 2 3 4" xfId="34685"/>
    <cellStyle name="Normalny 2 2 3 3 2 3 4 2" xfId="34686"/>
    <cellStyle name="Normalny 2 2 3 3 2 3 4 2 2" xfId="34687"/>
    <cellStyle name="Normalny 2 2 3 3 2 3 4 3" xfId="34688"/>
    <cellStyle name="Normalny 2 2 3 3 2 3 5" xfId="34689"/>
    <cellStyle name="Normalny 2 2 3 3 2 3 5 2" xfId="34690"/>
    <cellStyle name="Normalny 2 2 3 3 2 3 6" xfId="34691"/>
    <cellStyle name="Normalny 2 2 3 3 2 4" xfId="34692"/>
    <cellStyle name="Normalny 2 2 3 3 2 4 2" xfId="34693"/>
    <cellStyle name="Normalny 2 2 3 3 2 4 2 2" xfId="34694"/>
    <cellStyle name="Normalny 2 2 3 3 2 4 2 2 2" xfId="34695"/>
    <cellStyle name="Normalny 2 2 3 3 2 4 2 3" xfId="34696"/>
    <cellStyle name="Normalny 2 2 3 3 2 4 3" xfId="34697"/>
    <cellStyle name="Normalny 2 2 3 3 2 4 3 2" xfId="34698"/>
    <cellStyle name="Normalny 2 2 3 3 2 4 3 2 2" xfId="34699"/>
    <cellStyle name="Normalny 2 2 3 3 2 4 3 3" xfId="34700"/>
    <cellStyle name="Normalny 2 2 3 3 2 4 4" xfId="34701"/>
    <cellStyle name="Normalny 2 2 3 3 2 4 4 2" xfId="34702"/>
    <cellStyle name="Normalny 2 2 3 3 2 4 4 2 2" xfId="34703"/>
    <cellStyle name="Normalny 2 2 3 3 2 4 4 3" xfId="34704"/>
    <cellStyle name="Normalny 2 2 3 3 2 4 5" xfId="34705"/>
    <cellStyle name="Normalny 2 2 3 3 2 4 5 2" xfId="34706"/>
    <cellStyle name="Normalny 2 2 3 3 2 4 6" xfId="34707"/>
    <cellStyle name="Normalny 2 2 3 3 2 5" xfId="34708"/>
    <cellStyle name="Normalny 2 2 3 3 2 5 2" xfId="34709"/>
    <cellStyle name="Normalny 2 2 3 3 2 5 2 2" xfId="34710"/>
    <cellStyle name="Normalny 2 2 3 3 2 5 3" xfId="34711"/>
    <cellStyle name="Normalny 2 2 3 3 2 6" xfId="34712"/>
    <cellStyle name="Normalny 2 2 3 3 2 6 2" xfId="34713"/>
    <cellStyle name="Normalny 2 2 3 3 2 6 2 2" xfId="34714"/>
    <cellStyle name="Normalny 2 2 3 3 2 6 3" xfId="34715"/>
    <cellStyle name="Normalny 2 2 3 3 2 7" xfId="34716"/>
    <cellStyle name="Normalny 2 2 3 3 2 7 2" xfId="34717"/>
    <cellStyle name="Normalny 2 2 3 3 2 7 2 2" xfId="34718"/>
    <cellStyle name="Normalny 2 2 3 3 2 7 3" xfId="34719"/>
    <cellStyle name="Normalny 2 2 3 3 2 8" xfId="34720"/>
    <cellStyle name="Normalny 2 2 3 3 2 8 2" xfId="34721"/>
    <cellStyle name="Normalny 2 2 3 3 2 9" xfId="34722"/>
    <cellStyle name="Normalny 2 2 3 3 3" xfId="34723"/>
    <cellStyle name="Normalny 2 2 3 3 3 2" xfId="34724"/>
    <cellStyle name="Normalny 2 2 3 3 3 2 2" xfId="34725"/>
    <cellStyle name="Normalny 2 2 3 3 3 2 2 2" xfId="34726"/>
    <cellStyle name="Normalny 2 2 3 3 3 2 2 2 2" xfId="34727"/>
    <cellStyle name="Normalny 2 2 3 3 3 2 2 3" xfId="34728"/>
    <cellStyle name="Normalny 2 2 3 3 3 2 3" xfId="34729"/>
    <cellStyle name="Normalny 2 2 3 3 3 2 3 2" xfId="34730"/>
    <cellStyle name="Normalny 2 2 3 3 3 2 3 2 2" xfId="34731"/>
    <cellStyle name="Normalny 2 2 3 3 3 2 3 3" xfId="34732"/>
    <cellStyle name="Normalny 2 2 3 3 3 2 4" xfId="34733"/>
    <cellStyle name="Normalny 2 2 3 3 3 2 4 2" xfId="34734"/>
    <cellStyle name="Normalny 2 2 3 3 3 2 4 2 2" xfId="34735"/>
    <cellStyle name="Normalny 2 2 3 3 3 2 4 3" xfId="34736"/>
    <cellStyle name="Normalny 2 2 3 3 3 2 5" xfId="34737"/>
    <cellStyle name="Normalny 2 2 3 3 3 2 5 2" xfId="34738"/>
    <cellStyle name="Normalny 2 2 3 3 3 2 6" xfId="34739"/>
    <cellStyle name="Normalny 2 2 3 3 3 3" xfId="34740"/>
    <cellStyle name="Normalny 2 2 3 3 3 3 2" xfId="34741"/>
    <cellStyle name="Normalny 2 2 3 3 3 3 2 2" xfId="34742"/>
    <cellStyle name="Normalny 2 2 3 3 3 3 3" xfId="34743"/>
    <cellStyle name="Normalny 2 2 3 3 3 4" xfId="34744"/>
    <cellStyle name="Normalny 2 2 3 3 3 4 2" xfId="34745"/>
    <cellStyle name="Normalny 2 2 3 3 3 4 2 2" xfId="34746"/>
    <cellStyle name="Normalny 2 2 3 3 3 4 3" xfId="34747"/>
    <cellStyle name="Normalny 2 2 3 3 3 5" xfId="34748"/>
    <cellStyle name="Normalny 2 2 3 3 3 5 2" xfId="34749"/>
    <cellStyle name="Normalny 2 2 3 3 3 5 2 2" xfId="34750"/>
    <cellStyle name="Normalny 2 2 3 3 3 5 3" xfId="34751"/>
    <cellStyle name="Normalny 2 2 3 3 3 6" xfId="34752"/>
    <cellStyle name="Normalny 2 2 3 3 3 6 2" xfId="34753"/>
    <cellStyle name="Normalny 2 2 3 3 3 7" xfId="34754"/>
    <cellStyle name="Normalny 2 2 3 3 4" xfId="34755"/>
    <cellStyle name="Normalny 2 2 3 3 4 2" xfId="34756"/>
    <cellStyle name="Normalny 2 2 3 3 4 2 2" xfId="34757"/>
    <cellStyle name="Normalny 2 2 3 3 4 2 2 2" xfId="34758"/>
    <cellStyle name="Normalny 2 2 3 3 4 2 3" xfId="34759"/>
    <cellStyle name="Normalny 2 2 3 3 4 3" xfId="34760"/>
    <cellStyle name="Normalny 2 2 3 3 4 3 2" xfId="34761"/>
    <cellStyle name="Normalny 2 2 3 3 4 3 2 2" xfId="34762"/>
    <cellStyle name="Normalny 2 2 3 3 4 3 3" xfId="34763"/>
    <cellStyle name="Normalny 2 2 3 3 4 4" xfId="34764"/>
    <cellStyle name="Normalny 2 2 3 3 4 4 2" xfId="34765"/>
    <cellStyle name="Normalny 2 2 3 3 4 4 2 2" xfId="34766"/>
    <cellStyle name="Normalny 2 2 3 3 4 4 3" xfId="34767"/>
    <cellStyle name="Normalny 2 2 3 3 4 5" xfId="34768"/>
    <cellStyle name="Normalny 2 2 3 3 4 5 2" xfId="34769"/>
    <cellStyle name="Normalny 2 2 3 3 4 6" xfId="34770"/>
    <cellStyle name="Normalny 2 2 3 3 5" xfId="34771"/>
    <cellStyle name="Normalny 2 2 3 3 5 2" xfId="34772"/>
    <cellStyle name="Normalny 2 2 3 3 5 2 2" xfId="34773"/>
    <cellStyle name="Normalny 2 2 3 3 5 2 2 2" xfId="34774"/>
    <cellStyle name="Normalny 2 2 3 3 5 2 3" xfId="34775"/>
    <cellStyle name="Normalny 2 2 3 3 5 3" xfId="34776"/>
    <cellStyle name="Normalny 2 2 3 3 5 3 2" xfId="34777"/>
    <cellStyle name="Normalny 2 2 3 3 5 3 2 2" xfId="34778"/>
    <cellStyle name="Normalny 2 2 3 3 5 3 3" xfId="34779"/>
    <cellStyle name="Normalny 2 2 3 3 5 4" xfId="34780"/>
    <cellStyle name="Normalny 2 2 3 3 5 4 2" xfId="34781"/>
    <cellStyle name="Normalny 2 2 3 3 5 4 2 2" xfId="34782"/>
    <cellStyle name="Normalny 2 2 3 3 5 4 3" xfId="34783"/>
    <cellStyle name="Normalny 2 2 3 3 5 5" xfId="34784"/>
    <cellStyle name="Normalny 2 2 3 3 5 5 2" xfId="34785"/>
    <cellStyle name="Normalny 2 2 3 3 5 6" xfId="34786"/>
    <cellStyle name="Normalny 2 2 3 3 6" xfId="34787"/>
    <cellStyle name="Normalny 2 2 3 3 6 2" xfId="34788"/>
    <cellStyle name="Normalny 2 2 3 3 6 2 2" xfId="34789"/>
    <cellStyle name="Normalny 2 2 3 3 6 3" xfId="34790"/>
    <cellStyle name="Normalny 2 2 3 3 7" xfId="34791"/>
    <cellStyle name="Normalny 2 2 3 3 7 2" xfId="34792"/>
    <cellStyle name="Normalny 2 2 3 3 7 2 2" xfId="34793"/>
    <cellStyle name="Normalny 2 2 3 3 7 3" xfId="34794"/>
    <cellStyle name="Normalny 2 2 3 3 8" xfId="34795"/>
    <cellStyle name="Normalny 2 2 3 3 8 2" xfId="34796"/>
    <cellStyle name="Normalny 2 2 3 3 8 2 2" xfId="34797"/>
    <cellStyle name="Normalny 2 2 3 3 8 3" xfId="34798"/>
    <cellStyle name="Normalny 2 2 3 3 9" xfId="34799"/>
    <cellStyle name="Normalny 2 2 3 3 9 2" xfId="34800"/>
    <cellStyle name="Normalny 2 2 3 4" xfId="34801"/>
    <cellStyle name="Normalny 2 2 3 4 2" xfId="34802"/>
    <cellStyle name="Normalny 2 2 3 4 2 2" xfId="34803"/>
    <cellStyle name="Normalny 2 2 3 4 2 2 2" xfId="34804"/>
    <cellStyle name="Normalny 2 2 3 4 2 2 2 2" xfId="34805"/>
    <cellStyle name="Normalny 2 2 3 4 2 2 2 2 2" xfId="34806"/>
    <cellStyle name="Normalny 2 2 3 4 2 2 2 3" xfId="34807"/>
    <cellStyle name="Normalny 2 2 3 4 2 2 3" xfId="34808"/>
    <cellStyle name="Normalny 2 2 3 4 2 2 3 2" xfId="34809"/>
    <cellStyle name="Normalny 2 2 3 4 2 2 3 2 2" xfId="34810"/>
    <cellStyle name="Normalny 2 2 3 4 2 2 3 3" xfId="34811"/>
    <cellStyle name="Normalny 2 2 3 4 2 2 4" xfId="34812"/>
    <cellStyle name="Normalny 2 2 3 4 2 2 4 2" xfId="34813"/>
    <cellStyle name="Normalny 2 2 3 4 2 2 4 2 2" xfId="34814"/>
    <cellStyle name="Normalny 2 2 3 4 2 2 4 3" xfId="34815"/>
    <cellStyle name="Normalny 2 2 3 4 2 2 5" xfId="34816"/>
    <cellStyle name="Normalny 2 2 3 4 2 2 5 2" xfId="34817"/>
    <cellStyle name="Normalny 2 2 3 4 2 2 6" xfId="34818"/>
    <cellStyle name="Normalny 2 2 3 4 2 3" xfId="34819"/>
    <cellStyle name="Normalny 2 2 3 4 2 3 2" xfId="34820"/>
    <cellStyle name="Normalny 2 2 3 4 2 3 2 2" xfId="34821"/>
    <cellStyle name="Normalny 2 2 3 4 2 3 3" xfId="34822"/>
    <cellStyle name="Normalny 2 2 3 4 2 4" xfId="34823"/>
    <cellStyle name="Normalny 2 2 3 4 2 4 2" xfId="34824"/>
    <cellStyle name="Normalny 2 2 3 4 2 4 2 2" xfId="34825"/>
    <cellStyle name="Normalny 2 2 3 4 2 4 3" xfId="34826"/>
    <cellStyle name="Normalny 2 2 3 4 2 5" xfId="34827"/>
    <cellStyle name="Normalny 2 2 3 4 2 5 2" xfId="34828"/>
    <cellStyle name="Normalny 2 2 3 4 2 5 2 2" xfId="34829"/>
    <cellStyle name="Normalny 2 2 3 4 2 5 3" xfId="34830"/>
    <cellStyle name="Normalny 2 2 3 4 2 6" xfId="34831"/>
    <cellStyle name="Normalny 2 2 3 4 2 6 2" xfId="34832"/>
    <cellStyle name="Normalny 2 2 3 4 2 7" xfId="34833"/>
    <cellStyle name="Normalny 2 2 3 4 3" xfId="34834"/>
    <cellStyle name="Normalny 2 2 3 4 3 2" xfId="34835"/>
    <cellStyle name="Normalny 2 2 3 4 3 2 2" xfId="34836"/>
    <cellStyle name="Normalny 2 2 3 4 3 2 2 2" xfId="34837"/>
    <cellStyle name="Normalny 2 2 3 4 3 2 3" xfId="34838"/>
    <cellStyle name="Normalny 2 2 3 4 3 3" xfId="34839"/>
    <cellStyle name="Normalny 2 2 3 4 3 3 2" xfId="34840"/>
    <cellStyle name="Normalny 2 2 3 4 3 3 2 2" xfId="34841"/>
    <cellStyle name="Normalny 2 2 3 4 3 3 3" xfId="34842"/>
    <cellStyle name="Normalny 2 2 3 4 3 4" xfId="34843"/>
    <cellStyle name="Normalny 2 2 3 4 3 4 2" xfId="34844"/>
    <cellStyle name="Normalny 2 2 3 4 3 4 2 2" xfId="34845"/>
    <cellStyle name="Normalny 2 2 3 4 3 4 3" xfId="34846"/>
    <cellStyle name="Normalny 2 2 3 4 3 5" xfId="34847"/>
    <cellStyle name="Normalny 2 2 3 4 3 5 2" xfId="34848"/>
    <cellStyle name="Normalny 2 2 3 4 3 6" xfId="34849"/>
    <cellStyle name="Normalny 2 2 3 4 4" xfId="34850"/>
    <cellStyle name="Normalny 2 2 3 4 4 2" xfId="34851"/>
    <cellStyle name="Normalny 2 2 3 4 4 2 2" xfId="34852"/>
    <cellStyle name="Normalny 2 2 3 4 4 2 2 2" xfId="34853"/>
    <cellStyle name="Normalny 2 2 3 4 4 2 3" xfId="34854"/>
    <cellStyle name="Normalny 2 2 3 4 4 3" xfId="34855"/>
    <cellStyle name="Normalny 2 2 3 4 4 3 2" xfId="34856"/>
    <cellStyle name="Normalny 2 2 3 4 4 3 2 2" xfId="34857"/>
    <cellStyle name="Normalny 2 2 3 4 4 3 3" xfId="34858"/>
    <cellStyle name="Normalny 2 2 3 4 4 4" xfId="34859"/>
    <cellStyle name="Normalny 2 2 3 4 4 4 2" xfId="34860"/>
    <cellStyle name="Normalny 2 2 3 4 4 4 2 2" xfId="34861"/>
    <cellStyle name="Normalny 2 2 3 4 4 4 3" xfId="34862"/>
    <cellStyle name="Normalny 2 2 3 4 4 5" xfId="34863"/>
    <cellStyle name="Normalny 2 2 3 4 4 5 2" xfId="34864"/>
    <cellStyle name="Normalny 2 2 3 4 4 6" xfId="34865"/>
    <cellStyle name="Normalny 2 2 3 4 5" xfId="34866"/>
    <cellStyle name="Normalny 2 2 3 4 5 2" xfId="34867"/>
    <cellStyle name="Normalny 2 2 3 4 5 2 2" xfId="34868"/>
    <cellStyle name="Normalny 2 2 3 4 5 3" xfId="34869"/>
    <cellStyle name="Normalny 2 2 3 4 6" xfId="34870"/>
    <cellStyle name="Normalny 2 2 3 4 6 2" xfId="34871"/>
    <cellStyle name="Normalny 2 2 3 4 6 2 2" xfId="34872"/>
    <cellStyle name="Normalny 2 2 3 4 6 3" xfId="34873"/>
    <cellStyle name="Normalny 2 2 3 4 7" xfId="34874"/>
    <cellStyle name="Normalny 2 2 3 4 7 2" xfId="34875"/>
    <cellStyle name="Normalny 2 2 3 4 7 2 2" xfId="34876"/>
    <cellStyle name="Normalny 2 2 3 4 7 3" xfId="34877"/>
    <cellStyle name="Normalny 2 2 3 4 8" xfId="34878"/>
    <cellStyle name="Normalny 2 2 3 4 8 2" xfId="34879"/>
    <cellStyle name="Normalny 2 2 3 4 9" xfId="34880"/>
    <cellStyle name="Normalny 2 2 3 5" xfId="34881"/>
    <cellStyle name="Normalny 2 2 3 5 2" xfId="34882"/>
    <cellStyle name="Normalny 2 2 3 5 2 2" xfId="34883"/>
    <cellStyle name="Normalny 2 2 3 5 2 2 2" xfId="34884"/>
    <cellStyle name="Normalny 2 2 3 5 2 2 2 2" xfId="34885"/>
    <cellStyle name="Normalny 2 2 3 5 2 2 3" xfId="34886"/>
    <cellStyle name="Normalny 2 2 3 5 2 3" xfId="34887"/>
    <cellStyle name="Normalny 2 2 3 5 2 3 2" xfId="34888"/>
    <cellStyle name="Normalny 2 2 3 5 2 3 2 2" xfId="34889"/>
    <cellStyle name="Normalny 2 2 3 5 2 3 3" xfId="34890"/>
    <cellStyle name="Normalny 2 2 3 5 2 4" xfId="34891"/>
    <cellStyle name="Normalny 2 2 3 5 2 4 2" xfId="34892"/>
    <cellStyle name="Normalny 2 2 3 5 2 4 2 2" xfId="34893"/>
    <cellStyle name="Normalny 2 2 3 5 2 4 3" xfId="34894"/>
    <cellStyle name="Normalny 2 2 3 5 2 5" xfId="34895"/>
    <cellStyle name="Normalny 2 2 3 5 2 5 2" xfId="34896"/>
    <cellStyle name="Normalny 2 2 3 5 2 6" xfId="34897"/>
    <cellStyle name="Normalny 2 2 3 5 3" xfId="34898"/>
    <cellStyle name="Normalny 2 2 3 5 3 2" xfId="34899"/>
    <cellStyle name="Normalny 2 2 3 5 3 2 2" xfId="34900"/>
    <cellStyle name="Normalny 2 2 3 5 3 3" xfId="34901"/>
    <cellStyle name="Normalny 2 2 3 5 4" xfId="34902"/>
    <cellStyle name="Normalny 2 2 3 5 4 2" xfId="34903"/>
    <cellStyle name="Normalny 2 2 3 5 4 2 2" xfId="34904"/>
    <cellStyle name="Normalny 2 2 3 5 4 3" xfId="34905"/>
    <cellStyle name="Normalny 2 2 3 5 5" xfId="34906"/>
    <cellStyle name="Normalny 2 2 3 5 5 2" xfId="34907"/>
    <cellStyle name="Normalny 2 2 3 5 5 2 2" xfId="34908"/>
    <cellStyle name="Normalny 2 2 3 5 5 3" xfId="34909"/>
    <cellStyle name="Normalny 2 2 3 5 6" xfId="34910"/>
    <cellStyle name="Normalny 2 2 3 5 6 2" xfId="34911"/>
    <cellStyle name="Normalny 2 2 3 5 7" xfId="34912"/>
    <cellStyle name="Normalny 2 2 3 6" xfId="34913"/>
    <cellStyle name="Normalny 2 2 3 6 2" xfId="34914"/>
    <cellStyle name="Normalny 2 2 3 6 2 2" xfId="34915"/>
    <cellStyle name="Normalny 2 2 3 6 2 2 2" xfId="34916"/>
    <cellStyle name="Normalny 2 2 3 6 2 3" xfId="34917"/>
    <cellStyle name="Normalny 2 2 3 6 3" xfId="34918"/>
    <cellStyle name="Normalny 2 2 3 6 3 2" xfId="34919"/>
    <cellStyle name="Normalny 2 2 3 6 3 2 2" xfId="34920"/>
    <cellStyle name="Normalny 2 2 3 6 3 3" xfId="34921"/>
    <cellStyle name="Normalny 2 2 3 6 4" xfId="34922"/>
    <cellStyle name="Normalny 2 2 3 6 4 2" xfId="34923"/>
    <cellStyle name="Normalny 2 2 3 6 4 2 2" xfId="34924"/>
    <cellStyle name="Normalny 2 2 3 6 4 3" xfId="34925"/>
    <cellStyle name="Normalny 2 2 3 6 5" xfId="34926"/>
    <cellStyle name="Normalny 2 2 3 6 5 2" xfId="34927"/>
    <cellStyle name="Normalny 2 2 3 6 6" xfId="34928"/>
    <cellStyle name="Normalny 2 2 3 7" xfId="34929"/>
    <cellStyle name="Normalny 2 2 3 7 2" xfId="34930"/>
    <cellStyle name="Normalny 2 2 3 7 2 2" xfId="34931"/>
    <cellStyle name="Normalny 2 2 3 7 2 2 2" xfId="34932"/>
    <cellStyle name="Normalny 2 2 3 7 2 3" xfId="34933"/>
    <cellStyle name="Normalny 2 2 3 7 3" xfId="34934"/>
    <cellStyle name="Normalny 2 2 3 7 3 2" xfId="34935"/>
    <cellStyle name="Normalny 2 2 3 7 3 2 2" xfId="34936"/>
    <cellStyle name="Normalny 2 2 3 7 3 3" xfId="34937"/>
    <cellStyle name="Normalny 2 2 3 7 4" xfId="34938"/>
    <cellStyle name="Normalny 2 2 3 7 4 2" xfId="34939"/>
    <cellStyle name="Normalny 2 2 3 7 4 2 2" xfId="34940"/>
    <cellStyle name="Normalny 2 2 3 7 4 3" xfId="34941"/>
    <cellStyle name="Normalny 2 2 3 7 5" xfId="34942"/>
    <cellStyle name="Normalny 2 2 3 7 5 2" xfId="34943"/>
    <cellStyle name="Normalny 2 2 3 7 6" xfId="34944"/>
    <cellStyle name="Normalny 2 2 3 8" xfId="34945"/>
    <cellStyle name="Normalny 2 2 3 8 2" xfId="34946"/>
    <cellStyle name="Normalny 2 2 3 8 2 2" xfId="34947"/>
    <cellStyle name="Normalny 2 2 3 8 2 2 2" xfId="34948"/>
    <cellStyle name="Normalny 2 2 3 8 2 3" xfId="34949"/>
    <cellStyle name="Normalny 2 2 3 8 3" xfId="34950"/>
    <cellStyle name="Normalny 2 2 3 8 3 2" xfId="34951"/>
    <cellStyle name="Normalny 2 2 3 8 3 2 2" xfId="34952"/>
    <cellStyle name="Normalny 2 2 3 8 3 3" xfId="34953"/>
    <cellStyle name="Normalny 2 2 3 8 4" xfId="34954"/>
    <cellStyle name="Normalny 2 2 3 8 4 2" xfId="34955"/>
    <cellStyle name="Normalny 2 2 3 8 4 2 2" xfId="34956"/>
    <cellStyle name="Normalny 2 2 3 8 4 3" xfId="34957"/>
    <cellStyle name="Normalny 2 2 3 8 5" xfId="34958"/>
    <cellStyle name="Normalny 2 2 3 8 5 2" xfId="34959"/>
    <cellStyle name="Normalny 2 2 3 8 6" xfId="34960"/>
    <cellStyle name="Normalny 2 2 4" xfId="34961"/>
    <cellStyle name="Normalny 2 2 4 2" xfId="34962"/>
    <cellStyle name="Normalny 2 2 4 2 10" xfId="34963"/>
    <cellStyle name="Normalny 2 2 4 2 2" xfId="34964"/>
    <cellStyle name="Normalny 2 2 4 2 2 2" xfId="34965"/>
    <cellStyle name="Normalny 2 2 4 2 2 2 2" xfId="34966"/>
    <cellStyle name="Normalny 2 2 4 2 2 2 2 2" xfId="34967"/>
    <cellStyle name="Normalny 2 2 4 2 2 2 2 2 2" xfId="34968"/>
    <cellStyle name="Normalny 2 2 4 2 2 2 2 2 2 2" xfId="34969"/>
    <cellStyle name="Normalny 2 2 4 2 2 2 2 2 3" xfId="34970"/>
    <cellStyle name="Normalny 2 2 4 2 2 2 2 3" xfId="34971"/>
    <cellStyle name="Normalny 2 2 4 2 2 2 2 3 2" xfId="34972"/>
    <cellStyle name="Normalny 2 2 4 2 2 2 2 3 2 2" xfId="34973"/>
    <cellStyle name="Normalny 2 2 4 2 2 2 2 3 3" xfId="34974"/>
    <cellStyle name="Normalny 2 2 4 2 2 2 2 4" xfId="34975"/>
    <cellStyle name="Normalny 2 2 4 2 2 2 2 4 2" xfId="34976"/>
    <cellStyle name="Normalny 2 2 4 2 2 2 2 4 2 2" xfId="34977"/>
    <cellStyle name="Normalny 2 2 4 2 2 2 2 4 3" xfId="34978"/>
    <cellStyle name="Normalny 2 2 4 2 2 2 2 5" xfId="34979"/>
    <cellStyle name="Normalny 2 2 4 2 2 2 2 5 2" xfId="34980"/>
    <cellStyle name="Normalny 2 2 4 2 2 2 2 6" xfId="34981"/>
    <cellStyle name="Normalny 2 2 4 2 2 2 3" xfId="34982"/>
    <cellStyle name="Normalny 2 2 4 2 2 2 3 2" xfId="34983"/>
    <cellStyle name="Normalny 2 2 4 2 2 2 3 2 2" xfId="34984"/>
    <cellStyle name="Normalny 2 2 4 2 2 2 3 3" xfId="34985"/>
    <cellStyle name="Normalny 2 2 4 2 2 2 4" xfId="34986"/>
    <cellStyle name="Normalny 2 2 4 2 2 2 4 2" xfId="34987"/>
    <cellStyle name="Normalny 2 2 4 2 2 2 4 2 2" xfId="34988"/>
    <cellStyle name="Normalny 2 2 4 2 2 2 4 3" xfId="34989"/>
    <cellStyle name="Normalny 2 2 4 2 2 2 5" xfId="34990"/>
    <cellStyle name="Normalny 2 2 4 2 2 2 5 2" xfId="34991"/>
    <cellStyle name="Normalny 2 2 4 2 2 2 5 2 2" xfId="34992"/>
    <cellStyle name="Normalny 2 2 4 2 2 2 5 3" xfId="34993"/>
    <cellStyle name="Normalny 2 2 4 2 2 2 6" xfId="34994"/>
    <cellStyle name="Normalny 2 2 4 2 2 2 6 2" xfId="34995"/>
    <cellStyle name="Normalny 2 2 4 2 2 2 7" xfId="34996"/>
    <cellStyle name="Normalny 2 2 4 2 2 3" xfId="34997"/>
    <cellStyle name="Normalny 2 2 4 2 2 3 2" xfId="34998"/>
    <cellStyle name="Normalny 2 2 4 2 2 3 2 2" xfId="34999"/>
    <cellStyle name="Normalny 2 2 4 2 2 3 2 2 2" xfId="35000"/>
    <cellStyle name="Normalny 2 2 4 2 2 3 2 3" xfId="35001"/>
    <cellStyle name="Normalny 2 2 4 2 2 3 3" xfId="35002"/>
    <cellStyle name="Normalny 2 2 4 2 2 3 3 2" xfId="35003"/>
    <cellStyle name="Normalny 2 2 4 2 2 3 3 2 2" xfId="35004"/>
    <cellStyle name="Normalny 2 2 4 2 2 3 3 3" xfId="35005"/>
    <cellStyle name="Normalny 2 2 4 2 2 3 4" xfId="35006"/>
    <cellStyle name="Normalny 2 2 4 2 2 3 4 2" xfId="35007"/>
    <cellStyle name="Normalny 2 2 4 2 2 3 4 2 2" xfId="35008"/>
    <cellStyle name="Normalny 2 2 4 2 2 3 4 3" xfId="35009"/>
    <cellStyle name="Normalny 2 2 4 2 2 3 5" xfId="35010"/>
    <cellStyle name="Normalny 2 2 4 2 2 3 5 2" xfId="35011"/>
    <cellStyle name="Normalny 2 2 4 2 2 3 6" xfId="35012"/>
    <cellStyle name="Normalny 2 2 4 2 2 4" xfId="35013"/>
    <cellStyle name="Normalny 2 2 4 2 2 4 2" xfId="35014"/>
    <cellStyle name="Normalny 2 2 4 2 2 4 2 2" xfId="35015"/>
    <cellStyle name="Normalny 2 2 4 2 2 4 2 2 2" xfId="35016"/>
    <cellStyle name="Normalny 2 2 4 2 2 4 2 3" xfId="35017"/>
    <cellStyle name="Normalny 2 2 4 2 2 4 3" xfId="35018"/>
    <cellStyle name="Normalny 2 2 4 2 2 4 3 2" xfId="35019"/>
    <cellStyle name="Normalny 2 2 4 2 2 4 3 2 2" xfId="35020"/>
    <cellStyle name="Normalny 2 2 4 2 2 4 3 3" xfId="35021"/>
    <cellStyle name="Normalny 2 2 4 2 2 4 4" xfId="35022"/>
    <cellStyle name="Normalny 2 2 4 2 2 4 4 2" xfId="35023"/>
    <cellStyle name="Normalny 2 2 4 2 2 4 4 2 2" xfId="35024"/>
    <cellStyle name="Normalny 2 2 4 2 2 4 4 3" xfId="35025"/>
    <cellStyle name="Normalny 2 2 4 2 2 4 5" xfId="35026"/>
    <cellStyle name="Normalny 2 2 4 2 2 4 5 2" xfId="35027"/>
    <cellStyle name="Normalny 2 2 4 2 2 4 6" xfId="35028"/>
    <cellStyle name="Normalny 2 2 4 2 2 5" xfId="35029"/>
    <cellStyle name="Normalny 2 2 4 2 2 5 2" xfId="35030"/>
    <cellStyle name="Normalny 2 2 4 2 2 5 2 2" xfId="35031"/>
    <cellStyle name="Normalny 2 2 4 2 2 5 3" xfId="35032"/>
    <cellStyle name="Normalny 2 2 4 2 2 6" xfId="35033"/>
    <cellStyle name="Normalny 2 2 4 2 2 6 2" xfId="35034"/>
    <cellStyle name="Normalny 2 2 4 2 2 6 2 2" xfId="35035"/>
    <cellStyle name="Normalny 2 2 4 2 2 6 3" xfId="35036"/>
    <cellStyle name="Normalny 2 2 4 2 2 7" xfId="35037"/>
    <cellStyle name="Normalny 2 2 4 2 2 7 2" xfId="35038"/>
    <cellStyle name="Normalny 2 2 4 2 2 7 2 2" xfId="35039"/>
    <cellStyle name="Normalny 2 2 4 2 2 7 3" xfId="35040"/>
    <cellStyle name="Normalny 2 2 4 2 2 8" xfId="35041"/>
    <cellStyle name="Normalny 2 2 4 2 2 8 2" xfId="35042"/>
    <cellStyle name="Normalny 2 2 4 2 2 9" xfId="35043"/>
    <cellStyle name="Normalny 2 2 4 2 3" xfId="35044"/>
    <cellStyle name="Normalny 2 2 4 2 3 2" xfId="35045"/>
    <cellStyle name="Normalny 2 2 4 2 3 2 2" xfId="35046"/>
    <cellStyle name="Normalny 2 2 4 2 3 2 2 2" xfId="35047"/>
    <cellStyle name="Normalny 2 2 4 2 3 2 2 2 2" xfId="35048"/>
    <cellStyle name="Normalny 2 2 4 2 3 2 2 3" xfId="35049"/>
    <cellStyle name="Normalny 2 2 4 2 3 2 3" xfId="35050"/>
    <cellStyle name="Normalny 2 2 4 2 3 2 3 2" xfId="35051"/>
    <cellStyle name="Normalny 2 2 4 2 3 2 3 2 2" xfId="35052"/>
    <cellStyle name="Normalny 2 2 4 2 3 2 3 3" xfId="35053"/>
    <cellStyle name="Normalny 2 2 4 2 3 2 4" xfId="35054"/>
    <cellStyle name="Normalny 2 2 4 2 3 2 4 2" xfId="35055"/>
    <cellStyle name="Normalny 2 2 4 2 3 2 4 2 2" xfId="35056"/>
    <cellStyle name="Normalny 2 2 4 2 3 2 4 3" xfId="35057"/>
    <cellStyle name="Normalny 2 2 4 2 3 2 5" xfId="35058"/>
    <cellStyle name="Normalny 2 2 4 2 3 2 5 2" xfId="35059"/>
    <cellStyle name="Normalny 2 2 4 2 3 2 6" xfId="35060"/>
    <cellStyle name="Normalny 2 2 4 2 3 3" xfId="35061"/>
    <cellStyle name="Normalny 2 2 4 2 3 3 2" xfId="35062"/>
    <cellStyle name="Normalny 2 2 4 2 3 3 2 2" xfId="35063"/>
    <cellStyle name="Normalny 2 2 4 2 3 3 3" xfId="35064"/>
    <cellStyle name="Normalny 2 2 4 2 3 4" xfId="35065"/>
    <cellStyle name="Normalny 2 2 4 2 3 4 2" xfId="35066"/>
    <cellStyle name="Normalny 2 2 4 2 3 4 2 2" xfId="35067"/>
    <cellStyle name="Normalny 2 2 4 2 3 4 3" xfId="35068"/>
    <cellStyle name="Normalny 2 2 4 2 3 5" xfId="35069"/>
    <cellStyle name="Normalny 2 2 4 2 3 5 2" xfId="35070"/>
    <cellStyle name="Normalny 2 2 4 2 3 5 2 2" xfId="35071"/>
    <cellStyle name="Normalny 2 2 4 2 3 5 3" xfId="35072"/>
    <cellStyle name="Normalny 2 2 4 2 3 6" xfId="35073"/>
    <cellStyle name="Normalny 2 2 4 2 3 6 2" xfId="35074"/>
    <cellStyle name="Normalny 2 2 4 2 3 7" xfId="35075"/>
    <cellStyle name="Normalny 2 2 4 2 4" xfId="35076"/>
    <cellStyle name="Normalny 2 2 4 2 4 2" xfId="35077"/>
    <cellStyle name="Normalny 2 2 4 2 4 2 2" xfId="35078"/>
    <cellStyle name="Normalny 2 2 4 2 4 2 2 2" xfId="35079"/>
    <cellStyle name="Normalny 2 2 4 2 4 2 3" xfId="35080"/>
    <cellStyle name="Normalny 2 2 4 2 4 3" xfId="35081"/>
    <cellStyle name="Normalny 2 2 4 2 4 3 2" xfId="35082"/>
    <cellStyle name="Normalny 2 2 4 2 4 3 2 2" xfId="35083"/>
    <cellStyle name="Normalny 2 2 4 2 4 3 3" xfId="35084"/>
    <cellStyle name="Normalny 2 2 4 2 4 4" xfId="35085"/>
    <cellStyle name="Normalny 2 2 4 2 4 4 2" xfId="35086"/>
    <cellStyle name="Normalny 2 2 4 2 4 4 2 2" xfId="35087"/>
    <cellStyle name="Normalny 2 2 4 2 4 4 3" xfId="35088"/>
    <cellStyle name="Normalny 2 2 4 2 4 5" xfId="35089"/>
    <cellStyle name="Normalny 2 2 4 2 4 5 2" xfId="35090"/>
    <cellStyle name="Normalny 2 2 4 2 4 6" xfId="35091"/>
    <cellStyle name="Normalny 2 2 4 2 5" xfId="35092"/>
    <cellStyle name="Normalny 2 2 4 2 5 2" xfId="35093"/>
    <cellStyle name="Normalny 2 2 4 2 5 2 2" xfId="35094"/>
    <cellStyle name="Normalny 2 2 4 2 5 2 2 2" xfId="35095"/>
    <cellStyle name="Normalny 2 2 4 2 5 2 3" xfId="35096"/>
    <cellStyle name="Normalny 2 2 4 2 5 3" xfId="35097"/>
    <cellStyle name="Normalny 2 2 4 2 5 3 2" xfId="35098"/>
    <cellStyle name="Normalny 2 2 4 2 5 3 2 2" xfId="35099"/>
    <cellStyle name="Normalny 2 2 4 2 5 3 3" xfId="35100"/>
    <cellStyle name="Normalny 2 2 4 2 5 4" xfId="35101"/>
    <cellStyle name="Normalny 2 2 4 2 5 4 2" xfId="35102"/>
    <cellStyle name="Normalny 2 2 4 2 5 4 2 2" xfId="35103"/>
    <cellStyle name="Normalny 2 2 4 2 5 4 3" xfId="35104"/>
    <cellStyle name="Normalny 2 2 4 2 5 5" xfId="35105"/>
    <cellStyle name="Normalny 2 2 4 2 5 5 2" xfId="35106"/>
    <cellStyle name="Normalny 2 2 4 2 5 6" xfId="35107"/>
    <cellStyle name="Normalny 2 2 4 2 6" xfId="35108"/>
    <cellStyle name="Normalny 2 2 4 2 6 2" xfId="35109"/>
    <cellStyle name="Normalny 2 2 4 2 6 2 2" xfId="35110"/>
    <cellStyle name="Normalny 2 2 4 2 6 3" xfId="35111"/>
    <cellStyle name="Normalny 2 2 4 2 7" xfId="35112"/>
    <cellStyle name="Normalny 2 2 4 2 7 2" xfId="35113"/>
    <cellStyle name="Normalny 2 2 4 2 7 2 2" xfId="35114"/>
    <cellStyle name="Normalny 2 2 4 2 7 3" xfId="35115"/>
    <cellStyle name="Normalny 2 2 4 2 8" xfId="35116"/>
    <cellStyle name="Normalny 2 2 4 2 8 2" xfId="35117"/>
    <cellStyle name="Normalny 2 2 4 2 8 2 2" xfId="35118"/>
    <cellStyle name="Normalny 2 2 4 2 8 3" xfId="35119"/>
    <cellStyle name="Normalny 2 2 4 2 9" xfId="35120"/>
    <cellStyle name="Normalny 2 2 4 2 9 2" xfId="35121"/>
    <cellStyle name="Normalny 2 2 4 3" xfId="35122"/>
    <cellStyle name="Normalny 2 2 4 3 2" xfId="35123"/>
    <cellStyle name="Normalny 2 2 4 3 2 2" xfId="35124"/>
    <cellStyle name="Normalny 2 2 4 3 2 2 2" xfId="35125"/>
    <cellStyle name="Normalny 2 2 4 3 2 2 2 2" xfId="35126"/>
    <cellStyle name="Normalny 2 2 4 3 2 2 2 2 2" xfId="35127"/>
    <cellStyle name="Normalny 2 2 4 3 2 2 2 3" xfId="35128"/>
    <cellStyle name="Normalny 2 2 4 3 2 2 3" xfId="35129"/>
    <cellStyle name="Normalny 2 2 4 3 2 2 3 2" xfId="35130"/>
    <cellStyle name="Normalny 2 2 4 3 2 2 3 2 2" xfId="35131"/>
    <cellStyle name="Normalny 2 2 4 3 2 2 3 3" xfId="35132"/>
    <cellStyle name="Normalny 2 2 4 3 2 2 4" xfId="35133"/>
    <cellStyle name="Normalny 2 2 4 3 2 2 4 2" xfId="35134"/>
    <cellStyle name="Normalny 2 2 4 3 2 2 4 2 2" xfId="35135"/>
    <cellStyle name="Normalny 2 2 4 3 2 2 4 3" xfId="35136"/>
    <cellStyle name="Normalny 2 2 4 3 2 2 5" xfId="35137"/>
    <cellStyle name="Normalny 2 2 4 3 2 2 5 2" xfId="35138"/>
    <cellStyle name="Normalny 2 2 4 3 2 2 6" xfId="35139"/>
    <cellStyle name="Normalny 2 2 4 3 2 3" xfId="35140"/>
    <cellStyle name="Normalny 2 2 4 3 2 3 2" xfId="35141"/>
    <cellStyle name="Normalny 2 2 4 3 2 3 2 2" xfId="35142"/>
    <cellStyle name="Normalny 2 2 4 3 2 3 3" xfId="35143"/>
    <cellStyle name="Normalny 2 2 4 3 2 4" xfId="35144"/>
    <cellStyle name="Normalny 2 2 4 3 2 4 2" xfId="35145"/>
    <cellStyle name="Normalny 2 2 4 3 2 4 2 2" xfId="35146"/>
    <cellStyle name="Normalny 2 2 4 3 2 4 3" xfId="35147"/>
    <cellStyle name="Normalny 2 2 4 3 2 5" xfId="35148"/>
    <cellStyle name="Normalny 2 2 4 3 2 5 2" xfId="35149"/>
    <cellStyle name="Normalny 2 2 4 3 2 5 2 2" xfId="35150"/>
    <cellStyle name="Normalny 2 2 4 3 2 5 3" xfId="35151"/>
    <cellStyle name="Normalny 2 2 4 3 2 6" xfId="35152"/>
    <cellStyle name="Normalny 2 2 4 3 2 6 2" xfId="35153"/>
    <cellStyle name="Normalny 2 2 4 3 2 7" xfId="35154"/>
    <cellStyle name="Normalny 2 2 4 3 3" xfId="35155"/>
    <cellStyle name="Normalny 2 2 4 3 3 2" xfId="35156"/>
    <cellStyle name="Normalny 2 2 4 3 3 2 2" xfId="35157"/>
    <cellStyle name="Normalny 2 2 4 3 3 2 2 2" xfId="35158"/>
    <cellStyle name="Normalny 2 2 4 3 3 2 3" xfId="35159"/>
    <cellStyle name="Normalny 2 2 4 3 3 3" xfId="35160"/>
    <cellStyle name="Normalny 2 2 4 3 3 3 2" xfId="35161"/>
    <cellStyle name="Normalny 2 2 4 3 3 3 2 2" xfId="35162"/>
    <cellStyle name="Normalny 2 2 4 3 3 3 3" xfId="35163"/>
    <cellStyle name="Normalny 2 2 4 3 3 4" xfId="35164"/>
    <cellStyle name="Normalny 2 2 4 3 3 4 2" xfId="35165"/>
    <cellStyle name="Normalny 2 2 4 3 3 4 2 2" xfId="35166"/>
    <cellStyle name="Normalny 2 2 4 3 3 4 3" xfId="35167"/>
    <cellStyle name="Normalny 2 2 4 3 3 5" xfId="35168"/>
    <cellStyle name="Normalny 2 2 4 3 3 5 2" xfId="35169"/>
    <cellStyle name="Normalny 2 2 4 3 3 6" xfId="35170"/>
    <cellStyle name="Normalny 2 2 4 3 4" xfId="35171"/>
    <cellStyle name="Normalny 2 2 4 3 4 2" xfId="35172"/>
    <cellStyle name="Normalny 2 2 4 3 4 2 2" xfId="35173"/>
    <cellStyle name="Normalny 2 2 4 3 4 2 2 2" xfId="35174"/>
    <cellStyle name="Normalny 2 2 4 3 4 2 3" xfId="35175"/>
    <cellStyle name="Normalny 2 2 4 3 4 3" xfId="35176"/>
    <cellStyle name="Normalny 2 2 4 3 4 3 2" xfId="35177"/>
    <cellStyle name="Normalny 2 2 4 3 4 3 2 2" xfId="35178"/>
    <cellStyle name="Normalny 2 2 4 3 4 3 3" xfId="35179"/>
    <cellStyle name="Normalny 2 2 4 3 4 4" xfId="35180"/>
    <cellStyle name="Normalny 2 2 4 3 4 4 2" xfId="35181"/>
    <cellStyle name="Normalny 2 2 4 3 4 4 2 2" xfId="35182"/>
    <cellStyle name="Normalny 2 2 4 3 4 4 3" xfId="35183"/>
    <cellStyle name="Normalny 2 2 4 3 4 5" xfId="35184"/>
    <cellStyle name="Normalny 2 2 4 3 4 5 2" xfId="35185"/>
    <cellStyle name="Normalny 2 2 4 3 4 6" xfId="35186"/>
    <cellStyle name="Normalny 2 2 4 3 5" xfId="35187"/>
    <cellStyle name="Normalny 2 2 4 3 5 2" xfId="35188"/>
    <cellStyle name="Normalny 2 2 4 3 5 2 2" xfId="35189"/>
    <cellStyle name="Normalny 2 2 4 3 5 3" xfId="35190"/>
    <cellStyle name="Normalny 2 2 4 3 6" xfId="35191"/>
    <cellStyle name="Normalny 2 2 4 3 6 2" xfId="35192"/>
    <cellStyle name="Normalny 2 2 4 3 6 2 2" xfId="35193"/>
    <cellStyle name="Normalny 2 2 4 3 6 3" xfId="35194"/>
    <cellStyle name="Normalny 2 2 4 3 7" xfId="35195"/>
    <cellStyle name="Normalny 2 2 4 3 7 2" xfId="35196"/>
    <cellStyle name="Normalny 2 2 4 3 7 2 2" xfId="35197"/>
    <cellStyle name="Normalny 2 2 4 3 7 3" xfId="35198"/>
    <cellStyle name="Normalny 2 2 4 3 8" xfId="35199"/>
    <cellStyle name="Normalny 2 2 4 3 8 2" xfId="35200"/>
    <cellStyle name="Normalny 2 2 4 3 9" xfId="35201"/>
    <cellStyle name="Normalny 2 2 4 4" xfId="35202"/>
    <cellStyle name="Normalny 2 2 4 4 2" xfId="35203"/>
    <cellStyle name="Normalny 2 2 4 4 2 2" xfId="35204"/>
    <cellStyle name="Normalny 2 2 4 4 2 2 2" xfId="35205"/>
    <cellStyle name="Normalny 2 2 4 4 2 2 2 2" xfId="35206"/>
    <cellStyle name="Normalny 2 2 4 4 2 2 3" xfId="35207"/>
    <cellStyle name="Normalny 2 2 4 4 2 3" xfId="35208"/>
    <cellStyle name="Normalny 2 2 4 4 2 3 2" xfId="35209"/>
    <cellStyle name="Normalny 2 2 4 4 2 3 2 2" xfId="35210"/>
    <cellStyle name="Normalny 2 2 4 4 2 3 3" xfId="35211"/>
    <cellStyle name="Normalny 2 2 4 4 2 4" xfId="35212"/>
    <cellStyle name="Normalny 2 2 4 4 2 4 2" xfId="35213"/>
    <cellStyle name="Normalny 2 2 4 4 2 4 2 2" xfId="35214"/>
    <cellStyle name="Normalny 2 2 4 4 2 4 3" xfId="35215"/>
    <cellStyle name="Normalny 2 2 4 4 2 5" xfId="35216"/>
    <cellStyle name="Normalny 2 2 4 4 2 5 2" xfId="35217"/>
    <cellStyle name="Normalny 2 2 4 4 2 6" xfId="35218"/>
    <cellStyle name="Normalny 2 2 4 4 3" xfId="35219"/>
    <cellStyle name="Normalny 2 2 4 4 3 2" xfId="35220"/>
    <cellStyle name="Normalny 2 2 4 4 3 2 2" xfId="35221"/>
    <cellStyle name="Normalny 2 2 4 4 3 3" xfId="35222"/>
    <cellStyle name="Normalny 2 2 4 4 4" xfId="35223"/>
    <cellStyle name="Normalny 2 2 4 4 4 2" xfId="35224"/>
    <cellStyle name="Normalny 2 2 4 4 4 2 2" xfId="35225"/>
    <cellStyle name="Normalny 2 2 4 4 4 3" xfId="35226"/>
    <cellStyle name="Normalny 2 2 4 4 5" xfId="35227"/>
    <cellStyle name="Normalny 2 2 4 4 5 2" xfId="35228"/>
    <cellStyle name="Normalny 2 2 4 4 5 2 2" xfId="35229"/>
    <cellStyle name="Normalny 2 2 4 4 5 3" xfId="35230"/>
    <cellStyle name="Normalny 2 2 4 4 6" xfId="35231"/>
    <cellStyle name="Normalny 2 2 4 4 6 2" xfId="35232"/>
    <cellStyle name="Normalny 2 2 4 4 7" xfId="35233"/>
    <cellStyle name="Normalny 2 2 4 5" xfId="35234"/>
    <cellStyle name="Normalny 2 2 4 5 2" xfId="35235"/>
    <cellStyle name="Normalny 2 2 4 5 2 2" xfId="35236"/>
    <cellStyle name="Normalny 2 2 4 5 2 2 2" xfId="35237"/>
    <cellStyle name="Normalny 2 2 4 5 2 3" xfId="35238"/>
    <cellStyle name="Normalny 2 2 4 5 3" xfId="35239"/>
    <cellStyle name="Normalny 2 2 4 5 3 2" xfId="35240"/>
    <cellStyle name="Normalny 2 2 4 5 3 2 2" xfId="35241"/>
    <cellStyle name="Normalny 2 2 4 5 3 3" xfId="35242"/>
    <cellStyle name="Normalny 2 2 4 5 4" xfId="35243"/>
    <cellStyle name="Normalny 2 2 4 5 4 2" xfId="35244"/>
    <cellStyle name="Normalny 2 2 4 5 4 2 2" xfId="35245"/>
    <cellStyle name="Normalny 2 2 4 5 4 3" xfId="35246"/>
    <cellStyle name="Normalny 2 2 4 5 5" xfId="35247"/>
    <cellStyle name="Normalny 2 2 4 5 5 2" xfId="35248"/>
    <cellStyle name="Normalny 2 2 4 5 6" xfId="35249"/>
    <cellStyle name="Normalny 2 2 4 6" xfId="35250"/>
    <cellStyle name="Normalny 2 2 4 6 2" xfId="35251"/>
    <cellStyle name="Normalny 2 2 4 6 2 2" xfId="35252"/>
    <cellStyle name="Normalny 2 2 4 6 2 2 2" xfId="35253"/>
    <cellStyle name="Normalny 2 2 4 6 2 3" xfId="35254"/>
    <cellStyle name="Normalny 2 2 4 6 3" xfId="35255"/>
    <cellStyle name="Normalny 2 2 4 6 3 2" xfId="35256"/>
    <cellStyle name="Normalny 2 2 4 6 3 2 2" xfId="35257"/>
    <cellStyle name="Normalny 2 2 4 6 3 3" xfId="35258"/>
    <cellStyle name="Normalny 2 2 4 6 4" xfId="35259"/>
    <cellStyle name="Normalny 2 2 4 6 4 2" xfId="35260"/>
    <cellStyle name="Normalny 2 2 4 6 4 2 2" xfId="35261"/>
    <cellStyle name="Normalny 2 2 4 6 4 3" xfId="35262"/>
    <cellStyle name="Normalny 2 2 4 6 5" xfId="35263"/>
    <cellStyle name="Normalny 2 2 4 6 5 2" xfId="35264"/>
    <cellStyle name="Normalny 2 2 4 6 6" xfId="35265"/>
    <cellStyle name="Normalny 2 2 4 7" xfId="35266"/>
    <cellStyle name="Normalny 2 2 4 7 2" xfId="35267"/>
    <cellStyle name="Normalny 2 2 4 7 2 2" xfId="35268"/>
    <cellStyle name="Normalny 2 2 4 7 2 2 2" xfId="35269"/>
    <cellStyle name="Normalny 2 2 4 7 2 3" xfId="35270"/>
    <cellStyle name="Normalny 2 2 4 7 3" xfId="35271"/>
    <cellStyle name="Normalny 2 2 4 7 3 2" xfId="35272"/>
    <cellStyle name="Normalny 2 2 4 7 3 2 2" xfId="35273"/>
    <cellStyle name="Normalny 2 2 4 7 3 3" xfId="35274"/>
    <cellStyle name="Normalny 2 2 4 7 4" xfId="35275"/>
    <cellStyle name="Normalny 2 2 4 7 4 2" xfId="35276"/>
    <cellStyle name="Normalny 2 2 4 7 4 2 2" xfId="35277"/>
    <cellStyle name="Normalny 2 2 4 7 4 3" xfId="35278"/>
    <cellStyle name="Normalny 2 2 4 7 5" xfId="35279"/>
    <cellStyle name="Normalny 2 2 4 7 5 2" xfId="35280"/>
    <cellStyle name="Normalny 2 2 4 7 6" xfId="35281"/>
    <cellStyle name="Normalny 2 2 5" xfId="35282"/>
    <cellStyle name="Normalny 2 2 5 2" xfId="35283"/>
    <cellStyle name="Normalny 2 2 5 2 2" xfId="35284"/>
    <cellStyle name="Normalny 2 2 5 2 2 2" xfId="35285"/>
    <cellStyle name="Normalny 2 2 5 2 2 2 2" xfId="35286"/>
    <cellStyle name="Normalny 2 2 5 2 2 2 2 2" xfId="35287"/>
    <cellStyle name="Normalny 2 2 5 2 2 2 2 2 2" xfId="35288"/>
    <cellStyle name="Normalny 2 2 5 2 2 2 2 3" xfId="35289"/>
    <cellStyle name="Normalny 2 2 5 2 2 2 3" xfId="35290"/>
    <cellStyle name="Normalny 2 2 5 2 2 2 3 2" xfId="35291"/>
    <cellStyle name="Normalny 2 2 5 2 2 2 3 2 2" xfId="35292"/>
    <cellStyle name="Normalny 2 2 5 2 2 2 3 3" xfId="35293"/>
    <cellStyle name="Normalny 2 2 5 2 2 2 4" xfId="35294"/>
    <cellStyle name="Normalny 2 2 5 2 2 2 4 2" xfId="35295"/>
    <cellStyle name="Normalny 2 2 5 2 2 2 4 2 2" xfId="35296"/>
    <cellStyle name="Normalny 2 2 5 2 2 2 4 3" xfId="35297"/>
    <cellStyle name="Normalny 2 2 5 2 2 2 5" xfId="35298"/>
    <cellStyle name="Normalny 2 2 5 2 2 2 5 2" xfId="35299"/>
    <cellStyle name="Normalny 2 2 5 2 2 2 6" xfId="35300"/>
    <cellStyle name="Normalny 2 2 5 2 2 3" xfId="35301"/>
    <cellStyle name="Normalny 2 2 5 2 2 3 2" xfId="35302"/>
    <cellStyle name="Normalny 2 2 5 2 2 3 2 2" xfId="35303"/>
    <cellStyle name="Normalny 2 2 5 2 2 3 3" xfId="35304"/>
    <cellStyle name="Normalny 2 2 5 2 2 4" xfId="35305"/>
    <cellStyle name="Normalny 2 2 5 2 2 4 2" xfId="35306"/>
    <cellStyle name="Normalny 2 2 5 2 2 4 2 2" xfId="35307"/>
    <cellStyle name="Normalny 2 2 5 2 2 4 3" xfId="35308"/>
    <cellStyle name="Normalny 2 2 5 2 2 5" xfId="35309"/>
    <cellStyle name="Normalny 2 2 5 2 2 5 2" xfId="35310"/>
    <cellStyle name="Normalny 2 2 5 2 2 5 2 2" xfId="35311"/>
    <cellStyle name="Normalny 2 2 5 2 2 5 3" xfId="35312"/>
    <cellStyle name="Normalny 2 2 5 2 2 6" xfId="35313"/>
    <cellStyle name="Normalny 2 2 5 2 2 6 2" xfId="35314"/>
    <cellStyle name="Normalny 2 2 5 2 2 7" xfId="35315"/>
    <cellStyle name="Normalny 2 2 5 2 3" xfId="35316"/>
    <cellStyle name="Normalny 2 2 5 2 3 2" xfId="35317"/>
    <cellStyle name="Normalny 2 2 5 2 3 2 2" xfId="35318"/>
    <cellStyle name="Normalny 2 2 5 2 3 2 2 2" xfId="35319"/>
    <cellStyle name="Normalny 2 2 5 2 3 2 3" xfId="35320"/>
    <cellStyle name="Normalny 2 2 5 2 3 3" xfId="35321"/>
    <cellStyle name="Normalny 2 2 5 2 3 3 2" xfId="35322"/>
    <cellStyle name="Normalny 2 2 5 2 3 3 2 2" xfId="35323"/>
    <cellStyle name="Normalny 2 2 5 2 3 3 3" xfId="35324"/>
    <cellStyle name="Normalny 2 2 5 2 3 4" xfId="35325"/>
    <cellStyle name="Normalny 2 2 5 2 3 4 2" xfId="35326"/>
    <cellStyle name="Normalny 2 2 5 2 3 4 2 2" xfId="35327"/>
    <cellStyle name="Normalny 2 2 5 2 3 4 3" xfId="35328"/>
    <cellStyle name="Normalny 2 2 5 2 3 5" xfId="35329"/>
    <cellStyle name="Normalny 2 2 5 2 3 5 2" xfId="35330"/>
    <cellStyle name="Normalny 2 2 5 2 3 6" xfId="35331"/>
    <cellStyle name="Normalny 2 2 5 2 4" xfId="35332"/>
    <cellStyle name="Normalny 2 2 5 2 4 2" xfId="35333"/>
    <cellStyle name="Normalny 2 2 5 2 4 2 2" xfId="35334"/>
    <cellStyle name="Normalny 2 2 5 2 4 2 2 2" xfId="35335"/>
    <cellStyle name="Normalny 2 2 5 2 4 2 3" xfId="35336"/>
    <cellStyle name="Normalny 2 2 5 2 4 3" xfId="35337"/>
    <cellStyle name="Normalny 2 2 5 2 4 3 2" xfId="35338"/>
    <cellStyle name="Normalny 2 2 5 2 4 3 2 2" xfId="35339"/>
    <cellStyle name="Normalny 2 2 5 2 4 3 3" xfId="35340"/>
    <cellStyle name="Normalny 2 2 5 2 4 4" xfId="35341"/>
    <cellStyle name="Normalny 2 2 5 2 4 4 2" xfId="35342"/>
    <cellStyle name="Normalny 2 2 5 2 4 4 2 2" xfId="35343"/>
    <cellStyle name="Normalny 2 2 5 2 4 4 3" xfId="35344"/>
    <cellStyle name="Normalny 2 2 5 2 4 5" xfId="35345"/>
    <cellStyle name="Normalny 2 2 5 2 4 5 2" xfId="35346"/>
    <cellStyle name="Normalny 2 2 5 2 4 6" xfId="35347"/>
    <cellStyle name="Normalny 2 2 5 2 5" xfId="35348"/>
    <cellStyle name="Normalny 2 2 5 2 5 2" xfId="35349"/>
    <cellStyle name="Normalny 2 2 5 2 5 2 2" xfId="35350"/>
    <cellStyle name="Normalny 2 2 5 2 5 3" xfId="35351"/>
    <cellStyle name="Normalny 2 2 5 2 6" xfId="35352"/>
    <cellStyle name="Normalny 2 2 5 2 6 2" xfId="35353"/>
    <cellStyle name="Normalny 2 2 5 2 6 2 2" xfId="35354"/>
    <cellStyle name="Normalny 2 2 5 2 6 3" xfId="35355"/>
    <cellStyle name="Normalny 2 2 5 2 7" xfId="35356"/>
    <cellStyle name="Normalny 2 2 5 2 7 2" xfId="35357"/>
    <cellStyle name="Normalny 2 2 5 2 7 2 2" xfId="35358"/>
    <cellStyle name="Normalny 2 2 5 2 7 3" xfId="35359"/>
    <cellStyle name="Normalny 2 2 5 2 8" xfId="35360"/>
    <cellStyle name="Normalny 2 2 5 2 8 2" xfId="35361"/>
    <cellStyle name="Normalny 2 2 5 2 9" xfId="35362"/>
    <cellStyle name="Normalny 2 2 5 3" xfId="35363"/>
    <cellStyle name="Normalny 2 2 5 3 2" xfId="35364"/>
    <cellStyle name="Normalny 2 2 5 3 2 2" xfId="35365"/>
    <cellStyle name="Normalny 2 2 5 3 2 2 2" xfId="35366"/>
    <cellStyle name="Normalny 2 2 5 3 2 2 2 2" xfId="35367"/>
    <cellStyle name="Normalny 2 2 5 3 2 2 3" xfId="35368"/>
    <cellStyle name="Normalny 2 2 5 3 2 3" xfId="35369"/>
    <cellStyle name="Normalny 2 2 5 3 2 3 2" xfId="35370"/>
    <cellStyle name="Normalny 2 2 5 3 2 3 2 2" xfId="35371"/>
    <cellStyle name="Normalny 2 2 5 3 2 3 3" xfId="35372"/>
    <cellStyle name="Normalny 2 2 5 3 2 4" xfId="35373"/>
    <cellStyle name="Normalny 2 2 5 3 2 4 2" xfId="35374"/>
    <cellStyle name="Normalny 2 2 5 3 2 4 2 2" xfId="35375"/>
    <cellStyle name="Normalny 2 2 5 3 2 4 3" xfId="35376"/>
    <cellStyle name="Normalny 2 2 5 3 2 5" xfId="35377"/>
    <cellStyle name="Normalny 2 2 5 3 2 5 2" xfId="35378"/>
    <cellStyle name="Normalny 2 2 5 3 2 6" xfId="35379"/>
    <cellStyle name="Normalny 2 2 5 3 3" xfId="35380"/>
    <cellStyle name="Normalny 2 2 5 3 3 2" xfId="35381"/>
    <cellStyle name="Normalny 2 2 5 3 3 2 2" xfId="35382"/>
    <cellStyle name="Normalny 2 2 5 3 3 3" xfId="35383"/>
    <cellStyle name="Normalny 2 2 5 3 4" xfId="35384"/>
    <cellStyle name="Normalny 2 2 5 3 4 2" xfId="35385"/>
    <cellStyle name="Normalny 2 2 5 3 4 2 2" xfId="35386"/>
    <cellStyle name="Normalny 2 2 5 3 4 3" xfId="35387"/>
    <cellStyle name="Normalny 2 2 5 3 5" xfId="35388"/>
    <cellStyle name="Normalny 2 2 5 3 5 2" xfId="35389"/>
    <cellStyle name="Normalny 2 2 5 3 5 2 2" xfId="35390"/>
    <cellStyle name="Normalny 2 2 5 3 5 3" xfId="35391"/>
    <cellStyle name="Normalny 2 2 5 3 6" xfId="35392"/>
    <cellStyle name="Normalny 2 2 5 3 6 2" xfId="35393"/>
    <cellStyle name="Normalny 2 2 5 3 7" xfId="35394"/>
    <cellStyle name="Normalny 2 2 5 4" xfId="35395"/>
    <cellStyle name="Normalny 2 2 5 4 2" xfId="35396"/>
    <cellStyle name="Normalny 2 2 5 4 2 2" xfId="35397"/>
    <cellStyle name="Normalny 2 2 5 4 2 2 2" xfId="35398"/>
    <cellStyle name="Normalny 2 2 5 4 2 3" xfId="35399"/>
    <cellStyle name="Normalny 2 2 5 4 3" xfId="35400"/>
    <cellStyle name="Normalny 2 2 5 4 3 2" xfId="35401"/>
    <cellStyle name="Normalny 2 2 5 4 3 2 2" xfId="35402"/>
    <cellStyle name="Normalny 2 2 5 4 3 3" xfId="35403"/>
    <cellStyle name="Normalny 2 2 5 4 4" xfId="35404"/>
    <cellStyle name="Normalny 2 2 5 4 4 2" xfId="35405"/>
    <cellStyle name="Normalny 2 2 5 4 4 2 2" xfId="35406"/>
    <cellStyle name="Normalny 2 2 5 4 4 3" xfId="35407"/>
    <cellStyle name="Normalny 2 2 5 4 5" xfId="35408"/>
    <cellStyle name="Normalny 2 2 5 4 5 2" xfId="35409"/>
    <cellStyle name="Normalny 2 2 5 4 6" xfId="35410"/>
    <cellStyle name="Normalny 2 2 5 5" xfId="35411"/>
    <cellStyle name="Normalny 2 2 5 5 2" xfId="35412"/>
    <cellStyle name="Normalny 2 2 5 5 2 2" xfId="35413"/>
    <cellStyle name="Normalny 2 2 5 5 2 2 2" xfId="35414"/>
    <cellStyle name="Normalny 2 2 5 5 2 3" xfId="35415"/>
    <cellStyle name="Normalny 2 2 5 5 3" xfId="35416"/>
    <cellStyle name="Normalny 2 2 5 5 3 2" xfId="35417"/>
    <cellStyle name="Normalny 2 2 5 5 3 2 2" xfId="35418"/>
    <cellStyle name="Normalny 2 2 5 5 3 3" xfId="35419"/>
    <cellStyle name="Normalny 2 2 5 5 4" xfId="35420"/>
    <cellStyle name="Normalny 2 2 5 5 4 2" xfId="35421"/>
    <cellStyle name="Normalny 2 2 5 5 4 2 2" xfId="35422"/>
    <cellStyle name="Normalny 2 2 5 5 4 3" xfId="35423"/>
    <cellStyle name="Normalny 2 2 5 5 5" xfId="35424"/>
    <cellStyle name="Normalny 2 2 5 5 5 2" xfId="35425"/>
    <cellStyle name="Normalny 2 2 5 5 6" xfId="35426"/>
    <cellStyle name="Normalny 2 2 5 6" xfId="35427"/>
    <cellStyle name="Normalny 2 2 5 6 2" xfId="35428"/>
    <cellStyle name="Normalny 2 2 5 6 2 2" xfId="35429"/>
    <cellStyle name="Normalny 2 2 5 6 2 2 2" xfId="35430"/>
    <cellStyle name="Normalny 2 2 5 6 2 3" xfId="35431"/>
    <cellStyle name="Normalny 2 2 5 6 3" xfId="35432"/>
    <cellStyle name="Normalny 2 2 5 6 3 2" xfId="35433"/>
    <cellStyle name="Normalny 2 2 5 6 3 2 2" xfId="35434"/>
    <cellStyle name="Normalny 2 2 5 6 3 3" xfId="35435"/>
    <cellStyle name="Normalny 2 2 5 6 4" xfId="35436"/>
    <cellStyle name="Normalny 2 2 5 6 4 2" xfId="35437"/>
    <cellStyle name="Normalny 2 2 5 6 4 2 2" xfId="35438"/>
    <cellStyle name="Normalny 2 2 5 6 4 3" xfId="35439"/>
    <cellStyle name="Normalny 2 2 5 6 5" xfId="35440"/>
    <cellStyle name="Normalny 2 2 5 6 5 2" xfId="35441"/>
    <cellStyle name="Normalny 2 2 5 6 6" xfId="35442"/>
    <cellStyle name="Normalny 2 2 6" xfId="35443"/>
    <cellStyle name="Normalny 2 2 6 2" xfId="35444"/>
    <cellStyle name="Normalny 2 2 6 2 2" xfId="35445"/>
    <cellStyle name="Normalny 2 2 6 2 2 2" xfId="35446"/>
    <cellStyle name="Normalny 2 2 6 2 2 2 2" xfId="35447"/>
    <cellStyle name="Normalny 2 2 6 2 2 2 2 2" xfId="35448"/>
    <cellStyle name="Normalny 2 2 6 2 2 2 2 2 2" xfId="35449"/>
    <cellStyle name="Normalny 2 2 6 2 2 2 2 3" xfId="35450"/>
    <cellStyle name="Normalny 2 2 6 2 2 2 3" xfId="35451"/>
    <cellStyle name="Normalny 2 2 6 2 2 2 3 2" xfId="35452"/>
    <cellStyle name="Normalny 2 2 6 2 2 2 3 2 2" xfId="35453"/>
    <cellStyle name="Normalny 2 2 6 2 2 2 3 3" xfId="35454"/>
    <cellStyle name="Normalny 2 2 6 2 2 2 4" xfId="35455"/>
    <cellStyle name="Normalny 2 2 6 2 2 2 4 2" xfId="35456"/>
    <cellStyle name="Normalny 2 2 6 2 2 2 4 2 2" xfId="35457"/>
    <cellStyle name="Normalny 2 2 6 2 2 2 4 3" xfId="35458"/>
    <cellStyle name="Normalny 2 2 6 2 2 2 5" xfId="35459"/>
    <cellStyle name="Normalny 2 2 6 2 2 2 5 2" xfId="35460"/>
    <cellStyle name="Normalny 2 2 6 2 2 2 6" xfId="35461"/>
    <cellStyle name="Normalny 2 2 6 2 2 3" xfId="35462"/>
    <cellStyle name="Normalny 2 2 6 2 2 3 2" xfId="35463"/>
    <cellStyle name="Normalny 2 2 6 2 2 3 2 2" xfId="35464"/>
    <cellStyle name="Normalny 2 2 6 2 2 3 3" xfId="35465"/>
    <cellStyle name="Normalny 2 2 6 2 2 4" xfId="35466"/>
    <cellStyle name="Normalny 2 2 6 2 2 4 2" xfId="35467"/>
    <cellStyle name="Normalny 2 2 6 2 2 4 2 2" xfId="35468"/>
    <cellStyle name="Normalny 2 2 6 2 2 4 3" xfId="35469"/>
    <cellStyle name="Normalny 2 2 6 2 2 5" xfId="35470"/>
    <cellStyle name="Normalny 2 2 6 2 2 5 2" xfId="35471"/>
    <cellStyle name="Normalny 2 2 6 2 2 5 2 2" xfId="35472"/>
    <cellStyle name="Normalny 2 2 6 2 2 5 3" xfId="35473"/>
    <cellStyle name="Normalny 2 2 6 2 2 6" xfId="35474"/>
    <cellStyle name="Normalny 2 2 6 2 2 6 2" xfId="35475"/>
    <cellStyle name="Normalny 2 2 6 2 2 7" xfId="35476"/>
    <cellStyle name="Normalny 2 2 6 2 3" xfId="35477"/>
    <cellStyle name="Normalny 2 2 6 2 3 2" xfId="35478"/>
    <cellStyle name="Normalny 2 2 6 2 3 2 2" xfId="35479"/>
    <cellStyle name="Normalny 2 2 6 2 3 2 2 2" xfId="35480"/>
    <cellStyle name="Normalny 2 2 6 2 3 2 3" xfId="35481"/>
    <cellStyle name="Normalny 2 2 6 2 3 3" xfId="35482"/>
    <cellStyle name="Normalny 2 2 6 2 3 3 2" xfId="35483"/>
    <cellStyle name="Normalny 2 2 6 2 3 3 2 2" xfId="35484"/>
    <cellStyle name="Normalny 2 2 6 2 3 3 3" xfId="35485"/>
    <cellStyle name="Normalny 2 2 6 2 3 4" xfId="35486"/>
    <cellStyle name="Normalny 2 2 6 2 3 4 2" xfId="35487"/>
    <cellStyle name="Normalny 2 2 6 2 3 4 2 2" xfId="35488"/>
    <cellStyle name="Normalny 2 2 6 2 3 4 3" xfId="35489"/>
    <cellStyle name="Normalny 2 2 6 2 3 5" xfId="35490"/>
    <cellStyle name="Normalny 2 2 6 2 3 5 2" xfId="35491"/>
    <cellStyle name="Normalny 2 2 6 2 3 6" xfId="35492"/>
    <cellStyle name="Normalny 2 2 6 2 4" xfId="35493"/>
    <cellStyle name="Normalny 2 2 6 2 4 2" xfId="35494"/>
    <cellStyle name="Normalny 2 2 6 2 4 2 2" xfId="35495"/>
    <cellStyle name="Normalny 2 2 6 2 4 2 2 2" xfId="35496"/>
    <cellStyle name="Normalny 2 2 6 2 4 2 3" xfId="35497"/>
    <cellStyle name="Normalny 2 2 6 2 4 3" xfId="35498"/>
    <cellStyle name="Normalny 2 2 6 2 4 3 2" xfId="35499"/>
    <cellStyle name="Normalny 2 2 6 2 4 3 2 2" xfId="35500"/>
    <cellStyle name="Normalny 2 2 6 2 4 3 3" xfId="35501"/>
    <cellStyle name="Normalny 2 2 6 2 4 4" xfId="35502"/>
    <cellStyle name="Normalny 2 2 6 2 4 4 2" xfId="35503"/>
    <cellStyle name="Normalny 2 2 6 2 4 4 2 2" xfId="35504"/>
    <cellStyle name="Normalny 2 2 6 2 4 4 3" xfId="35505"/>
    <cellStyle name="Normalny 2 2 6 2 4 5" xfId="35506"/>
    <cellStyle name="Normalny 2 2 6 2 4 5 2" xfId="35507"/>
    <cellStyle name="Normalny 2 2 6 2 4 6" xfId="35508"/>
    <cellStyle name="Normalny 2 2 6 2 5" xfId="35509"/>
    <cellStyle name="Normalny 2 2 6 2 5 2" xfId="35510"/>
    <cellStyle name="Normalny 2 2 6 2 5 2 2" xfId="35511"/>
    <cellStyle name="Normalny 2 2 6 2 5 3" xfId="35512"/>
    <cellStyle name="Normalny 2 2 6 2 6" xfId="35513"/>
    <cellStyle name="Normalny 2 2 6 2 6 2" xfId="35514"/>
    <cellStyle name="Normalny 2 2 6 2 6 2 2" xfId="35515"/>
    <cellStyle name="Normalny 2 2 6 2 6 3" xfId="35516"/>
    <cellStyle name="Normalny 2 2 6 2 7" xfId="35517"/>
    <cellStyle name="Normalny 2 2 6 2 7 2" xfId="35518"/>
    <cellStyle name="Normalny 2 2 6 2 7 2 2" xfId="35519"/>
    <cellStyle name="Normalny 2 2 6 2 7 3" xfId="35520"/>
    <cellStyle name="Normalny 2 2 6 2 8" xfId="35521"/>
    <cellStyle name="Normalny 2 2 6 2 8 2" xfId="35522"/>
    <cellStyle name="Normalny 2 2 6 2 9" xfId="35523"/>
    <cellStyle name="Normalny 2 2 6 3" xfId="35524"/>
    <cellStyle name="Normalny 2 2 6 3 2" xfId="35525"/>
    <cellStyle name="Normalny 2 2 6 3 2 2" xfId="35526"/>
    <cellStyle name="Normalny 2 2 6 3 2 2 2" xfId="35527"/>
    <cellStyle name="Normalny 2 2 6 3 2 2 2 2" xfId="35528"/>
    <cellStyle name="Normalny 2 2 6 3 2 2 3" xfId="35529"/>
    <cellStyle name="Normalny 2 2 6 3 2 3" xfId="35530"/>
    <cellStyle name="Normalny 2 2 6 3 2 3 2" xfId="35531"/>
    <cellStyle name="Normalny 2 2 6 3 2 3 2 2" xfId="35532"/>
    <cellStyle name="Normalny 2 2 6 3 2 3 3" xfId="35533"/>
    <cellStyle name="Normalny 2 2 6 3 2 4" xfId="35534"/>
    <cellStyle name="Normalny 2 2 6 3 2 4 2" xfId="35535"/>
    <cellStyle name="Normalny 2 2 6 3 2 4 2 2" xfId="35536"/>
    <cellStyle name="Normalny 2 2 6 3 2 4 3" xfId="35537"/>
    <cellStyle name="Normalny 2 2 6 3 2 5" xfId="35538"/>
    <cellStyle name="Normalny 2 2 6 3 2 5 2" xfId="35539"/>
    <cellStyle name="Normalny 2 2 6 3 2 6" xfId="35540"/>
    <cellStyle name="Normalny 2 2 6 3 3" xfId="35541"/>
    <cellStyle name="Normalny 2 2 6 3 3 2" xfId="35542"/>
    <cellStyle name="Normalny 2 2 6 3 3 2 2" xfId="35543"/>
    <cellStyle name="Normalny 2 2 6 3 3 3" xfId="35544"/>
    <cellStyle name="Normalny 2 2 6 3 4" xfId="35545"/>
    <cellStyle name="Normalny 2 2 6 3 4 2" xfId="35546"/>
    <cellStyle name="Normalny 2 2 6 3 4 2 2" xfId="35547"/>
    <cellStyle name="Normalny 2 2 6 3 4 3" xfId="35548"/>
    <cellStyle name="Normalny 2 2 6 3 5" xfId="35549"/>
    <cellStyle name="Normalny 2 2 6 3 5 2" xfId="35550"/>
    <cellStyle name="Normalny 2 2 6 3 5 2 2" xfId="35551"/>
    <cellStyle name="Normalny 2 2 6 3 5 3" xfId="35552"/>
    <cellStyle name="Normalny 2 2 6 3 6" xfId="35553"/>
    <cellStyle name="Normalny 2 2 6 3 6 2" xfId="35554"/>
    <cellStyle name="Normalny 2 2 6 3 7" xfId="35555"/>
    <cellStyle name="Normalny 2 2 6 4" xfId="35556"/>
    <cellStyle name="Normalny 2 2 6 4 2" xfId="35557"/>
    <cellStyle name="Normalny 2 2 6 4 2 2" xfId="35558"/>
    <cellStyle name="Normalny 2 2 6 4 2 2 2" xfId="35559"/>
    <cellStyle name="Normalny 2 2 6 4 2 3" xfId="35560"/>
    <cellStyle name="Normalny 2 2 6 4 3" xfId="35561"/>
    <cellStyle name="Normalny 2 2 6 4 3 2" xfId="35562"/>
    <cellStyle name="Normalny 2 2 6 4 3 2 2" xfId="35563"/>
    <cellStyle name="Normalny 2 2 6 4 3 3" xfId="35564"/>
    <cellStyle name="Normalny 2 2 6 4 4" xfId="35565"/>
    <cellStyle name="Normalny 2 2 6 4 4 2" xfId="35566"/>
    <cellStyle name="Normalny 2 2 6 4 4 2 2" xfId="35567"/>
    <cellStyle name="Normalny 2 2 6 4 4 3" xfId="35568"/>
    <cellStyle name="Normalny 2 2 6 4 5" xfId="35569"/>
    <cellStyle name="Normalny 2 2 6 4 5 2" xfId="35570"/>
    <cellStyle name="Normalny 2 2 6 4 6" xfId="35571"/>
    <cellStyle name="Normalny 2 2 6 5" xfId="35572"/>
    <cellStyle name="Normalny 2 2 6 5 2" xfId="35573"/>
    <cellStyle name="Normalny 2 2 6 5 2 2" xfId="35574"/>
    <cellStyle name="Normalny 2 2 6 5 2 2 2" xfId="35575"/>
    <cellStyle name="Normalny 2 2 6 5 2 3" xfId="35576"/>
    <cellStyle name="Normalny 2 2 6 5 3" xfId="35577"/>
    <cellStyle name="Normalny 2 2 6 5 3 2" xfId="35578"/>
    <cellStyle name="Normalny 2 2 6 5 3 2 2" xfId="35579"/>
    <cellStyle name="Normalny 2 2 6 5 3 3" xfId="35580"/>
    <cellStyle name="Normalny 2 2 6 5 4" xfId="35581"/>
    <cellStyle name="Normalny 2 2 6 5 4 2" xfId="35582"/>
    <cellStyle name="Normalny 2 2 6 5 4 2 2" xfId="35583"/>
    <cellStyle name="Normalny 2 2 6 5 4 3" xfId="35584"/>
    <cellStyle name="Normalny 2 2 6 5 5" xfId="35585"/>
    <cellStyle name="Normalny 2 2 6 5 5 2" xfId="35586"/>
    <cellStyle name="Normalny 2 2 6 5 6" xfId="35587"/>
    <cellStyle name="Normalny 2 2 6 6" xfId="35588"/>
    <cellStyle name="Normalny 2 2 6 6 2" xfId="35589"/>
    <cellStyle name="Normalny 2 2 6 6 2 2" xfId="35590"/>
    <cellStyle name="Normalny 2 2 6 6 2 2 2" xfId="35591"/>
    <cellStyle name="Normalny 2 2 6 6 2 3" xfId="35592"/>
    <cellStyle name="Normalny 2 2 6 6 3" xfId="35593"/>
    <cellStyle name="Normalny 2 2 6 6 3 2" xfId="35594"/>
    <cellStyle name="Normalny 2 2 6 6 3 2 2" xfId="35595"/>
    <cellStyle name="Normalny 2 2 6 6 3 3" xfId="35596"/>
    <cellStyle name="Normalny 2 2 6 6 4" xfId="35597"/>
    <cellStyle name="Normalny 2 2 6 6 4 2" xfId="35598"/>
    <cellStyle name="Normalny 2 2 6 6 4 2 2" xfId="35599"/>
    <cellStyle name="Normalny 2 2 6 6 4 3" xfId="35600"/>
    <cellStyle name="Normalny 2 2 6 6 5" xfId="35601"/>
    <cellStyle name="Normalny 2 2 6 6 5 2" xfId="35602"/>
    <cellStyle name="Normalny 2 2 6 6 6" xfId="35603"/>
    <cellStyle name="Normalny 2 2 7" xfId="35604"/>
    <cellStyle name="Normalny 2 2 7 2" xfId="35605"/>
    <cellStyle name="Normalny 2 2 7 2 2" xfId="35606"/>
    <cellStyle name="Normalny 2 2 7 2 2 2" xfId="35607"/>
    <cellStyle name="Normalny 2 2 7 2 2 2 2" xfId="35608"/>
    <cellStyle name="Normalny 2 2 7 2 2 2 2 2" xfId="35609"/>
    <cellStyle name="Normalny 2 2 7 2 2 2 2 2 2" xfId="35610"/>
    <cellStyle name="Normalny 2 2 7 2 2 2 2 3" xfId="35611"/>
    <cellStyle name="Normalny 2 2 7 2 2 2 3" xfId="35612"/>
    <cellStyle name="Normalny 2 2 7 2 2 2 3 2" xfId="35613"/>
    <cellStyle name="Normalny 2 2 7 2 2 2 3 2 2" xfId="35614"/>
    <cellStyle name="Normalny 2 2 7 2 2 2 3 3" xfId="35615"/>
    <cellStyle name="Normalny 2 2 7 2 2 2 4" xfId="35616"/>
    <cellStyle name="Normalny 2 2 7 2 2 2 4 2" xfId="35617"/>
    <cellStyle name="Normalny 2 2 7 2 2 2 4 2 2" xfId="35618"/>
    <cellStyle name="Normalny 2 2 7 2 2 2 4 3" xfId="35619"/>
    <cellStyle name="Normalny 2 2 7 2 2 2 5" xfId="35620"/>
    <cellStyle name="Normalny 2 2 7 2 2 2 5 2" xfId="35621"/>
    <cellStyle name="Normalny 2 2 7 2 2 2 6" xfId="35622"/>
    <cellStyle name="Normalny 2 2 7 2 2 3" xfId="35623"/>
    <cellStyle name="Normalny 2 2 7 2 2 3 2" xfId="35624"/>
    <cellStyle name="Normalny 2 2 7 2 2 3 2 2" xfId="35625"/>
    <cellStyle name="Normalny 2 2 7 2 2 3 3" xfId="35626"/>
    <cellStyle name="Normalny 2 2 7 2 2 4" xfId="35627"/>
    <cellStyle name="Normalny 2 2 7 2 2 4 2" xfId="35628"/>
    <cellStyle name="Normalny 2 2 7 2 2 4 2 2" xfId="35629"/>
    <cellStyle name="Normalny 2 2 7 2 2 4 3" xfId="35630"/>
    <cellStyle name="Normalny 2 2 7 2 2 5" xfId="35631"/>
    <cellStyle name="Normalny 2 2 7 2 2 5 2" xfId="35632"/>
    <cellStyle name="Normalny 2 2 7 2 2 5 2 2" xfId="35633"/>
    <cellStyle name="Normalny 2 2 7 2 2 5 3" xfId="35634"/>
    <cellStyle name="Normalny 2 2 7 2 2 6" xfId="35635"/>
    <cellStyle name="Normalny 2 2 7 2 2 6 2" xfId="35636"/>
    <cellStyle name="Normalny 2 2 7 2 2 7" xfId="35637"/>
    <cellStyle name="Normalny 2 2 7 2 3" xfId="35638"/>
    <cellStyle name="Normalny 2 2 7 2 3 2" xfId="35639"/>
    <cellStyle name="Normalny 2 2 7 2 3 2 2" xfId="35640"/>
    <cellStyle name="Normalny 2 2 7 2 3 2 2 2" xfId="35641"/>
    <cellStyle name="Normalny 2 2 7 2 3 2 3" xfId="35642"/>
    <cellStyle name="Normalny 2 2 7 2 3 3" xfId="35643"/>
    <cellStyle name="Normalny 2 2 7 2 3 3 2" xfId="35644"/>
    <cellStyle name="Normalny 2 2 7 2 3 3 2 2" xfId="35645"/>
    <cellStyle name="Normalny 2 2 7 2 3 3 3" xfId="35646"/>
    <cellStyle name="Normalny 2 2 7 2 3 4" xfId="35647"/>
    <cellStyle name="Normalny 2 2 7 2 3 4 2" xfId="35648"/>
    <cellStyle name="Normalny 2 2 7 2 3 4 2 2" xfId="35649"/>
    <cellStyle name="Normalny 2 2 7 2 3 4 3" xfId="35650"/>
    <cellStyle name="Normalny 2 2 7 2 3 5" xfId="35651"/>
    <cellStyle name="Normalny 2 2 7 2 3 5 2" xfId="35652"/>
    <cellStyle name="Normalny 2 2 7 2 3 6" xfId="35653"/>
    <cellStyle name="Normalny 2 2 7 2 4" xfId="35654"/>
    <cellStyle name="Normalny 2 2 7 2 4 2" xfId="35655"/>
    <cellStyle name="Normalny 2 2 7 2 4 2 2" xfId="35656"/>
    <cellStyle name="Normalny 2 2 7 2 4 2 2 2" xfId="35657"/>
    <cellStyle name="Normalny 2 2 7 2 4 2 3" xfId="35658"/>
    <cellStyle name="Normalny 2 2 7 2 4 3" xfId="35659"/>
    <cellStyle name="Normalny 2 2 7 2 4 3 2" xfId="35660"/>
    <cellStyle name="Normalny 2 2 7 2 4 3 2 2" xfId="35661"/>
    <cellStyle name="Normalny 2 2 7 2 4 3 3" xfId="35662"/>
    <cellStyle name="Normalny 2 2 7 2 4 4" xfId="35663"/>
    <cellStyle name="Normalny 2 2 7 2 4 4 2" xfId="35664"/>
    <cellStyle name="Normalny 2 2 7 2 4 4 2 2" xfId="35665"/>
    <cellStyle name="Normalny 2 2 7 2 4 4 3" xfId="35666"/>
    <cellStyle name="Normalny 2 2 7 2 4 5" xfId="35667"/>
    <cellStyle name="Normalny 2 2 7 2 4 5 2" xfId="35668"/>
    <cellStyle name="Normalny 2 2 7 2 4 6" xfId="35669"/>
    <cellStyle name="Normalny 2 2 7 2 5" xfId="35670"/>
    <cellStyle name="Normalny 2 2 7 2 5 2" xfId="35671"/>
    <cellStyle name="Normalny 2 2 7 2 5 2 2" xfId="35672"/>
    <cellStyle name="Normalny 2 2 7 2 5 3" xfId="35673"/>
    <cellStyle name="Normalny 2 2 7 2 6" xfId="35674"/>
    <cellStyle name="Normalny 2 2 7 2 6 2" xfId="35675"/>
    <cellStyle name="Normalny 2 2 7 2 6 2 2" xfId="35676"/>
    <cellStyle name="Normalny 2 2 7 2 6 3" xfId="35677"/>
    <cellStyle name="Normalny 2 2 7 2 7" xfId="35678"/>
    <cellStyle name="Normalny 2 2 7 2 7 2" xfId="35679"/>
    <cellStyle name="Normalny 2 2 7 2 7 2 2" xfId="35680"/>
    <cellStyle name="Normalny 2 2 7 2 7 3" xfId="35681"/>
    <cellStyle name="Normalny 2 2 7 2 8" xfId="35682"/>
    <cellStyle name="Normalny 2 2 7 2 8 2" xfId="35683"/>
    <cellStyle name="Normalny 2 2 7 2 9" xfId="35684"/>
    <cellStyle name="Normalny 2 2 7 3" xfId="35685"/>
    <cellStyle name="Normalny 2 2 7 3 2" xfId="35686"/>
    <cellStyle name="Normalny 2 2 7 3 2 2" xfId="35687"/>
    <cellStyle name="Normalny 2 2 7 3 2 2 2" xfId="35688"/>
    <cellStyle name="Normalny 2 2 7 3 2 2 2 2" xfId="35689"/>
    <cellStyle name="Normalny 2 2 7 3 2 2 3" xfId="35690"/>
    <cellStyle name="Normalny 2 2 7 3 2 3" xfId="35691"/>
    <cellStyle name="Normalny 2 2 7 3 2 3 2" xfId="35692"/>
    <cellStyle name="Normalny 2 2 7 3 2 3 2 2" xfId="35693"/>
    <cellStyle name="Normalny 2 2 7 3 2 3 3" xfId="35694"/>
    <cellStyle name="Normalny 2 2 7 3 2 4" xfId="35695"/>
    <cellStyle name="Normalny 2 2 7 3 2 4 2" xfId="35696"/>
    <cellStyle name="Normalny 2 2 7 3 2 4 2 2" xfId="35697"/>
    <cellStyle name="Normalny 2 2 7 3 2 4 3" xfId="35698"/>
    <cellStyle name="Normalny 2 2 7 3 2 5" xfId="35699"/>
    <cellStyle name="Normalny 2 2 7 3 2 5 2" xfId="35700"/>
    <cellStyle name="Normalny 2 2 7 3 2 6" xfId="35701"/>
    <cellStyle name="Normalny 2 2 7 3 3" xfId="35702"/>
    <cellStyle name="Normalny 2 2 7 3 3 2" xfId="35703"/>
    <cellStyle name="Normalny 2 2 7 3 3 2 2" xfId="35704"/>
    <cellStyle name="Normalny 2 2 7 3 3 3" xfId="35705"/>
    <cellStyle name="Normalny 2 2 7 3 4" xfId="35706"/>
    <cellStyle name="Normalny 2 2 7 3 4 2" xfId="35707"/>
    <cellStyle name="Normalny 2 2 7 3 4 2 2" xfId="35708"/>
    <cellStyle name="Normalny 2 2 7 3 4 3" xfId="35709"/>
    <cellStyle name="Normalny 2 2 7 3 5" xfId="35710"/>
    <cellStyle name="Normalny 2 2 7 3 5 2" xfId="35711"/>
    <cellStyle name="Normalny 2 2 7 3 5 2 2" xfId="35712"/>
    <cellStyle name="Normalny 2 2 7 3 5 3" xfId="35713"/>
    <cellStyle name="Normalny 2 2 7 3 6" xfId="35714"/>
    <cellStyle name="Normalny 2 2 7 3 6 2" xfId="35715"/>
    <cellStyle name="Normalny 2 2 7 3 7" xfId="35716"/>
    <cellStyle name="Normalny 2 2 7 4" xfId="35717"/>
    <cellStyle name="Normalny 2 2 7 4 2" xfId="35718"/>
    <cellStyle name="Normalny 2 2 7 4 2 2" xfId="35719"/>
    <cellStyle name="Normalny 2 2 7 4 2 2 2" xfId="35720"/>
    <cellStyle name="Normalny 2 2 7 4 2 3" xfId="35721"/>
    <cellStyle name="Normalny 2 2 7 4 3" xfId="35722"/>
    <cellStyle name="Normalny 2 2 7 4 3 2" xfId="35723"/>
    <cellStyle name="Normalny 2 2 7 4 3 2 2" xfId="35724"/>
    <cellStyle name="Normalny 2 2 7 4 3 3" xfId="35725"/>
    <cellStyle name="Normalny 2 2 7 4 4" xfId="35726"/>
    <cellStyle name="Normalny 2 2 7 4 4 2" xfId="35727"/>
    <cellStyle name="Normalny 2 2 7 4 4 2 2" xfId="35728"/>
    <cellStyle name="Normalny 2 2 7 4 4 3" xfId="35729"/>
    <cellStyle name="Normalny 2 2 7 4 5" xfId="35730"/>
    <cellStyle name="Normalny 2 2 7 4 5 2" xfId="35731"/>
    <cellStyle name="Normalny 2 2 7 4 6" xfId="35732"/>
    <cellStyle name="Normalny 2 2 7 5" xfId="35733"/>
    <cellStyle name="Normalny 2 2 7 5 2" xfId="35734"/>
    <cellStyle name="Normalny 2 2 7 5 2 2" xfId="35735"/>
    <cellStyle name="Normalny 2 2 7 5 2 2 2" xfId="35736"/>
    <cellStyle name="Normalny 2 2 7 5 2 3" xfId="35737"/>
    <cellStyle name="Normalny 2 2 7 5 3" xfId="35738"/>
    <cellStyle name="Normalny 2 2 7 5 3 2" xfId="35739"/>
    <cellStyle name="Normalny 2 2 7 5 3 2 2" xfId="35740"/>
    <cellStyle name="Normalny 2 2 7 5 3 3" xfId="35741"/>
    <cellStyle name="Normalny 2 2 7 5 4" xfId="35742"/>
    <cellStyle name="Normalny 2 2 7 5 4 2" xfId="35743"/>
    <cellStyle name="Normalny 2 2 7 5 4 2 2" xfId="35744"/>
    <cellStyle name="Normalny 2 2 7 5 4 3" xfId="35745"/>
    <cellStyle name="Normalny 2 2 7 5 5" xfId="35746"/>
    <cellStyle name="Normalny 2 2 7 5 5 2" xfId="35747"/>
    <cellStyle name="Normalny 2 2 7 5 6" xfId="35748"/>
    <cellStyle name="Normalny 2 2 7 6" xfId="35749"/>
    <cellStyle name="Normalny 2 2 7 6 2" xfId="35750"/>
    <cellStyle name="Normalny 2 2 7 6 2 2" xfId="35751"/>
    <cellStyle name="Normalny 2 2 7 6 2 2 2" xfId="35752"/>
    <cellStyle name="Normalny 2 2 7 6 2 3" xfId="35753"/>
    <cellStyle name="Normalny 2 2 7 6 3" xfId="35754"/>
    <cellStyle name="Normalny 2 2 7 6 3 2" xfId="35755"/>
    <cellStyle name="Normalny 2 2 7 6 3 2 2" xfId="35756"/>
    <cellStyle name="Normalny 2 2 7 6 3 3" xfId="35757"/>
    <cellStyle name="Normalny 2 2 7 6 4" xfId="35758"/>
    <cellStyle name="Normalny 2 2 7 6 4 2" xfId="35759"/>
    <cellStyle name="Normalny 2 2 7 6 4 2 2" xfId="35760"/>
    <cellStyle name="Normalny 2 2 7 6 4 3" xfId="35761"/>
    <cellStyle name="Normalny 2 2 7 6 5" xfId="35762"/>
    <cellStyle name="Normalny 2 2 7 6 5 2" xfId="35763"/>
    <cellStyle name="Normalny 2 2 7 6 6" xfId="35764"/>
    <cellStyle name="Normalny 2 2 8" xfId="35765"/>
    <cellStyle name="Normalny 2 2 8 2" xfId="35766"/>
    <cellStyle name="Normalny 2 2 9" xfId="35767"/>
    <cellStyle name="Normalny 2 2_2011'05 Raport PGE_DO-CO2" xfId="35768"/>
    <cellStyle name="Normalny 2 20" xfId="35769"/>
    <cellStyle name="Normalny 2 21" xfId="35770"/>
    <cellStyle name="Normalny 2 22" xfId="35771"/>
    <cellStyle name="Normalny 2 23" xfId="35772"/>
    <cellStyle name="Normalny 2 23 2" xfId="35773"/>
    <cellStyle name="Normalny 2 24" xfId="35774"/>
    <cellStyle name="Normalny 2 24 2" xfId="35775"/>
    <cellStyle name="Normalny 2 25" xfId="35776"/>
    <cellStyle name="Normalny 2 26" xfId="35777"/>
    <cellStyle name="Normalny 2 26 2" xfId="35778"/>
    <cellStyle name="Normalny 2 26 3" xfId="35779"/>
    <cellStyle name="Normalny 2 27" xfId="35780"/>
    <cellStyle name="Normalny 2 28" xfId="33390"/>
    <cellStyle name="Normalny 2 29" xfId="42982"/>
    <cellStyle name="Normalny 2 3" xfId="24"/>
    <cellStyle name="Normalny 2 3 2" xfId="20"/>
    <cellStyle name="Normalny 2 3 2 2" xfId="35781"/>
    <cellStyle name="Normalny 2 3 2 2 2" xfId="35782"/>
    <cellStyle name="Normalny 2 3 2 3" xfId="35783"/>
    <cellStyle name="Normalny 2 3 3" xfId="35784"/>
    <cellStyle name="Normalny 2 3 4" xfId="35785"/>
    <cellStyle name="Normalny 2 3 5" xfId="35786"/>
    <cellStyle name="Normalny 2 3 6" xfId="35787"/>
    <cellStyle name="Normalny 2 3 7" xfId="35788"/>
    <cellStyle name="Normalny 2 3 8" xfId="35789"/>
    <cellStyle name="Normalny 2 3_2011'05 Raport PGE_DO-CO2" xfId="35790"/>
    <cellStyle name="Normalny 2 30" xfId="42990"/>
    <cellStyle name="Normalny 2 31" xfId="42993"/>
    <cellStyle name="Normalny 2 32" xfId="42991"/>
    <cellStyle name="Normalny 2 33" xfId="42992"/>
    <cellStyle name="Normalny 2 34" xfId="16"/>
    <cellStyle name="Normalny 2 4" xfId="35791"/>
    <cellStyle name="Normalny 2 4 10" xfId="35792"/>
    <cellStyle name="Normalny 2 4 11" xfId="35793"/>
    <cellStyle name="Normalny 2 4 12" xfId="35794"/>
    <cellStyle name="Normalny 2 4 13" xfId="35795"/>
    <cellStyle name="Normalny 2 4 14" xfId="35796"/>
    <cellStyle name="Normalny 2 4 15" xfId="35797"/>
    <cellStyle name="Normalny 2 4 16" xfId="35798"/>
    <cellStyle name="Normalny 2 4 17" xfId="35799"/>
    <cellStyle name="Normalny 2 4 18" xfId="35800"/>
    <cellStyle name="Normalny 2 4 19" xfId="35801"/>
    <cellStyle name="Normalny 2 4 2" xfId="35802"/>
    <cellStyle name="Normalny 2 4 2 10" xfId="35803"/>
    <cellStyle name="Normalny 2 4 2 11" xfId="35804"/>
    <cellStyle name="Normalny 2 4 2 12" xfId="35805"/>
    <cellStyle name="Normalny 2 4 2 13" xfId="35806"/>
    <cellStyle name="Normalny 2 4 2 14" xfId="35807"/>
    <cellStyle name="Normalny 2 4 2 15" xfId="35808"/>
    <cellStyle name="Normalny 2 4 2 16" xfId="35809"/>
    <cellStyle name="Normalny 2 4 2 17" xfId="35810"/>
    <cellStyle name="Normalny 2 4 2 2" xfId="35811"/>
    <cellStyle name="Normalny 2 4 2 2 10" xfId="35812"/>
    <cellStyle name="Normalny 2 4 2 2 11" xfId="35813"/>
    <cellStyle name="Normalny 2 4 2 2 12" xfId="35814"/>
    <cellStyle name="Normalny 2 4 2 2 13" xfId="35815"/>
    <cellStyle name="Normalny 2 4 2 2 14" xfId="35816"/>
    <cellStyle name="Normalny 2 4 2 2 15" xfId="35817"/>
    <cellStyle name="Normalny 2 4 2 2 2" xfId="35818"/>
    <cellStyle name="Normalny 2 4 2 2 2 10" xfId="35819"/>
    <cellStyle name="Normalny 2 4 2 2 2 11" xfId="35820"/>
    <cellStyle name="Normalny 2 4 2 2 2 2" xfId="35821"/>
    <cellStyle name="Normalny 2 4 2 2 2 2 10" xfId="35822"/>
    <cellStyle name="Normalny 2 4 2 2 2 2 11" xfId="35823"/>
    <cellStyle name="Normalny 2 4 2 2 2 2 2" xfId="35824"/>
    <cellStyle name="Normalny 2 4 2 2 2 2 3" xfId="35825"/>
    <cellStyle name="Normalny 2 4 2 2 2 2 4" xfId="35826"/>
    <cellStyle name="Normalny 2 4 2 2 2 2 5" xfId="35827"/>
    <cellStyle name="Normalny 2 4 2 2 2 2 6" xfId="35828"/>
    <cellStyle name="Normalny 2 4 2 2 2 2 7" xfId="35829"/>
    <cellStyle name="Normalny 2 4 2 2 2 2 8" xfId="35830"/>
    <cellStyle name="Normalny 2 4 2 2 2 2 9" xfId="35831"/>
    <cellStyle name="Normalny 2 4 2 2 2 3" xfId="35832"/>
    <cellStyle name="Normalny 2 4 2 2 2 4" xfId="35833"/>
    <cellStyle name="Normalny 2 4 2 2 2 5" xfId="35834"/>
    <cellStyle name="Normalny 2 4 2 2 2 6" xfId="35835"/>
    <cellStyle name="Normalny 2 4 2 2 2 7" xfId="35836"/>
    <cellStyle name="Normalny 2 4 2 2 2 8" xfId="35837"/>
    <cellStyle name="Normalny 2 4 2 2 2 9" xfId="35838"/>
    <cellStyle name="Normalny 2 4 2 2 3" xfId="35839"/>
    <cellStyle name="Normalny 2 4 2 2 4" xfId="35840"/>
    <cellStyle name="Normalny 2 4 2 2 5" xfId="35841"/>
    <cellStyle name="Normalny 2 4 2 2 6" xfId="35842"/>
    <cellStyle name="Normalny 2 4 2 2 7" xfId="35843"/>
    <cellStyle name="Normalny 2 4 2 2 8" xfId="35844"/>
    <cellStyle name="Normalny 2 4 2 2 9" xfId="35845"/>
    <cellStyle name="Normalny 2 4 2 3" xfId="35846"/>
    <cellStyle name="Normalny 2 4 2 3 10" xfId="35847"/>
    <cellStyle name="Normalny 2 4 2 3 11" xfId="35848"/>
    <cellStyle name="Normalny 2 4 2 3 2" xfId="35849"/>
    <cellStyle name="Normalny 2 4 2 3 2 10" xfId="35850"/>
    <cellStyle name="Normalny 2 4 2 3 2 11" xfId="35851"/>
    <cellStyle name="Normalny 2 4 2 3 2 2" xfId="35852"/>
    <cellStyle name="Normalny 2 4 2 3 2 3" xfId="35853"/>
    <cellStyle name="Normalny 2 4 2 3 2 4" xfId="35854"/>
    <cellStyle name="Normalny 2 4 2 3 2 5" xfId="35855"/>
    <cellStyle name="Normalny 2 4 2 3 2 6" xfId="35856"/>
    <cellStyle name="Normalny 2 4 2 3 2 7" xfId="35857"/>
    <cellStyle name="Normalny 2 4 2 3 2 8" xfId="35858"/>
    <cellStyle name="Normalny 2 4 2 3 2 9" xfId="35859"/>
    <cellStyle name="Normalny 2 4 2 3 3" xfId="35860"/>
    <cellStyle name="Normalny 2 4 2 3 4" xfId="35861"/>
    <cellStyle name="Normalny 2 4 2 3 5" xfId="35862"/>
    <cellStyle name="Normalny 2 4 2 3 6" xfId="35863"/>
    <cellStyle name="Normalny 2 4 2 3 7" xfId="35864"/>
    <cellStyle name="Normalny 2 4 2 3 8" xfId="35865"/>
    <cellStyle name="Normalny 2 4 2 3 9" xfId="35866"/>
    <cellStyle name="Normalny 2 4 2 4" xfId="35867"/>
    <cellStyle name="Normalny 2 4 2 5" xfId="35868"/>
    <cellStyle name="Normalny 2 4 2 6" xfId="35869"/>
    <cellStyle name="Normalny 2 4 2 7" xfId="35870"/>
    <cellStyle name="Normalny 2 4 2 8" xfId="35871"/>
    <cellStyle name="Normalny 2 4 2 9" xfId="35872"/>
    <cellStyle name="Normalny 2 4 20" xfId="35873"/>
    <cellStyle name="Normalny 2 4 21" xfId="35874"/>
    <cellStyle name="Normalny 2 4 22" xfId="35875"/>
    <cellStyle name="Normalny 2 4 3" xfId="35876"/>
    <cellStyle name="Normalny 2 4 3 10" xfId="35877"/>
    <cellStyle name="Normalny 2 4 3 11" xfId="35878"/>
    <cellStyle name="Normalny 2 4 3 12" xfId="35879"/>
    <cellStyle name="Normalny 2 4 3 13" xfId="35880"/>
    <cellStyle name="Normalny 2 4 3 2" xfId="35881"/>
    <cellStyle name="Normalny 2 4 3 2 10" xfId="35882"/>
    <cellStyle name="Normalny 2 4 3 2 11" xfId="35883"/>
    <cellStyle name="Normalny 2 4 3 2 2" xfId="35884"/>
    <cellStyle name="Normalny 2 4 3 2 3" xfId="35885"/>
    <cellStyle name="Normalny 2 4 3 2 4" xfId="35886"/>
    <cellStyle name="Normalny 2 4 3 2 5" xfId="35887"/>
    <cellStyle name="Normalny 2 4 3 2 6" xfId="35888"/>
    <cellStyle name="Normalny 2 4 3 2 7" xfId="35889"/>
    <cellStyle name="Normalny 2 4 3 2 8" xfId="35890"/>
    <cellStyle name="Normalny 2 4 3 2 9" xfId="35891"/>
    <cellStyle name="Normalny 2 4 3 3" xfId="35892"/>
    <cellStyle name="Normalny 2 4 3 4" xfId="35893"/>
    <cellStyle name="Normalny 2 4 3 5" xfId="35894"/>
    <cellStyle name="Normalny 2 4 3 6" xfId="35895"/>
    <cellStyle name="Normalny 2 4 3 7" xfId="35896"/>
    <cellStyle name="Normalny 2 4 3 8" xfId="35897"/>
    <cellStyle name="Normalny 2 4 3 9" xfId="35898"/>
    <cellStyle name="Normalny 2 4 4" xfId="35899"/>
    <cellStyle name="Normalny 2 4 4 2" xfId="35900"/>
    <cellStyle name="Normalny 2 4 4 3" xfId="35901"/>
    <cellStyle name="Normalny 2 4 5" xfId="35902"/>
    <cellStyle name="Normalny 2 4 5 2" xfId="35903"/>
    <cellStyle name="Normalny 2 4 5 3" xfId="35904"/>
    <cellStyle name="Normalny 2 4 6" xfId="35905"/>
    <cellStyle name="Normalny 2 4 7" xfId="35906"/>
    <cellStyle name="Normalny 2 4 8" xfId="35907"/>
    <cellStyle name="Normalny 2 4 9" xfId="35908"/>
    <cellStyle name="Normalny 2 4_WSAD - WYTWEC" xfId="35909"/>
    <cellStyle name="Normalny 2 5" xfId="35910"/>
    <cellStyle name="Normalny 2 5 2" xfId="35911"/>
    <cellStyle name="Normalny 2 6" xfId="35912"/>
    <cellStyle name="Normalny 2 6 2" xfId="35913"/>
    <cellStyle name="Normalny 2 6 2 2" xfId="35914"/>
    <cellStyle name="Normalny 2 6 2 3" xfId="35915"/>
    <cellStyle name="Normalny 2 6 3" xfId="35916"/>
    <cellStyle name="Normalny 2 6 4" xfId="35917"/>
    <cellStyle name="Normalny 2 6 5" xfId="35918"/>
    <cellStyle name="Normalny 2 6 6" xfId="35919"/>
    <cellStyle name="Normalny 2 6 7" xfId="35920"/>
    <cellStyle name="Normalny 2 6_WSAD - WYTWEC" xfId="35921"/>
    <cellStyle name="Normalny 2 7" xfId="35922"/>
    <cellStyle name="Normalny 2 7 2" xfId="35923"/>
    <cellStyle name="Normalny 2 7 3" xfId="35924"/>
    <cellStyle name="Normalny 2 8" xfId="35925"/>
    <cellStyle name="Normalny 2 8 2" xfId="35926"/>
    <cellStyle name="Normalny 2 8 3" xfId="35927"/>
    <cellStyle name="Normalny 2 9" xfId="35928"/>
    <cellStyle name="Normalny 2 9 2" xfId="35929"/>
    <cellStyle name="Normalny 2 9 3" xfId="35930"/>
    <cellStyle name="Normalny 2_2011'05 Raport PGE_DO-CO2" xfId="35931"/>
    <cellStyle name="Normalny 20" xfId="35932"/>
    <cellStyle name="Normalny 20 10" xfId="35933"/>
    <cellStyle name="Normalny 20 11" xfId="35934"/>
    <cellStyle name="Normalny 20 12" xfId="35935"/>
    <cellStyle name="Normalny 20 13" xfId="35936"/>
    <cellStyle name="Normalny 20 14" xfId="35937"/>
    <cellStyle name="Normalny 20 15" xfId="35938"/>
    <cellStyle name="Normalny 20 16" xfId="35939"/>
    <cellStyle name="Normalny 20 17" xfId="35940"/>
    <cellStyle name="Normalny 20 18" xfId="35941"/>
    <cellStyle name="Normalny 20 19" xfId="35942"/>
    <cellStyle name="Normalny 20 2" xfId="35943"/>
    <cellStyle name="Normalny 20 2 10" xfId="35944"/>
    <cellStyle name="Normalny 20 2 11" xfId="35945"/>
    <cellStyle name="Normalny 20 2 12" xfId="35946"/>
    <cellStyle name="Normalny 20 2 13" xfId="35947"/>
    <cellStyle name="Normalny 20 2 14" xfId="35948"/>
    <cellStyle name="Normalny 20 2 15" xfId="35949"/>
    <cellStyle name="Normalny 20 2 16" xfId="35950"/>
    <cellStyle name="Normalny 20 2 17" xfId="35951"/>
    <cellStyle name="Normalny 20 2 18" xfId="35952"/>
    <cellStyle name="Normalny 20 2 19" xfId="35953"/>
    <cellStyle name="Normalny 20 2 2" xfId="35954"/>
    <cellStyle name="Normalny 20 2 3" xfId="35955"/>
    <cellStyle name="Normalny 20 2 4" xfId="35956"/>
    <cellStyle name="Normalny 20 2 5" xfId="35957"/>
    <cellStyle name="Normalny 20 2 6" xfId="35958"/>
    <cellStyle name="Normalny 20 2 7" xfId="35959"/>
    <cellStyle name="Normalny 20 2 8" xfId="35960"/>
    <cellStyle name="Normalny 20 2 9" xfId="35961"/>
    <cellStyle name="Normalny 20 20" xfId="35962"/>
    <cellStyle name="Normalny 20 3" xfId="35963"/>
    <cellStyle name="Normalny 20 4" xfId="35964"/>
    <cellStyle name="Normalny 20 5" xfId="35965"/>
    <cellStyle name="Normalny 20 6" xfId="35966"/>
    <cellStyle name="Normalny 20 7" xfId="35967"/>
    <cellStyle name="Normalny 20 8" xfId="35968"/>
    <cellStyle name="Normalny 20 9" xfId="35969"/>
    <cellStyle name="Normalny 200" xfId="35970"/>
    <cellStyle name="Normalny 201" xfId="35971"/>
    <cellStyle name="Normalny 202" xfId="35972"/>
    <cellStyle name="Normalny 203" xfId="35973"/>
    <cellStyle name="Normalny 204" xfId="35974"/>
    <cellStyle name="Normalny 205" xfId="35975"/>
    <cellStyle name="Normalny 206" xfId="35976"/>
    <cellStyle name="Normalny 207" xfId="35977"/>
    <cellStyle name="Normalny 208" xfId="35978"/>
    <cellStyle name="Normalny 209" xfId="35979"/>
    <cellStyle name="Normalny 21" xfId="35980"/>
    <cellStyle name="Normalny 21 10" xfId="35981"/>
    <cellStyle name="Normalny 21 11" xfId="35982"/>
    <cellStyle name="Normalny 21 12" xfId="35983"/>
    <cellStyle name="Normalny 21 13" xfId="35984"/>
    <cellStyle name="Normalny 21 14" xfId="35985"/>
    <cellStyle name="Normalny 21 15" xfId="35986"/>
    <cellStyle name="Normalny 21 16" xfId="35987"/>
    <cellStyle name="Normalny 21 17" xfId="35988"/>
    <cellStyle name="Normalny 21 18" xfId="35989"/>
    <cellStyle name="Normalny 21 19" xfId="35990"/>
    <cellStyle name="Normalny 21 2" xfId="35991"/>
    <cellStyle name="Normalny 21 2 10" xfId="35992"/>
    <cellStyle name="Normalny 21 2 11" xfId="35993"/>
    <cellStyle name="Normalny 21 2 12" xfId="35994"/>
    <cellStyle name="Normalny 21 2 13" xfId="35995"/>
    <cellStyle name="Normalny 21 2 14" xfId="35996"/>
    <cellStyle name="Normalny 21 2 15" xfId="35997"/>
    <cellStyle name="Normalny 21 2 16" xfId="35998"/>
    <cellStyle name="Normalny 21 2 17" xfId="35999"/>
    <cellStyle name="Normalny 21 2 18" xfId="36000"/>
    <cellStyle name="Normalny 21 2 19" xfId="36001"/>
    <cellStyle name="Normalny 21 2 2" xfId="36002"/>
    <cellStyle name="Normalny 21 2 2 2" xfId="36003"/>
    <cellStyle name="Normalny 21 2 20" xfId="36004"/>
    <cellStyle name="Normalny 21 2 20 2" xfId="36005"/>
    <cellStyle name="Normalny 21 2 3" xfId="36006"/>
    <cellStyle name="Normalny 21 2 4" xfId="36007"/>
    <cellStyle name="Normalny 21 2 5" xfId="36008"/>
    <cellStyle name="Normalny 21 2 6" xfId="36009"/>
    <cellStyle name="Normalny 21 2 7" xfId="36010"/>
    <cellStyle name="Normalny 21 2 8" xfId="36011"/>
    <cellStyle name="Normalny 21 2 9" xfId="36012"/>
    <cellStyle name="Normalny 21 20" xfId="36013"/>
    <cellStyle name="Normalny 21 21" xfId="36014"/>
    <cellStyle name="Normalny 21 21 2" xfId="36015"/>
    <cellStyle name="Normalny 21 22" xfId="36016"/>
    <cellStyle name="Normalny 21 22 2" xfId="36017"/>
    <cellStyle name="Normalny 21 23" xfId="36018"/>
    <cellStyle name="Normalny 21 3" xfId="36019"/>
    <cellStyle name="Normalny 21 3 2" xfId="36020"/>
    <cellStyle name="Normalny 21 4" xfId="36021"/>
    <cellStyle name="Normalny 21 5" xfId="36022"/>
    <cellStyle name="Normalny 21 6" xfId="36023"/>
    <cellStyle name="Normalny 21 7" xfId="36024"/>
    <cellStyle name="Normalny 21 8" xfId="36025"/>
    <cellStyle name="Normalny 21 9" xfId="36026"/>
    <cellStyle name="Normalny 21_2011'05 Raport PGE_DO-CO2" xfId="36027"/>
    <cellStyle name="Normalny 210" xfId="36028"/>
    <cellStyle name="Normalny 211" xfId="36029"/>
    <cellStyle name="Normalny 212" xfId="36030"/>
    <cellStyle name="Normalny 213" xfId="36031"/>
    <cellStyle name="Normalny 214" xfId="36032"/>
    <cellStyle name="Normalny 215" xfId="36033"/>
    <cellStyle name="Normalny 216" xfId="36034"/>
    <cellStyle name="Normalny 217" xfId="36035"/>
    <cellStyle name="Normalny 218" xfId="36036"/>
    <cellStyle name="Normalny 219" xfId="36037"/>
    <cellStyle name="Normalny 22" xfId="36038"/>
    <cellStyle name="Normalny 22 10" xfId="36039"/>
    <cellStyle name="Normalny 22 11" xfId="36040"/>
    <cellStyle name="Normalny 22 12" xfId="36041"/>
    <cellStyle name="Normalny 22 13" xfId="36042"/>
    <cellStyle name="Normalny 22 14" xfId="36043"/>
    <cellStyle name="Normalny 22 15" xfId="36044"/>
    <cellStyle name="Normalny 22 16" xfId="36045"/>
    <cellStyle name="Normalny 22 17" xfId="36046"/>
    <cellStyle name="Normalny 22 18" xfId="36047"/>
    <cellStyle name="Normalny 22 19" xfId="36048"/>
    <cellStyle name="Normalny 22 2" xfId="36049"/>
    <cellStyle name="Normalny 22 20" xfId="36050"/>
    <cellStyle name="Normalny 22 20 2" xfId="36051"/>
    <cellStyle name="Normalny 22 21" xfId="36052"/>
    <cellStyle name="Normalny 22 22" xfId="36053"/>
    <cellStyle name="Normalny 22 3" xfId="36054"/>
    <cellStyle name="Normalny 22 4" xfId="36055"/>
    <cellStyle name="Normalny 22 5" xfId="36056"/>
    <cellStyle name="Normalny 22 6" xfId="36057"/>
    <cellStyle name="Normalny 22 7" xfId="36058"/>
    <cellStyle name="Normalny 22 8" xfId="36059"/>
    <cellStyle name="Normalny 22 9" xfId="36060"/>
    <cellStyle name="Normalny 220" xfId="36061"/>
    <cellStyle name="Normalny 221" xfId="36062"/>
    <cellStyle name="Normalny 222" xfId="36063"/>
    <cellStyle name="Normalny 223" xfId="36064"/>
    <cellStyle name="Normalny 224" xfId="36065"/>
    <cellStyle name="Normalny 225" xfId="36066"/>
    <cellStyle name="Normalny 226" xfId="36067"/>
    <cellStyle name="Normalny 227" xfId="36068"/>
    <cellStyle name="Normalny 228" xfId="36069"/>
    <cellStyle name="Normalny 229" xfId="36070"/>
    <cellStyle name="Normalny 23" xfId="36071"/>
    <cellStyle name="Normalny 23 10" xfId="36072"/>
    <cellStyle name="Normalny 23 11" xfId="36073"/>
    <cellStyle name="Normalny 23 12" xfId="36074"/>
    <cellStyle name="Normalny 23 13" xfId="36075"/>
    <cellStyle name="Normalny 23 14" xfId="36076"/>
    <cellStyle name="Normalny 23 15" xfId="36077"/>
    <cellStyle name="Normalny 23 16" xfId="36078"/>
    <cellStyle name="Normalny 23 17" xfId="36079"/>
    <cellStyle name="Normalny 23 18" xfId="36080"/>
    <cellStyle name="Normalny 23 19" xfId="36081"/>
    <cellStyle name="Normalny 23 2" xfId="36082"/>
    <cellStyle name="Normalny 23 2 2" xfId="36083"/>
    <cellStyle name="Normalny 23 20" xfId="36084"/>
    <cellStyle name="Normalny 23 3" xfId="36085"/>
    <cellStyle name="Normalny 23 4" xfId="36086"/>
    <cellStyle name="Normalny 23 5" xfId="36087"/>
    <cellStyle name="Normalny 23 6" xfId="36088"/>
    <cellStyle name="Normalny 23 7" xfId="36089"/>
    <cellStyle name="Normalny 23 8" xfId="36090"/>
    <cellStyle name="Normalny 23 9" xfId="36091"/>
    <cellStyle name="Normalny 23_2011'07 Raport PGE_DO-węgiel" xfId="36092"/>
    <cellStyle name="Normalny 230" xfId="36093"/>
    <cellStyle name="Normalny 231" xfId="36094"/>
    <cellStyle name="Normalny 232" xfId="36095"/>
    <cellStyle name="Normalny 233" xfId="36096"/>
    <cellStyle name="Normalny 234" xfId="36097"/>
    <cellStyle name="Normalny 235" xfId="36098"/>
    <cellStyle name="Normalny 236" xfId="36099"/>
    <cellStyle name="Normalny 237" xfId="36100"/>
    <cellStyle name="Normalny 238" xfId="36101"/>
    <cellStyle name="Normalny 239" xfId="36102"/>
    <cellStyle name="Normalny 24" xfId="36103"/>
    <cellStyle name="Normalny 24 10" xfId="36104"/>
    <cellStyle name="Normalny 24 11" xfId="36105"/>
    <cellStyle name="Normalny 24 12" xfId="36106"/>
    <cellStyle name="Normalny 24 13" xfId="36107"/>
    <cellStyle name="Normalny 24 14" xfId="36108"/>
    <cellStyle name="Normalny 24 15" xfId="36109"/>
    <cellStyle name="Normalny 24 16" xfId="36110"/>
    <cellStyle name="Normalny 24 17" xfId="36111"/>
    <cellStyle name="Normalny 24 18" xfId="36112"/>
    <cellStyle name="Normalny 24 19" xfId="36113"/>
    <cellStyle name="Normalny 24 2" xfId="36114"/>
    <cellStyle name="Normalny 24 20" xfId="36115"/>
    <cellStyle name="Normalny 24 3" xfId="36116"/>
    <cellStyle name="Normalny 24 4" xfId="36117"/>
    <cellStyle name="Normalny 24 5" xfId="36118"/>
    <cellStyle name="Normalny 24 6" xfId="36119"/>
    <cellStyle name="Normalny 24 7" xfId="36120"/>
    <cellStyle name="Normalny 24 8" xfId="36121"/>
    <cellStyle name="Normalny 24 9" xfId="36122"/>
    <cellStyle name="Normalny 240" xfId="36123"/>
    <cellStyle name="Normalny 241" xfId="36124"/>
    <cellStyle name="Normalny 242" xfId="36125"/>
    <cellStyle name="Normalny 243" xfId="36126"/>
    <cellStyle name="Normalny 244" xfId="36127"/>
    <cellStyle name="Normalny 245" xfId="36128"/>
    <cellStyle name="Normalny 246" xfId="36129"/>
    <cellStyle name="Normalny 247" xfId="36130"/>
    <cellStyle name="Normalny 248" xfId="36131"/>
    <cellStyle name="Normalny 249" xfId="36132"/>
    <cellStyle name="Normalny 25" xfId="36133"/>
    <cellStyle name="Normalny 25 2" xfId="36134"/>
    <cellStyle name="Normalny 250" xfId="36135"/>
    <cellStyle name="Normalny 251" xfId="36136"/>
    <cellStyle name="Normalny 252" xfId="36137"/>
    <cellStyle name="Normalny 253" xfId="36138"/>
    <cellStyle name="Normalny 254" xfId="36139"/>
    <cellStyle name="Normalny 255" xfId="36140"/>
    <cellStyle name="Normalny 256" xfId="36141"/>
    <cellStyle name="Normalny 257" xfId="36142"/>
    <cellStyle name="Normalny 258" xfId="36143"/>
    <cellStyle name="Normalny 259" xfId="36144"/>
    <cellStyle name="Normalny 26" xfId="36145"/>
    <cellStyle name="Normalny 26 2" xfId="36146"/>
    <cellStyle name="Normalny 260" xfId="36147"/>
    <cellStyle name="Normalny 261" xfId="36148"/>
    <cellStyle name="Normalny 262" xfId="36149"/>
    <cellStyle name="Normalny 263" xfId="36150"/>
    <cellStyle name="Normalny 264" xfId="36151"/>
    <cellStyle name="Normalny 265" xfId="36152"/>
    <cellStyle name="Normalny 266" xfId="36153"/>
    <cellStyle name="Normalny 267" xfId="36154"/>
    <cellStyle name="Normalny 268" xfId="36155"/>
    <cellStyle name="Normalny 269" xfId="36156"/>
    <cellStyle name="Normalny 27" xfId="36157"/>
    <cellStyle name="Normalny 27 10" xfId="36158"/>
    <cellStyle name="Normalny 27 11" xfId="36159"/>
    <cellStyle name="Normalny 27 12" xfId="36160"/>
    <cellStyle name="Normalny 27 13" xfId="36161"/>
    <cellStyle name="Normalny 27 14" xfId="36162"/>
    <cellStyle name="Normalny 27 15" xfId="36163"/>
    <cellStyle name="Normalny 27 16" xfId="36164"/>
    <cellStyle name="Normalny 27 17" xfId="36165"/>
    <cellStyle name="Normalny 27 18" xfId="36166"/>
    <cellStyle name="Normalny 27 19" xfId="36167"/>
    <cellStyle name="Normalny 27 2" xfId="36168"/>
    <cellStyle name="Normalny 27 2 2" xfId="36169"/>
    <cellStyle name="Normalny 27 2 3" xfId="36170"/>
    <cellStyle name="Normalny 27 20" xfId="36171"/>
    <cellStyle name="Normalny 27 3" xfId="36172"/>
    <cellStyle name="Normalny 27 3 2" xfId="36173"/>
    <cellStyle name="Normalny 27 4" xfId="36174"/>
    <cellStyle name="Normalny 27 5" xfId="36175"/>
    <cellStyle name="Normalny 27 6" xfId="36176"/>
    <cellStyle name="Normalny 27 7" xfId="36177"/>
    <cellStyle name="Normalny 27 8" xfId="36178"/>
    <cellStyle name="Normalny 27 9" xfId="36179"/>
    <cellStyle name="Normalny 270" xfId="36180"/>
    <cellStyle name="Normalny 271" xfId="36181"/>
    <cellStyle name="Normalny 272" xfId="36182"/>
    <cellStyle name="Normalny 273" xfId="36183"/>
    <cellStyle name="Normalny 274" xfId="36184"/>
    <cellStyle name="Normalny 275" xfId="36185"/>
    <cellStyle name="Normalny 276" xfId="36186"/>
    <cellStyle name="Normalny 277" xfId="36187"/>
    <cellStyle name="Normalny 278" xfId="36188"/>
    <cellStyle name="Normalny 279" xfId="36189"/>
    <cellStyle name="Normalny 28" xfId="36190"/>
    <cellStyle name="Normalny 28 2" xfId="36191"/>
    <cellStyle name="Normalny 280" xfId="36192"/>
    <cellStyle name="Normalny 281" xfId="36193"/>
    <cellStyle name="Normalny 282" xfId="36194"/>
    <cellStyle name="Normalny 283" xfId="36195"/>
    <cellStyle name="Normalny 284" xfId="36196"/>
    <cellStyle name="Normalny 285" xfId="36197"/>
    <cellStyle name="Normalny 286" xfId="36198"/>
    <cellStyle name="Normalny 287" xfId="36199"/>
    <cellStyle name="Normalny 288" xfId="36200"/>
    <cellStyle name="Normalny 289" xfId="36201"/>
    <cellStyle name="Normalny 29" xfId="36202"/>
    <cellStyle name="Normalny 29 2" xfId="36203"/>
    <cellStyle name="Normalny 29 3" xfId="36204"/>
    <cellStyle name="Normalny 290" xfId="36205"/>
    <cellStyle name="Normalny 291" xfId="36206"/>
    <cellStyle name="Normalny 292" xfId="36207"/>
    <cellStyle name="Normalny 293" xfId="36208"/>
    <cellStyle name="Normalny 294" xfId="36209"/>
    <cellStyle name="Normalny 295" xfId="36210"/>
    <cellStyle name="Normalny 296" xfId="36211"/>
    <cellStyle name="Normalny 297" xfId="36212"/>
    <cellStyle name="Normalny 298" xfId="36213"/>
    <cellStyle name="Normalny 299" xfId="36214"/>
    <cellStyle name="Normalny 3" xfId="2"/>
    <cellStyle name="Normalny 3 10" xfId="36216"/>
    <cellStyle name="Normalny 3 10 2" xfId="36217"/>
    <cellStyle name="Normalny 3 10 2 2" xfId="36218"/>
    <cellStyle name="Normalny 3 10 3" xfId="36219"/>
    <cellStyle name="Normalny 3 11" xfId="36220"/>
    <cellStyle name="Normalny 3 12" xfId="36221"/>
    <cellStyle name="Normalny 3 13" xfId="36222"/>
    <cellStyle name="Normalny 3 14" xfId="36223"/>
    <cellStyle name="Normalny 3 15" xfId="36224"/>
    <cellStyle name="Normalny 3 16" xfId="36225"/>
    <cellStyle name="Normalny 3 17" xfId="36226"/>
    <cellStyle name="Normalny 3 18" xfId="36227"/>
    <cellStyle name="Normalny 3 19" xfId="36228"/>
    <cellStyle name="Normalny 3 2" xfId="18"/>
    <cellStyle name="Normalny 3 2 10" xfId="36230"/>
    <cellStyle name="Normalny 3 2 11" xfId="36231"/>
    <cellStyle name="Normalny 3 2 12" xfId="36232"/>
    <cellStyle name="Normalny 3 2 12 2" xfId="36233"/>
    <cellStyle name="Normalny 3 2 12 2 2" xfId="36234"/>
    <cellStyle name="Normalny 3 2 12 2 2 2" xfId="36235"/>
    <cellStyle name="Normalny 3 2 12 2 2 2 2" xfId="36236"/>
    <cellStyle name="Normalny 3 2 12 2 2 3" xfId="36237"/>
    <cellStyle name="Normalny 3 2 12 2 3" xfId="36238"/>
    <cellStyle name="Normalny 3 2 12 2 3 2" xfId="36239"/>
    <cellStyle name="Normalny 3 2 12 2 3 2 2" xfId="36240"/>
    <cellStyle name="Normalny 3 2 12 2 3 3" xfId="36241"/>
    <cellStyle name="Normalny 3 2 12 2 4" xfId="36242"/>
    <cellStyle name="Normalny 3 2 12 2 4 2" xfId="36243"/>
    <cellStyle name="Normalny 3 2 12 2 5" xfId="36244"/>
    <cellStyle name="Normalny 3 2 12 3" xfId="36245"/>
    <cellStyle name="Normalny 3 2 12 3 2" xfId="36246"/>
    <cellStyle name="Normalny 3 2 12 3 2 2" xfId="36247"/>
    <cellStyle name="Normalny 3 2 12 3 3" xfId="36248"/>
    <cellStyle name="Normalny 3 2 12 4" xfId="36249"/>
    <cellStyle name="Normalny 3 2 12 4 2" xfId="36250"/>
    <cellStyle name="Normalny 3 2 12 4 2 2" xfId="36251"/>
    <cellStyle name="Normalny 3 2 12 4 3" xfId="36252"/>
    <cellStyle name="Normalny 3 2 12 5" xfId="36253"/>
    <cellStyle name="Normalny 3 2 12 5 2" xfId="36254"/>
    <cellStyle name="Normalny 3 2 12 6" xfId="36255"/>
    <cellStyle name="Normalny 3 2 13" xfId="36256"/>
    <cellStyle name="Normalny 3 2 13 2" xfId="36257"/>
    <cellStyle name="Normalny 3 2 14" xfId="36258"/>
    <cellStyle name="Normalny 3 2 15" xfId="36259"/>
    <cellStyle name="Normalny 3 2 16" xfId="36260"/>
    <cellStyle name="Normalny 3 2 17" xfId="36261"/>
    <cellStyle name="Normalny 3 2 18" xfId="36262"/>
    <cellStyle name="Normalny 3 2 19" xfId="36263"/>
    <cellStyle name="Normalny 3 2 2" xfId="36264"/>
    <cellStyle name="Normalny 3 2 2 10" xfId="36265"/>
    <cellStyle name="Normalny 3 2 2 11" xfId="36266"/>
    <cellStyle name="Normalny 3 2 2 12" xfId="36267"/>
    <cellStyle name="Normalny 3 2 2 12 2" xfId="36268"/>
    <cellStyle name="Normalny 3 2 2 12 2 2" xfId="36269"/>
    <cellStyle name="Normalny 3 2 2 12 3" xfId="36270"/>
    <cellStyle name="Normalny 3 2 2 13" xfId="36271"/>
    <cellStyle name="Normalny 3 2 2 13 2" xfId="36272"/>
    <cellStyle name="Normalny 3 2 2 14" xfId="36273"/>
    <cellStyle name="Normalny 3 2 2 2" xfId="36274"/>
    <cellStyle name="Normalny 3 2 2 2 2" xfId="36275"/>
    <cellStyle name="Normalny 3 2 2 3" xfId="36276"/>
    <cellStyle name="Normalny 3 2 2 4" xfId="36277"/>
    <cellStyle name="Normalny 3 2 2 5" xfId="36278"/>
    <cellStyle name="Normalny 3 2 2 6" xfId="36279"/>
    <cellStyle name="Normalny 3 2 2 7" xfId="36280"/>
    <cellStyle name="Normalny 3 2 2 8" xfId="36281"/>
    <cellStyle name="Normalny 3 2 2 9" xfId="36282"/>
    <cellStyle name="Normalny 3 2 2_2011'05 Raport PGE_DO-CO2" xfId="36283"/>
    <cellStyle name="Normalny 3 2 20" xfId="36284"/>
    <cellStyle name="Normalny 3 2 21" xfId="36285"/>
    <cellStyle name="Normalny 3 2 22" xfId="36286"/>
    <cellStyle name="Normalny 3 2 23" xfId="36229"/>
    <cellStyle name="Normalny 3 2 3" xfId="36287"/>
    <cellStyle name="Normalny 3 2 4" xfId="36288"/>
    <cellStyle name="Normalny 3 2 5" xfId="36289"/>
    <cellStyle name="Normalny 3 2 6" xfId="36290"/>
    <cellStyle name="Normalny 3 2 7" xfId="36291"/>
    <cellStyle name="Normalny 3 2 8" xfId="36292"/>
    <cellStyle name="Normalny 3 2 9" xfId="36293"/>
    <cellStyle name="Normalny 3 2_2011'05 Raport PGE_DO-CO2" xfId="36294"/>
    <cellStyle name="Normalny 3 20" xfId="36295"/>
    <cellStyle name="Normalny 3 21" xfId="36296"/>
    <cellStyle name="Normalny 3 22" xfId="36215"/>
    <cellStyle name="Normalny 3 23" xfId="17"/>
    <cellStyle name="Normalny 3 3" xfId="25"/>
    <cellStyle name="Normalny 3 3 2" xfId="36297"/>
    <cellStyle name="Normalny 3 3 3" xfId="36298"/>
    <cellStyle name="Normalny 3 3 4" xfId="36299"/>
    <cellStyle name="Normalny 3 3 4 2" xfId="36300"/>
    <cellStyle name="Normalny 3 3 4 3" xfId="36301"/>
    <cellStyle name="Normalny 3 3 5" xfId="36302"/>
    <cellStyle name="Normalny 3 3 5 2" xfId="36303"/>
    <cellStyle name="Normalny 3 3 6" xfId="36304"/>
    <cellStyle name="Normalny 3 3_2011'05 Raport PGE_DO-CO2" xfId="36305"/>
    <cellStyle name="Normalny 3 4" xfId="36306"/>
    <cellStyle name="Normalny 3 4 2" xfId="36307"/>
    <cellStyle name="Normalny 3 4 3" xfId="36308"/>
    <cellStyle name="Normalny 3 5" xfId="36309"/>
    <cellStyle name="Normalny 3 5 2" xfId="36310"/>
    <cellStyle name="Normalny 3 5 3" xfId="36311"/>
    <cellStyle name="Normalny 3 6" xfId="36312"/>
    <cellStyle name="Normalny 3 7" xfId="36313"/>
    <cellStyle name="Normalny 3 8" xfId="36314"/>
    <cellStyle name="Normalny 3 9" xfId="36315"/>
    <cellStyle name="Normalny 3_2011'05 Raport PGE_DO-CO2" xfId="36316"/>
    <cellStyle name="Normalny 30" xfId="36317"/>
    <cellStyle name="Normalny 300" xfId="36318"/>
    <cellStyle name="Normalny 301" xfId="36319"/>
    <cellStyle name="Normalny 302" xfId="36320"/>
    <cellStyle name="Normalny 303" xfId="36321"/>
    <cellStyle name="Normalny 304" xfId="36322"/>
    <cellStyle name="Normalny 305" xfId="36323"/>
    <cellStyle name="Normalny 306" xfId="36324"/>
    <cellStyle name="Normalny 307" xfId="36325"/>
    <cellStyle name="Normalny 308" xfId="36326"/>
    <cellStyle name="Normalny 309" xfId="36327"/>
    <cellStyle name="Normalny 31" xfId="36328"/>
    <cellStyle name="Normalny 31 2" xfId="36329"/>
    <cellStyle name="Normalny 310" xfId="36330"/>
    <cellStyle name="Normalny 311" xfId="36331"/>
    <cellStyle name="Normalny 312" xfId="36332"/>
    <cellStyle name="Normalny 313" xfId="36333"/>
    <cellStyle name="Normalny 314" xfId="36334"/>
    <cellStyle name="Normalny 315" xfId="36335"/>
    <cellStyle name="Normalny 316" xfId="36336"/>
    <cellStyle name="Normalny 317" xfId="36337"/>
    <cellStyle name="Normalny 318" xfId="36338"/>
    <cellStyle name="Normalny 319" xfId="36339"/>
    <cellStyle name="Normalny 32" xfId="36340"/>
    <cellStyle name="Normalny 32 10" xfId="36341"/>
    <cellStyle name="Normalny 32 11" xfId="36342"/>
    <cellStyle name="Normalny 32 12" xfId="36343"/>
    <cellStyle name="Normalny 32 13" xfId="36344"/>
    <cellStyle name="Normalny 32 14" xfId="36345"/>
    <cellStyle name="Normalny 32 15" xfId="36346"/>
    <cellStyle name="Normalny 32 16" xfId="36347"/>
    <cellStyle name="Normalny 32 17" xfId="36348"/>
    <cellStyle name="Normalny 32 18" xfId="36349"/>
    <cellStyle name="Normalny 32 19" xfId="36350"/>
    <cellStyle name="Normalny 32 2" xfId="36351"/>
    <cellStyle name="Normalny 32 3" xfId="36352"/>
    <cellStyle name="Normalny 32 4" xfId="36353"/>
    <cellStyle name="Normalny 32 5" xfId="36354"/>
    <cellStyle name="Normalny 32 6" xfId="36355"/>
    <cellStyle name="Normalny 32 7" xfId="36356"/>
    <cellStyle name="Normalny 32 8" xfId="36357"/>
    <cellStyle name="Normalny 32 9" xfId="36358"/>
    <cellStyle name="Normalny 320" xfId="36359"/>
    <cellStyle name="Normalny 321" xfId="36360"/>
    <cellStyle name="Normalny 322" xfId="36361"/>
    <cellStyle name="Normalny 323" xfId="36362"/>
    <cellStyle name="Normalny 324" xfId="36363"/>
    <cellStyle name="Normalny 325" xfId="36364"/>
    <cellStyle name="Normalny 326" xfId="36365"/>
    <cellStyle name="Normalny 327" xfId="36366"/>
    <cellStyle name="Normalny 328" xfId="36367"/>
    <cellStyle name="Normalny 329" xfId="36368"/>
    <cellStyle name="Normalny 33" xfId="36369"/>
    <cellStyle name="Normalny 33 10" xfId="36370"/>
    <cellStyle name="Normalny 33 11" xfId="36371"/>
    <cellStyle name="Normalny 33 12" xfId="36372"/>
    <cellStyle name="Normalny 33 13" xfId="36373"/>
    <cellStyle name="Normalny 33 14" xfId="36374"/>
    <cellStyle name="Normalny 33 15" xfId="36375"/>
    <cellStyle name="Normalny 33 16" xfId="36376"/>
    <cellStyle name="Normalny 33 17" xfId="36377"/>
    <cellStyle name="Normalny 33 18" xfId="36378"/>
    <cellStyle name="Normalny 33 19" xfId="36379"/>
    <cellStyle name="Normalny 33 2" xfId="36380"/>
    <cellStyle name="Normalny 33 3" xfId="36381"/>
    <cellStyle name="Normalny 33 4" xfId="36382"/>
    <cellStyle name="Normalny 33 5" xfId="36383"/>
    <cellStyle name="Normalny 33 6" xfId="36384"/>
    <cellStyle name="Normalny 33 7" xfId="36385"/>
    <cellStyle name="Normalny 33 8" xfId="36386"/>
    <cellStyle name="Normalny 33 9" xfId="36387"/>
    <cellStyle name="Normalny 330" xfId="36388"/>
    <cellStyle name="Normalny 331" xfId="36389"/>
    <cellStyle name="Normalny 332" xfId="36390"/>
    <cellStyle name="Normalny 333" xfId="42995"/>
    <cellStyle name="Normalny 334" xfId="42996"/>
    <cellStyle name="Normalny 34" xfId="36391"/>
    <cellStyle name="Normalny 35" xfId="36392"/>
    <cellStyle name="Normalny 350" xfId="42970"/>
    <cellStyle name="Normalny 36" xfId="36393"/>
    <cellStyle name="Normalny 37" xfId="36394"/>
    <cellStyle name="Normalny 38" xfId="36395"/>
    <cellStyle name="Normalny 39" xfId="36396"/>
    <cellStyle name="Normalny 4" xfId="4"/>
    <cellStyle name="Normalny 4 10" xfId="36398"/>
    <cellStyle name="Normalny 4 11" xfId="36399"/>
    <cellStyle name="Normalny 4 12" xfId="36400"/>
    <cellStyle name="Normalny 4 13" xfId="36401"/>
    <cellStyle name="Normalny 4 14" xfId="36402"/>
    <cellStyle name="Normalny 4 15" xfId="36403"/>
    <cellStyle name="Normalny 4 16" xfId="36404"/>
    <cellStyle name="Normalny 4 17" xfId="36405"/>
    <cellStyle name="Normalny 4 18" xfId="36406"/>
    <cellStyle name="Normalny 4 19" xfId="36407"/>
    <cellStyle name="Normalny 4 2" xfId="10"/>
    <cellStyle name="Normalny 4 2 10" xfId="36408"/>
    <cellStyle name="Normalny 4 2 11" xfId="36409"/>
    <cellStyle name="Normalny 4 2 12" xfId="36410"/>
    <cellStyle name="Normalny 4 2 13" xfId="36411"/>
    <cellStyle name="Normalny 4 2 14" xfId="36412"/>
    <cellStyle name="Normalny 4 2 15" xfId="36413"/>
    <cellStyle name="Normalny 4 2 16" xfId="36414"/>
    <cellStyle name="Normalny 4 2 17" xfId="36415"/>
    <cellStyle name="Normalny 4 2 18" xfId="36416"/>
    <cellStyle name="Normalny 4 2 19" xfId="36417"/>
    <cellStyle name="Normalny 4 2 2" xfId="36418"/>
    <cellStyle name="Normalny 4 2 2 10" xfId="36419"/>
    <cellStyle name="Normalny 4 2 2 11" xfId="36420"/>
    <cellStyle name="Normalny 4 2 2 12" xfId="36421"/>
    <cellStyle name="Normalny 4 2 2 13" xfId="36422"/>
    <cellStyle name="Normalny 4 2 2 14" xfId="36423"/>
    <cellStyle name="Normalny 4 2 2 15" xfId="36424"/>
    <cellStyle name="Normalny 4 2 2 16" xfId="36425"/>
    <cellStyle name="Normalny 4 2 2 17" xfId="36426"/>
    <cellStyle name="Normalny 4 2 2 18" xfId="36427"/>
    <cellStyle name="Normalny 4 2 2 19" xfId="36428"/>
    <cellStyle name="Normalny 4 2 2 2" xfId="36429"/>
    <cellStyle name="Normalny 4 2 2 2 10" xfId="36430"/>
    <cellStyle name="Normalny 4 2 2 2 11" xfId="36431"/>
    <cellStyle name="Normalny 4 2 2 2 12" xfId="36432"/>
    <cellStyle name="Normalny 4 2 2 2 13" xfId="36433"/>
    <cellStyle name="Normalny 4 2 2 2 14" xfId="36434"/>
    <cellStyle name="Normalny 4 2 2 2 15" xfId="36435"/>
    <cellStyle name="Normalny 4 2 2 2 16" xfId="36436"/>
    <cellStyle name="Normalny 4 2 2 2 17" xfId="36437"/>
    <cellStyle name="Normalny 4 2 2 2 18" xfId="36438"/>
    <cellStyle name="Normalny 4 2 2 2 19" xfId="36439"/>
    <cellStyle name="Normalny 4 2 2 2 2" xfId="36440"/>
    <cellStyle name="Normalny 4 2 2 2 2 10" xfId="36441"/>
    <cellStyle name="Normalny 4 2 2 2 2 11" xfId="36442"/>
    <cellStyle name="Normalny 4 2 2 2 2 12" xfId="36443"/>
    <cellStyle name="Normalny 4 2 2 2 2 13" xfId="36444"/>
    <cellStyle name="Normalny 4 2 2 2 2 14" xfId="36445"/>
    <cellStyle name="Normalny 4 2 2 2 2 15" xfId="36446"/>
    <cellStyle name="Normalny 4 2 2 2 2 16" xfId="36447"/>
    <cellStyle name="Normalny 4 2 2 2 2 17" xfId="36448"/>
    <cellStyle name="Normalny 4 2 2 2 2 18" xfId="36449"/>
    <cellStyle name="Normalny 4 2 2 2 2 19" xfId="36450"/>
    <cellStyle name="Normalny 4 2 2 2 2 2" xfId="36451"/>
    <cellStyle name="Normalny 4 2 2 2 2 2 10" xfId="36452"/>
    <cellStyle name="Normalny 4 2 2 2 2 2 11" xfId="36453"/>
    <cellStyle name="Normalny 4 2 2 2 2 2 2" xfId="36454"/>
    <cellStyle name="Normalny 4 2 2 2 2 2 2 10" xfId="36455"/>
    <cellStyle name="Normalny 4 2 2 2 2 2 2 11" xfId="36456"/>
    <cellStyle name="Normalny 4 2 2 2 2 2 2 2" xfId="36457"/>
    <cellStyle name="Normalny 4 2 2 2 2 2 2 3" xfId="36458"/>
    <cellStyle name="Normalny 4 2 2 2 2 2 2 4" xfId="36459"/>
    <cellStyle name="Normalny 4 2 2 2 2 2 2 5" xfId="36460"/>
    <cellStyle name="Normalny 4 2 2 2 2 2 2 6" xfId="36461"/>
    <cellStyle name="Normalny 4 2 2 2 2 2 2 7" xfId="36462"/>
    <cellStyle name="Normalny 4 2 2 2 2 2 2 8" xfId="36463"/>
    <cellStyle name="Normalny 4 2 2 2 2 2 2 9" xfId="36464"/>
    <cellStyle name="Normalny 4 2 2 2 2 2 3" xfId="36465"/>
    <cellStyle name="Normalny 4 2 2 2 2 2 4" xfId="36466"/>
    <cellStyle name="Normalny 4 2 2 2 2 2 5" xfId="36467"/>
    <cellStyle name="Normalny 4 2 2 2 2 2 6" xfId="36468"/>
    <cellStyle name="Normalny 4 2 2 2 2 2 7" xfId="36469"/>
    <cellStyle name="Normalny 4 2 2 2 2 2 8" xfId="36470"/>
    <cellStyle name="Normalny 4 2 2 2 2 2 9" xfId="36471"/>
    <cellStyle name="Normalny 4 2 2 2 2 20" xfId="36472"/>
    <cellStyle name="Normalny 4 2 2 2 2 3" xfId="36473"/>
    <cellStyle name="Normalny 4 2 2 2 2 4" xfId="36474"/>
    <cellStyle name="Normalny 4 2 2 2 2 5" xfId="36475"/>
    <cellStyle name="Normalny 4 2 2 2 2 6" xfId="36476"/>
    <cellStyle name="Normalny 4 2 2 2 2 7" xfId="36477"/>
    <cellStyle name="Normalny 4 2 2 2 2 8" xfId="36478"/>
    <cellStyle name="Normalny 4 2 2 2 2 9" xfId="36479"/>
    <cellStyle name="Normalny 4 2 2 2 20" xfId="36480"/>
    <cellStyle name="Normalny 4 2 2 2 3" xfId="36481"/>
    <cellStyle name="Normalny 4 2 2 2 4" xfId="36482"/>
    <cellStyle name="Normalny 4 2 2 2 5" xfId="36483"/>
    <cellStyle name="Normalny 4 2 2 2 6" xfId="36484"/>
    <cellStyle name="Normalny 4 2 2 2 7" xfId="36485"/>
    <cellStyle name="Normalny 4 2 2 2 8" xfId="36486"/>
    <cellStyle name="Normalny 4 2 2 2 9" xfId="36487"/>
    <cellStyle name="Normalny 4 2 2 20" xfId="36488"/>
    <cellStyle name="Normalny 4 2 2 21" xfId="36489"/>
    <cellStyle name="Normalny 4 2 2 22" xfId="36490"/>
    <cellStyle name="Normalny 4 2 2 23" xfId="36491"/>
    <cellStyle name="Normalny 4 2 2 24" xfId="36492"/>
    <cellStyle name="Normalny 4 2 2 25" xfId="36493"/>
    <cellStyle name="Normalny 4 2 2 25 2" xfId="36494"/>
    <cellStyle name="Normalny 4 2 2 3" xfId="36495"/>
    <cellStyle name="Normalny 4 2 2 4" xfId="36496"/>
    <cellStyle name="Normalny 4 2 2 5" xfId="36497"/>
    <cellStyle name="Normalny 4 2 2 6" xfId="36498"/>
    <cellStyle name="Normalny 4 2 2 7" xfId="36499"/>
    <cellStyle name="Normalny 4 2 2 8" xfId="36500"/>
    <cellStyle name="Normalny 4 2 2 9" xfId="36501"/>
    <cellStyle name="Normalny 4 2 20" xfId="36502"/>
    <cellStyle name="Normalny 4 2 21" xfId="36503"/>
    <cellStyle name="Normalny 4 2 22" xfId="36504"/>
    <cellStyle name="Normalny 4 2 23" xfId="36505"/>
    <cellStyle name="Normalny 4 2 24" xfId="36506"/>
    <cellStyle name="Normalny 4 2 25" xfId="36507"/>
    <cellStyle name="Normalny 4 2 26" xfId="36508"/>
    <cellStyle name="Normalny 4 2 27" xfId="36509"/>
    <cellStyle name="Normalny 4 2 27 2" xfId="36510"/>
    <cellStyle name="Normalny 4 2 27 3" xfId="36511"/>
    <cellStyle name="Normalny 4 2 28" xfId="36512"/>
    <cellStyle name="Normalny 4 2 29" xfId="36513"/>
    <cellStyle name="Normalny 4 2 3" xfId="36514"/>
    <cellStyle name="Normalny 4 2 3 10" xfId="36515"/>
    <cellStyle name="Normalny 4 2 3 11" xfId="36516"/>
    <cellStyle name="Normalny 4 2 3 2" xfId="36517"/>
    <cellStyle name="Normalny 4 2 3 2 10" xfId="36518"/>
    <cellStyle name="Normalny 4 2 3 2 11" xfId="36519"/>
    <cellStyle name="Normalny 4 2 3 2 2" xfId="36520"/>
    <cellStyle name="Normalny 4 2 3 2 3" xfId="36521"/>
    <cellStyle name="Normalny 4 2 3 2 4" xfId="36522"/>
    <cellStyle name="Normalny 4 2 3 2 5" xfId="36523"/>
    <cellStyle name="Normalny 4 2 3 2 6" xfId="36524"/>
    <cellStyle name="Normalny 4 2 3 2 7" xfId="36525"/>
    <cellStyle name="Normalny 4 2 3 2 8" xfId="36526"/>
    <cellStyle name="Normalny 4 2 3 2 9" xfId="36527"/>
    <cellStyle name="Normalny 4 2 3 3" xfId="36528"/>
    <cellStyle name="Normalny 4 2 3 4" xfId="36529"/>
    <cellStyle name="Normalny 4 2 3 5" xfId="36530"/>
    <cellStyle name="Normalny 4 2 3 6" xfId="36531"/>
    <cellStyle name="Normalny 4 2 3 7" xfId="36532"/>
    <cellStyle name="Normalny 4 2 3 8" xfId="36533"/>
    <cellStyle name="Normalny 4 2 3 9" xfId="36534"/>
    <cellStyle name="Normalny 4 2 4" xfId="36535"/>
    <cellStyle name="Normalny 4 2 5" xfId="36536"/>
    <cellStyle name="Normalny 4 2 6" xfId="36537"/>
    <cellStyle name="Normalny 4 2 7" xfId="36538"/>
    <cellStyle name="Normalny 4 2 8" xfId="36539"/>
    <cellStyle name="Normalny 4 2 9" xfId="36540"/>
    <cellStyle name="Normalny 4 2_2011'05 Raport PGE_DO-CO2" xfId="36541"/>
    <cellStyle name="Normalny 4 20" xfId="36542"/>
    <cellStyle name="Normalny 4 21" xfId="36543"/>
    <cellStyle name="Normalny 4 22" xfId="36544"/>
    <cellStyle name="Normalny 4 23" xfId="36545"/>
    <cellStyle name="Normalny 4 24" xfId="36546"/>
    <cellStyle name="Normalny 4 25" xfId="36397"/>
    <cellStyle name="Normalny 4 26" xfId="14"/>
    <cellStyle name="Normalny 4 3" xfId="36547"/>
    <cellStyle name="Normalny 4 3 2" xfId="36548"/>
    <cellStyle name="Normalny 4 4" xfId="36549"/>
    <cellStyle name="Normalny 4 4 2" xfId="36550"/>
    <cellStyle name="Normalny 4 4 3" xfId="36551"/>
    <cellStyle name="Normalny 4 5" xfId="36552"/>
    <cellStyle name="Normalny 4 5 2" xfId="36553"/>
    <cellStyle name="Normalny 4 5 3" xfId="36554"/>
    <cellStyle name="Normalny 4 6" xfId="36555"/>
    <cellStyle name="Normalny 4 7" xfId="36556"/>
    <cellStyle name="Normalny 4 8" xfId="36557"/>
    <cellStyle name="Normalny 4 9" xfId="36558"/>
    <cellStyle name="Normalny 4_2011'05 Raport PGE_DO-CO2" xfId="36559"/>
    <cellStyle name="Normalny 40" xfId="36560"/>
    <cellStyle name="Normalny 41" xfId="36561"/>
    <cellStyle name="Normalny 42" xfId="36562"/>
    <cellStyle name="Normalny 43" xfId="36563"/>
    <cellStyle name="Normalny 43 2" xfId="36564"/>
    <cellStyle name="Normalny 43 3" xfId="36565"/>
    <cellStyle name="Normalny 43 4" xfId="36566"/>
    <cellStyle name="Normalny 43 5" xfId="36567"/>
    <cellStyle name="Normalny 43 6" xfId="36568"/>
    <cellStyle name="Normalny 43 7" xfId="36569"/>
    <cellStyle name="Normalny 44" xfId="36570"/>
    <cellStyle name="Normalny 44 2" xfId="36571"/>
    <cellStyle name="Normalny 44 3" xfId="36572"/>
    <cellStyle name="Normalny 44 4" xfId="36573"/>
    <cellStyle name="Normalny 44 5" xfId="36574"/>
    <cellStyle name="Normalny 44 6" xfId="36575"/>
    <cellStyle name="Normalny 44 7" xfId="36576"/>
    <cellStyle name="Normalny 45" xfId="36577"/>
    <cellStyle name="Normalny 45 2" xfId="36578"/>
    <cellStyle name="Normalny 45 3" xfId="36579"/>
    <cellStyle name="Normalny 45 4" xfId="36580"/>
    <cellStyle name="Normalny 45 5" xfId="36581"/>
    <cellStyle name="Normalny 45 6" xfId="36582"/>
    <cellStyle name="Normalny 45 7" xfId="36583"/>
    <cellStyle name="Normalny 46" xfId="36584"/>
    <cellStyle name="Normalny 46 2" xfId="36585"/>
    <cellStyle name="Normalny 47" xfId="36586"/>
    <cellStyle name="Normalny 48" xfId="36587"/>
    <cellStyle name="Normalny 49" xfId="36588"/>
    <cellStyle name="Normalny 5" xfId="8"/>
    <cellStyle name="Normalny 5 2" xfId="36590"/>
    <cellStyle name="Normalny 5 2 2" xfId="36591"/>
    <cellStyle name="Normalny 5 2 3" xfId="36592"/>
    <cellStyle name="Normalny 5 3" xfId="36593"/>
    <cellStyle name="Normalny 5 3 2" xfId="36594"/>
    <cellStyle name="Normalny 5 3 2 2" xfId="36595"/>
    <cellStyle name="Normalny 5 3 2 3" xfId="36596"/>
    <cellStyle name="Normalny 5 4" xfId="36597"/>
    <cellStyle name="Normalny 5 5" xfId="36598"/>
    <cellStyle name="Normalny 5 6" xfId="36599"/>
    <cellStyle name="Normalny 5 7" xfId="36600"/>
    <cellStyle name="Normalny 5 8" xfId="36601"/>
    <cellStyle name="Normalny 5 9" xfId="36589"/>
    <cellStyle name="Normalny 5_PAR_MSSF PF I 2010" xfId="36602"/>
    <cellStyle name="Normalny 50" xfId="36603"/>
    <cellStyle name="Normalny 51" xfId="36604"/>
    <cellStyle name="Normalny 52" xfId="36605"/>
    <cellStyle name="Normalny 53" xfId="36606"/>
    <cellStyle name="Normalny 53 2" xfId="36607"/>
    <cellStyle name="Normalny 53 3" xfId="36608"/>
    <cellStyle name="Normalny 53 4" xfId="36609"/>
    <cellStyle name="Normalny 53 5" xfId="36610"/>
    <cellStyle name="Normalny 53 6" xfId="36611"/>
    <cellStyle name="Normalny 53 7" xfId="36612"/>
    <cellStyle name="Normalny 54" xfId="36613"/>
    <cellStyle name="Normalny 54 2" xfId="36614"/>
    <cellStyle name="Normalny 54 3" xfId="36615"/>
    <cellStyle name="Normalny 54 4" xfId="36616"/>
    <cellStyle name="Normalny 54 5" xfId="36617"/>
    <cellStyle name="Normalny 54 6" xfId="36618"/>
    <cellStyle name="Normalny 54 7" xfId="36619"/>
    <cellStyle name="Normalny 55" xfId="36620"/>
    <cellStyle name="Normalny 55 2" xfId="36621"/>
    <cellStyle name="Normalny 55 3" xfId="36622"/>
    <cellStyle name="Normalny 55 4" xfId="36623"/>
    <cellStyle name="Normalny 55 5" xfId="36624"/>
    <cellStyle name="Normalny 55 6" xfId="36625"/>
    <cellStyle name="Normalny 55 7" xfId="36626"/>
    <cellStyle name="Normalny 56" xfId="36627"/>
    <cellStyle name="Normalny 57" xfId="36628"/>
    <cellStyle name="Normalny 58" xfId="36629"/>
    <cellStyle name="Normalny 59" xfId="36630"/>
    <cellStyle name="Normalny 59 2" xfId="36631"/>
    <cellStyle name="Normalny 59 3" xfId="36632"/>
    <cellStyle name="Normalny 59 4" xfId="36633"/>
    <cellStyle name="Normalny 59 5" xfId="36634"/>
    <cellStyle name="Normalny 59 6" xfId="36635"/>
    <cellStyle name="Normalny 59 7" xfId="36636"/>
    <cellStyle name="Normalny 6" xfId="36637"/>
    <cellStyle name="Normalny 6 10" xfId="36638"/>
    <cellStyle name="Normalny 6 10 2" xfId="36639"/>
    <cellStyle name="Normalny 6 11" xfId="36640"/>
    <cellStyle name="Normalny 6 12" xfId="36641"/>
    <cellStyle name="Normalny 6 2" xfId="36642"/>
    <cellStyle name="Normalny 6 2 2" xfId="36643"/>
    <cellStyle name="Normalny 6 2 2 2" xfId="36644"/>
    <cellStyle name="Normalny 6 2 2 2 2" xfId="36645"/>
    <cellStyle name="Normalny 6 2 2 2 3" xfId="36646"/>
    <cellStyle name="Normalny 6 2 2 3" xfId="36647"/>
    <cellStyle name="Normalny 6 2 2 3 2" xfId="36648"/>
    <cellStyle name="Normalny 6 2 2 3 3" xfId="36649"/>
    <cellStyle name="Normalny 6 2 2 4" xfId="36650"/>
    <cellStyle name="Normalny 6 2 2 5" xfId="36651"/>
    <cellStyle name="Normalny 6 2 2_2011'05 Raport PGE_DO-CO2" xfId="36652"/>
    <cellStyle name="Normalny 6 2 3" xfId="36653"/>
    <cellStyle name="Normalny 6 2 3 2" xfId="36654"/>
    <cellStyle name="Normalny 6 2 3 3" xfId="36655"/>
    <cellStyle name="Normalny 6 2 4" xfId="36656"/>
    <cellStyle name="Normalny 6 2 5" xfId="36657"/>
    <cellStyle name="Normalny 6 2_2011'05 Raport PGE_DO-CO2" xfId="36658"/>
    <cellStyle name="Normalny 6 3" xfId="36659"/>
    <cellStyle name="Normalny 6 3 2" xfId="36660"/>
    <cellStyle name="Normalny 6 3 2 2" xfId="36661"/>
    <cellStyle name="Normalny 6 3 2 3" xfId="36662"/>
    <cellStyle name="Normalny 6 3 3" xfId="36663"/>
    <cellStyle name="Normalny 6 3 3 2" xfId="36664"/>
    <cellStyle name="Normalny 6 3 4" xfId="36665"/>
    <cellStyle name="Normalny 6 3_2011'05 Raport PGE_DO-CO2" xfId="36666"/>
    <cellStyle name="Normalny 6 4" xfId="36667"/>
    <cellStyle name="Normalny 6 5" xfId="36668"/>
    <cellStyle name="Normalny 6 6" xfId="36669"/>
    <cellStyle name="Normalny 6 7" xfId="36670"/>
    <cellStyle name="Normalny 6 7 2" xfId="36671"/>
    <cellStyle name="Normalny 6 7 2 2" xfId="36672"/>
    <cellStyle name="Normalny 6 7 2 2 2" xfId="36673"/>
    <cellStyle name="Normalny 6 7 2 2 3" xfId="36674"/>
    <cellStyle name="Normalny 6 7 3" xfId="36675"/>
    <cellStyle name="Normalny 6 7 3 2" xfId="36676"/>
    <cellStyle name="Normalny 6 7 3 2 2" xfId="36677"/>
    <cellStyle name="Normalny 6 7 3 3" xfId="36678"/>
    <cellStyle name="Normalny 6 7 4" xfId="36679"/>
    <cellStyle name="Normalny 6 7 4 2" xfId="36680"/>
    <cellStyle name="Normalny 6 7 4 2 2" xfId="36681"/>
    <cellStyle name="Normalny 6 7 4 3" xfId="36682"/>
    <cellStyle name="Normalny 6 7 5" xfId="36683"/>
    <cellStyle name="Normalny 6 7 5 2" xfId="36684"/>
    <cellStyle name="Normalny 6 7 6" xfId="36685"/>
    <cellStyle name="Normalny 6 8" xfId="36686"/>
    <cellStyle name="Normalny 6 8 2" xfId="36687"/>
    <cellStyle name="Normalny 6 8 3" xfId="36688"/>
    <cellStyle name="Normalny 6 9" xfId="36689"/>
    <cellStyle name="Normalny 6 9 2" xfId="36690"/>
    <cellStyle name="Normalny 6 9 2 2" xfId="36691"/>
    <cellStyle name="Normalny 6 9 2 2 2" xfId="36692"/>
    <cellStyle name="Normalny 6 9 2 2 3" xfId="36693"/>
    <cellStyle name="Normalny 6_2011'05 Raport PGE_DO-CO2" xfId="36694"/>
    <cellStyle name="Normalny 60" xfId="36695"/>
    <cellStyle name="Normalny 60 2" xfId="36696"/>
    <cellStyle name="Normalny 60 3" xfId="36697"/>
    <cellStyle name="Normalny 60 4" xfId="36698"/>
    <cellStyle name="Normalny 60 5" xfId="36699"/>
    <cellStyle name="Normalny 60 6" xfId="36700"/>
    <cellStyle name="Normalny 60 7" xfId="36701"/>
    <cellStyle name="Normalny 61" xfId="36702"/>
    <cellStyle name="Normalny 61 2" xfId="36703"/>
    <cellStyle name="Normalny 61 3" xfId="36704"/>
    <cellStyle name="Normalny 61 4" xfId="36705"/>
    <cellStyle name="Normalny 61 5" xfId="36706"/>
    <cellStyle name="Normalny 61 6" xfId="36707"/>
    <cellStyle name="Normalny 61 7" xfId="36708"/>
    <cellStyle name="Normalny 62" xfId="36709"/>
    <cellStyle name="Normalny 62 2" xfId="36710"/>
    <cellStyle name="Normalny 62 3" xfId="36711"/>
    <cellStyle name="Normalny 62 4" xfId="36712"/>
    <cellStyle name="Normalny 62 5" xfId="36713"/>
    <cellStyle name="Normalny 62 6" xfId="36714"/>
    <cellStyle name="Normalny 62 7" xfId="36715"/>
    <cellStyle name="Normalny 63" xfId="36716"/>
    <cellStyle name="Normalny 63 2" xfId="36717"/>
    <cellStyle name="Normalny 63 3" xfId="36718"/>
    <cellStyle name="Normalny 63 4" xfId="36719"/>
    <cellStyle name="Normalny 63 5" xfId="36720"/>
    <cellStyle name="Normalny 63 6" xfId="36721"/>
    <cellStyle name="Normalny 63 7" xfId="36722"/>
    <cellStyle name="Normalny 64" xfId="36723"/>
    <cellStyle name="Normalny 64 2" xfId="36724"/>
    <cellStyle name="Normalny 64 3" xfId="36725"/>
    <cellStyle name="Normalny 64 4" xfId="36726"/>
    <cellStyle name="Normalny 64 5" xfId="36727"/>
    <cellStyle name="Normalny 64 6" xfId="36728"/>
    <cellStyle name="Normalny 64 7" xfId="36729"/>
    <cellStyle name="Normalny 65" xfId="36730"/>
    <cellStyle name="Normalny 65 2" xfId="36731"/>
    <cellStyle name="Normalny 65 3" xfId="36732"/>
    <cellStyle name="Normalny 65 4" xfId="36733"/>
    <cellStyle name="Normalny 65 5" xfId="36734"/>
    <cellStyle name="Normalny 65 6" xfId="36735"/>
    <cellStyle name="Normalny 65 7" xfId="36736"/>
    <cellStyle name="Normalny 66" xfId="36737"/>
    <cellStyle name="Normalny 66 2" xfId="36738"/>
    <cellStyle name="Normalny 66 3" xfId="36739"/>
    <cellStyle name="Normalny 66 4" xfId="36740"/>
    <cellStyle name="Normalny 66 5" xfId="36741"/>
    <cellStyle name="Normalny 66 6" xfId="36742"/>
    <cellStyle name="Normalny 66 7" xfId="36743"/>
    <cellStyle name="Normalny 67" xfId="36744"/>
    <cellStyle name="Normalny 68" xfId="36745"/>
    <cellStyle name="Normalny 68 2" xfId="36746"/>
    <cellStyle name="Normalny 69" xfId="36747"/>
    <cellStyle name="Normalny 69 2" xfId="36748"/>
    <cellStyle name="Normalny 7" xfId="36749"/>
    <cellStyle name="Normalny 7 10" xfId="36750"/>
    <cellStyle name="Normalny 7 11" xfId="36751"/>
    <cellStyle name="Normalny 7 12" xfId="36752"/>
    <cellStyle name="Normalny 7 13" xfId="36753"/>
    <cellStyle name="Normalny 7 14" xfId="36754"/>
    <cellStyle name="Normalny 7 15" xfId="36755"/>
    <cellStyle name="Normalny 7 16" xfId="36756"/>
    <cellStyle name="Normalny 7 17" xfId="36757"/>
    <cellStyle name="Normalny 7 18" xfId="36758"/>
    <cellStyle name="Normalny 7 19" xfId="36759"/>
    <cellStyle name="Normalny 7 2" xfId="36760"/>
    <cellStyle name="Normalny 7 2 10" xfId="36761"/>
    <cellStyle name="Normalny 7 2 11" xfId="36762"/>
    <cellStyle name="Normalny 7 2 12" xfId="36763"/>
    <cellStyle name="Normalny 7 2 13" xfId="36764"/>
    <cellStyle name="Normalny 7 2 14" xfId="36765"/>
    <cellStyle name="Normalny 7 2 15" xfId="36766"/>
    <cellStyle name="Normalny 7 2 16" xfId="36767"/>
    <cellStyle name="Normalny 7 2 17" xfId="36768"/>
    <cellStyle name="Normalny 7 2 18" xfId="36769"/>
    <cellStyle name="Normalny 7 2 19" xfId="36770"/>
    <cellStyle name="Normalny 7 2 2" xfId="36771"/>
    <cellStyle name="Normalny 7 2 20" xfId="36772"/>
    <cellStyle name="Normalny 7 2 3" xfId="36773"/>
    <cellStyle name="Normalny 7 2 4" xfId="36774"/>
    <cellStyle name="Normalny 7 2 5" xfId="36775"/>
    <cellStyle name="Normalny 7 2 6" xfId="36776"/>
    <cellStyle name="Normalny 7 2 7" xfId="36777"/>
    <cellStyle name="Normalny 7 2 8" xfId="36778"/>
    <cellStyle name="Normalny 7 2 9" xfId="36779"/>
    <cellStyle name="Normalny 7 20" xfId="36780"/>
    <cellStyle name="Normalny 7 21" xfId="36781"/>
    <cellStyle name="Normalny 7 22" xfId="36782"/>
    <cellStyle name="Normalny 7 23" xfId="36783"/>
    <cellStyle name="Normalny 7 24" xfId="36784"/>
    <cellStyle name="Normalny 7 25" xfId="36785"/>
    <cellStyle name="Normalny 7 26" xfId="36786"/>
    <cellStyle name="Normalny 7 27" xfId="36787"/>
    <cellStyle name="Normalny 7 28" xfId="36788"/>
    <cellStyle name="Normalny 7 29" xfId="36789"/>
    <cellStyle name="Normalny 7 3" xfId="36790"/>
    <cellStyle name="Normalny 7 30" xfId="36791"/>
    <cellStyle name="Normalny 7 31" xfId="36792"/>
    <cellStyle name="Normalny 7 32" xfId="36793"/>
    <cellStyle name="Normalny 7 33" xfId="36794"/>
    <cellStyle name="Normalny 7 34" xfId="36795"/>
    <cellStyle name="Normalny 7 35" xfId="36796"/>
    <cellStyle name="Normalny 7 36" xfId="36797"/>
    <cellStyle name="Normalny 7 37" xfId="36798"/>
    <cellStyle name="Normalny 7 38" xfId="36799"/>
    <cellStyle name="Normalny 7 39" xfId="36800"/>
    <cellStyle name="Normalny 7 4" xfId="36801"/>
    <cellStyle name="Normalny 7 40" xfId="36802"/>
    <cellStyle name="Normalny 7 41" xfId="36803"/>
    <cellStyle name="Normalny 7 42" xfId="36804"/>
    <cellStyle name="Normalny 7 43" xfId="36805"/>
    <cellStyle name="Normalny 7 44" xfId="36806"/>
    <cellStyle name="Normalny 7 45" xfId="36807"/>
    <cellStyle name="Normalny 7 46" xfId="36808"/>
    <cellStyle name="Normalny 7 47" xfId="36809"/>
    <cellStyle name="Normalny 7 48" xfId="36810"/>
    <cellStyle name="Normalny 7 48 2" xfId="36811"/>
    <cellStyle name="Normalny 7 49" xfId="36812"/>
    <cellStyle name="Normalny 7 49 2" xfId="36813"/>
    <cellStyle name="Normalny 7 5" xfId="36814"/>
    <cellStyle name="Normalny 7 50" xfId="36815"/>
    <cellStyle name="Normalny 7 51" xfId="36816"/>
    <cellStyle name="Normalny 7 52" xfId="36817"/>
    <cellStyle name="Normalny 7 53" xfId="36818"/>
    <cellStyle name="Normalny 7 6" xfId="36819"/>
    <cellStyle name="Normalny 7 7" xfId="36820"/>
    <cellStyle name="Normalny 7 8" xfId="36821"/>
    <cellStyle name="Normalny 7 9" xfId="36822"/>
    <cellStyle name="Normalny 7_2011'05 Raport PGE_DO-CO2" xfId="36823"/>
    <cellStyle name="Normalny 70" xfId="36824"/>
    <cellStyle name="Normalny 70 2" xfId="36825"/>
    <cellStyle name="Normalny 70 3" xfId="36826"/>
    <cellStyle name="Normalny 70 4" xfId="36827"/>
    <cellStyle name="Normalny 70 5" xfId="36828"/>
    <cellStyle name="Normalny 70 6" xfId="36829"/>
    <cellStyle name="Normalny 70 7" xfId="36830"/>
    <cellStyle name="Normalny 71" xfId="36831"/>
    <cellStyle name="Normalny 72" xfId="36832"/>
    <cellStyle name="Normalny 72 2" xfId="36833"/>
    <cellStyle name="Normalny 72 3" xfId="36834"/>
    <cellStyle name="Normalny 72 4" xfId="36835"/>
    <cellStyle name="Normalny 72 5" xfId="36836"/>
    <cellStyle name="Normalny 72 6" xfId="36837"/>
    <cellStyle name="Normalny 72 7" xfId="36838"/>
    <cellStyle name="Normalny 73" xfId="36839"/>
    <cellStyle name="Normalny 73 2" xfId="36840"/>
    <cellStyle name="Normalny 73 3" xfId="36841"/>
    <cellStyle name="Normalny 73 4" xfId="36842"/>
    <cellStyle name="Normalny 73 5" xfId="36843"/>
    <cellStyle name="Normalny 73 6" xfId="36844"/>
    <cellStyle name="Normalny 73 7" xfId="36845"/>
    <cellStyle name="Normalny 74" xfId="36846"/>
    <cellStyle name="Normalny 75" xfId="36847"/>
    <cellStyle name="Normalny 75 2" xfId="36848"/>
    <cellStyle name="Normalny 75 3" xfId="36849"/>
    <cellStyle name="Normalny 75 4" xfId="36850"/>
    <cellStyle name="Normalny 75 5" xfId="36851"/>
    <cellStyle name="Normalny 75 6" xfId="36852"/>
    <cellStyle name="Normalny 76" xfId="36853"/>
    <cellStyle name="Normalny 77" xfId="36854"/>
    <cellStyle name="Normalny 77 2" xfId="36855"/>
    <cellStyle name="Normalny 77 3" xfId="36856"/>
    <cellStyle name="Normalny 77 4" xfId="36857"/>
    <cellStyle name="Normalny 77 5" xfId="36858"/>
    <cellStyle name="Normalny 77 6" xfId="36859"/>
    <cellStyle name="Normalny 78" xfId="36860"/>
    <cellStyle name="Normalny 78 2" xfId="36861"/>
    <cellStyle name="Normalny 78 3" xfId="36862"/>
    <cellStyle name="Normalny 78 4" xfId="36863"/>
    <cellStyle name="Normalny 78 5" xfId="36864"/>
    <cellStyle name="Normalny 78 6" xfId="36865"/>
    <cellStyle name="Normalny 79" xfId="36866"/>
    <cellStyle name="Normalny 79 2" xfId="36867"/>
    <cellStyle name="Normalny 79 3" xfId="36868"/>
    <cellStyle name="Normalny 79 4" xfId="36869"/>
    <cellStyle name="Normalny 79 5" xfId="36870"/>
    <cellStyle name="Normalny 79 6" xfId="36871"/>
    <cellStyle name="Normalny 8" xfId="26"/>
    <cellStyle name="Normalny 8 10" xfId="36872"/>
    <cellStyle name="Normalny 8 11" xfId="36873"/>
    <cellStyle name="Normalny 8 12" xfId="36874"/>
    <cellStyle name="Normalny 8 13" xfId="36875"/>
    <cellStyle name="Normalny 8 14" xfId="36876"/>
    <cellStyle name="Normalny 8 15" xfId="36877"/>
    <cellStyle name="Normalny 8 16" xfId="36878"/>
    <cellStyle name="Normalny 8 17" xfId="36879"/>
    <cellStyle name="Normalny 8 18" xfId="36880"/>
    <cellStyle name="Normalny 8 19" xfId="36881"/>
    <cellStyle name="Normalny 8 2" xfId="36882"/>
    <cellStyle name="Normalny 8 2 10" xfId="36883"/>
    <cellStyle name="Normalny 8 2 11" xfId="36884"/>
    <cellStyle name="Normalny 8 2 12" xfId="36885"/>
    <cellStyle name="Normalny 8 2 13" xfId="36886"/>
    <cellStyle name="Normalny 8 2 14" xfId="36887"/>
    <cellStyle name="Normalny 8 2 15" xfId="36888"/>
    <cellStyle name="Normalny 8 2 16" xfId="36889"/>
    <cellStyle name="Normalny 8 2 17" xfId="36890"/>
    <cellStyle name="Normalny 8 2 18" xfId="36891"/>
    <cellStyle name="Normalny 8 2 19" xfId="36892"/>
    <cellStyle name="Normalny 8 2 2" xfId="36893"/>
    <cellStyle name="Normalny 8 2 20" xfId="36894"/>
    <cellStyle name="Normalny 8 2 3" xfId="36895"/>
    <cellStyle name="Normalny 8 2 4" xfId="36896"/>
    <cellStyle name="Normalny 8 2 5" xfId="36897"/>
    <cellStyle name="Normalny 8 2 6" xfId="36898"/>
    <cellStyle name="Normalny 8 2 7" xfId="36899"/>
    <cellStyle name="Normalny 8 2 8" xfId="36900"/>
    <cellStyle name="Normalny 8 2 9" xfId="36901"/>
    <cellStyle name="Normalny 8 20" xfId="36902"/>
    <cellStyle name="Normalny 8 21" xfId="36903"/>
    <cellStyle name="Normalny 8 22" xfId="36904"/>
    <cellStyle name="Normalny 8 23" xfId="36905"/>
    <cellStyle name="Normalny 8 24" xfId="36906"/>
    <cellStyle name="Normalny 8 25" xfId="36907"/>
    <cellStyle name="Normalny 8 26" xfId="36908"/>
    <cellStyle name="Normalny 8 27" xfId="36909"/>
    <cellStyle name="Normalny 8 28" xfId="36910"/>
    <cellStyle name="Normalny 8 29" xfId="36911"/>
    <cellStyle name="Normalny 8 3" xfId="36912"/>
    <cellStyle name="Normalny 8 30" xfId="36913"/>
    <cellStyle name="Normalny 8 31" xfId="36914"/>
    <cellStyle name="Normalny 8 32" xfId="36915"/>
    <cellStyle name="Normalny 8 33" xfId="36916"/>
    <cellStyle name="Normalny 8 34" xfId="36917"/>
    <cellStyle name="Normalny 8 35" xfId="36918"/>
    <cellStyle name="Normalny 8 36" xfId="36919"/>
    <cellStyle name="Normalny 8 37" xfId="36920"/>
    <cellStyle name="Normalny 8 38" xfId="36921"/>
    <cellStyle name="Normalny 8 39" xfId="36922"/>
    <cellStyle name="Normalny 8 4" xfId="36923"/>
    <cellStyle name="Normalny 8 40" xfId="36924"/>
    <cellStyle name="Normalny 8 41" xfId="36925"/>
    <cellStyle name="Normalny 8 42" xfId="36926"/>
    <cellStyle name="Normalny 8 43" xfId="36927"/>
    <cellStyle name="Normalny 8 44" xfId="36928"/>
    <cellStyle name="Normalny 8 45" xfId="36929"/>
    <cellStyle name="Normalny 8 46" xfId="36930"/>
    <cellStyle name="Normalny 8 47" xfId="36931"/>
    <cellStyle name="Normalny 8 48" xfId="36932"/>
    <cellStyle name="Normalny 8 49" xfId="36933"/>
    <cellStyle name="Normalny 8 5" xfId="36934"/>
    <cellStyle name="Normalny 8 6" xfId="36935"/>
    <cellStyle name="Normalny 8 7" xfId="36936"/>
    <cellStyle name="Normalny 8 8" xfId="36937"/>
    <cellStyle name="Normalny 8 9" xfId="36938"/>
    <cellStyle name="Normalny 80" xfId="36939"/>
    <cellStyle name="Normalny 80 2" xfId="36940"/>
    <cellStyle name="Normalny 80 3" xfId="36941"/>
    <cellStyle name="Normalny 80 4" xfId="36942"/>
    <cellStyle name="Normalny 80 5" xfId="36943"/>
    <cellStyle name="Normalny 80 6" xfId="36944"/>
    <cellStyle name="Normalny 81" xfId="36945"/>
    <cellStyle name="Normalny 81 2" xfId="36946"/>
    <cellStyle name="Normalny 81 3" xfId="36947"/>
    <cellStyle name="Normalny 81 4" xfId="36948"/>
    <cellStyle name="Normalny 81 5" xfId="36949"/>
    <cellStyle name="Normalny 81 6" xfId="36950"/>
    <cellStyle name="Normalny 82" xfId="36951"/>
    <cellStyle name="Normalny 82 2" xfId="36952"/>
    <cellStyle name="Normalny 82 3" xfId="36953"/>
    <cellStyle name="Normalny 82 4" xfId="36954"/>
    <cellStyle name="Normalny 82 5" xfId="36955"/>
    <cellStyle name="Normalny 82 6" xfId="36956"/>
    <cellStyle name="Normalny 83" xfId="36957"/>
    <cellStyle name="Normalny 83 2" xfId="36958"/>
    <cellStyle name="Normalny 83 3" xfId="36959"/>
    <cellStyle name="Normalny 83 4" xfId="36960"/>
    <cellStyle name="Normalny 83 5" xfId="36961"/>
    <cellStyle name="Normalny 83 6" xfId="36962"/>
    <cellStyle name="Normalny 84" xfId="36963"/>
    <cellStyle name="Normalny 84 2" xfId="36964"/>
    <cellStyle name="Normalny 84 3" xfId="36965"/>
    <cellStyle name="Normalny 84 4" xfId="36966"/>
    <cellStyle name="Normalny 84 5" xfId="36967"/>
    <cellStyle name="Normalny 84 6" xfId="36968"/>
    <cellStyle name="Normalny 85" xfId="36969"/>
    <cellStyle name="Normalny 85 2" xfId="36970"/>
    <cellStyle name="Normalny 85 3" xfId="36971"/>
    <cellStyle name="Normalny 85 4" xfId="36972"/>
    <cellStyle name="Normalny 85 5" xfId="36973"/>
    <cellStyle name="Normalny 85 6" xfId="36974"/>
    <cellStyle name="Normalny 86" xfId="36975"/>
    <cellStyle name="Normalny 86 2" xfId="36976"/>
    <cellStyle name="Normalny 86 3" xfId="36977"/>
    <cellStyle name="Normalny 86 4" xfId="36978"/>
    <cellStyle name="Normalny 86 5" xfId="36979"/>
    <cellStyle name="Normalny 86 6" xfId="36980"/>
    <cellStyle name="Normalny 87" xfId="36981"/>
    <cellStyle name="Normalny 87 2" xfId="36982"/>
    <cellStyle name="Normalny 87 3" xfId="36983"/>
    <cellStyle name="Normalny 87 4" xfId="36984"/>
    <cellStyle name="Normalny 87 5" xfId="36985"/>
    <cellStyle name="Normalny 87 6" xfId="36986"/>
    <cellStyle name="Normalny 88" xfId="36987"/>
    <cellStyle name="Normalny 88 2" xfId="36988"/>
    <cellStyle name="Normalny 88 3" xfId="36989"/>
    <cellStyle name="Normalny 88 4" xfId="36990"/>
    <cellStyle name="Normalny 88 5" xfId="36991"/>
    <cellStyle name="Normalny 88 6" xfId="36992"/>
    <cellStyle name="Normalny 89" xfId="36993"/>
    <cellStyle name="Normalny 89 2" xfId="36994"/>
    <cellStyle name="Normalny 89 3" xfId="36995"/>
    <cellStyle name="Normalny 89 4" xfId="36996"/>
    <cellStyle name="Normalny 89 5" xfId="36997"/>
    <cellStyle name="Normalny 89 6" xfId="36998"/>
    <cellStyle name="Normalny 9" xfId="36999"/>
    <cellStyle name="Normalny 9 2" xfId="37000"/>
    <cellStyle name="Normalny 9 2 2" xfId="37001"/>
    <cellStyle name="Normalny 9 3" xfId="37002"/>
    <cellStyle name="Normalny 9 4" xfId="37003"/>
    <cellStyle name="Normalny 9 5" xfId="37004"/>
    <cellStyle name="Normalny 9 6" xfId="37005"/>
    <cellStyle name="Normalny 9_2011'05 Raport PGE_DO-CO2" xfId="37006"/>
    <cellStyle name="Normalny 90" xfId="37007"/>
    <cellStyle name="Normalny 90 2" xfId="37008"/>
    <cellStyle name="Normalny 90 3" xfId="37009"/>
    <cellStyle name="Normalny 90 4" xfId="37010"/>
    <cellStyle name="Normalny 90 5" xfId="37011"/>
    <cellStyle name="Normalny 90 6" xfId="37012"/>
    <cellStyle name="Normalny 91" xfId="37013"/>
    <cellStyle name="Normalny 91 2" xfId="37014"/>
    <cellStyle name="Normalny 91 3" xfId="37015"/>
    <cellStyle name="Normalny 91 4" xfId="37016"/>
    <cellStyle name="Normalny 91 5" xfId="37017"/>
    <cellStyle name="Normalny 91 6" xfId="37018"/>
    <cellStyle name="Normalny 92" xfId="37019"/>
    <cellStyle name="Normalny 93" xfId="37020"/>
    <cellStyle name="Normalny 94" xfId="37021"/>
    <cellStyle name="Normalny 95" xfId="37022"/>
    <cellStyle name="Normalny 96" xfId="37023"/>
    <cellStyle name="Normalny 97" xfId="37024"/>
    <cellStyle name="Normalny 98" xfId="37025"/>
    <cellStyle name="Normalny 99" xfId="37026"/>
    <cellStyle name="Note" xfId="37027"/>
    <cellStyle name="Note 10" xfId="37028"/>
    <cellStyle name="Note 10 2" xfId="37029"/>
    <cellStyle name="Note 10 3" xfId="37030"/>
    <cellStyle name="Note 11" xfId="37031"/>
    <cellStyle name="Note 11 2" xfId="37032"/>
    <cellStyle name="Note 11 3" xfId="37033"/>
    <cellStyle name="Note 12" xfId="37034"/>
    <cellStyle name="Note 12 2" xfId="37035"/>
    <cellStyle name="Note 12 3" xfId="37036"/>
    <cellStyle name="Note 13" xfId="37037"/>
    <cellStyle name="Note 13 2" xfId="37038"/>
    <cellStyle name="Note 13 3" xfId="37039"/>
    <cellStyle name="Note 14" xfId="37040"/>
    <cellStyle name="Note 14 2" xfId="37041"/>
    <cellStyle name="Note 14 3" xfId="37042"/>
    <cellStyle name="Note 15" xfId="37043"/>
    <cellStyle name="Note 15 2" xfId="37044"/>
    <cellStyle name="Note 15 3" xfId="37045"/>
    <cellStyle name="Note 16" xfId="37046"/>
    <cellStyle name="Note 16 2" xfId="37047"/>
    <cellStyle name="Note 16 3" xfId="37048"/>
    <cellStyle name="Note 17" xfId="37049"/>
    <cellStyle name="Note 17 2" xfId="37050"/>
    <cellStyle name="Note 17 3" xfId="37051"/>
    <cellStyle name="Note 18" xfId="37052"/>
    <cellStyle name="Note 18 2" xfId="37053"/>
    <cellStyle name="Note 18 3" xfId="37054"/>
    <cellStyle name="Note 19" xfId="37055"/>
    <cellStyle name="Note 19 2" xfId="37056"/>
    <cellStyle name="Note 19 3" xfId="37057"/>
    <cellStyle name="Note 2" xfId="37058"/>
    <cellStyle name="Note 2 2" xfId="37059"/>
    <cellStyle name="Note 2 3" xfId="37060"/>
    <cellStyle name="Note 2 4" xfId="42983"/>
    <cellStyle name="Note 20" xfId="37061"/>
    <cellStyle name="Note 20 2" xfId="37062"/>
    <cellStyle name="Note 20 3" xfId="37063"/>
    <cellStyle name="Note 3" xfId="37064"/>
    <cellStyle name="Note 3 2" xfId="37065"/>
    <cellStyle name="Note 3 2 2" xfId="37066"/>
    <cellStyle name="Note 3 3" xfId="37067"/>
    <cellStyle name="Note 4" xfId="37068"/>
    <cellStyle name="Note 4 2" xfId="37069"/>
    <cellStyle name="Note 4 3" xfId="37070"/>
    <cellStyle name="Note 5" xfId="37071"/>
    <cellStyle name="Note 5 2" xfId="37072"/>
    <cellStyle name="Note 5 3" xfId="37073"/>
    <cellStyle name="Note 6" xfId="37074"/>
    <cellStyle name="Note 6 2" xfId="37075"/>
    <cellStyle name="Note 6 3" xfId="37076"/>
    <cellStyle name="Note 7" xfId="37077"/>
    <cellStyle name="Note 7 2" xfId="37078"/>
    <cellStyle name="Note 7 3" xfId="37079"/>
    <cellStyle name="Note 8" xfId="37080"/>
    <cellStyle name="Note 8 2" xfId="37081"/>
    <cellStyle name="Note 8 3" xfId="37082"/>
    <cellStyle name="Note 9" xfId="37083"/>
    <cellStyle name="Note 9 2" xfId="37084"/>
    <cellStyle name="Note 9 3" xfId="37085"/>
    <cellStyle name="Note_Kluczowe wielkości oper" xfId="37086"/>
    <cellStyle name="Obliczenia 10" xfId="37087"/>
    <cellStyle name="Obliczenia 10 2" xfId="37088"/>
    <cellStyle name="Obliczenia 10 2 2" xfId="37089"/>
    <cellStyle name="Obliczenia 10 3" xfId="37090"/>
    <cellStyle name="Obliczenia 11" xfId="37091"/>
    <cellStyle name="Obliczenia 11 2" xfId="37092"/>
    <cellStyle name="Obliczenia 11 3" xfId="37093"/>
    <cellStyle name="Obliczenia 12" xfId="37094"/>
    <cellStyle name="Obliczenia 12 2" xfId="37095"/>
    <cellStyle name="Obliczenia 12 3" xfId="37096"/>
    <cellStyle name="Obliczenia 13" xfId="37097"/>
    <cellStyle name="Obliczenia 13 2" xfId="37098"/>
    <cellStyle name="Obliczenia 13 3" xfId="37099"/>
    <cellStyle name="Obliczenia 14" xfId="37100"/>
    <cellStyle name="Obliczenia 14 2" xfId="37101"/>
    <cellStyle name="Obliczenia 14 3" xfId="37102"/>
    <cellStyle name="Obliczenia 15" xfId="37103"/>
    <cellStyle name="Obliczenia 15 2" xfId="37104"/>
    <cellStyle name="Obliczenia 15 3" xfId="37105"/>
    <cellStyle name="Obliczenia 16" xfId="37106"/>
    <cellStyle name="Obliczenia 16 2" xfId="37107"/>
    <cellStyle name="Obliczenia 16 3" xfId="37108"/>
    <cellStyle name="Obliczenia 17" xfId="37109"/>
    <cellStyle name="Obliczenia 17 2" xfId="37110"/>
    <cellStyle name="Obliczenia 17 3" xfId="37111"/>
    <cellStyle name="Obliczenia 18" xfId="37112"/>
    <cellStyle name="Obliczenia 18 2" xfId="37113"/>
    <cellStyle name="Obliczenia 18 3" xfId="37114"/>
    <cellStyle name="Obliczenia 19" xfId="37115"/>
    <cellStyle name="Obliczenia 19 2" xfId="37116"/>
    <cellStyle name="Obliczenia 19 3" xfId="37117"/>
    <cellStyle name="Obliczenia 2" xfId="37118"/>
    <cellStyle name="Obliczenia 2 10" xfId="37119"/>
    <cellStyle name="Obliczenia 2 10 2" xfId="37120"/>
    <cellStyle name="Obliczenia 2 10 3" xfId="37121"/>
    <cellStyle name="Obliczenia 2 11" xfId="37122"/>
    <cellStyle name="Obliczenia 2 11 2" xfId="37123"/>
    <cellStyle name="Obliczenia 2 11 3" xfId="37124"/>
    <cellStyle name="Obliczenia 2 12" xfId="37125"/>
    <cellStyle name="Obliczenia 2 12 2" xfId="37126"/>
    <cellStyle name="Obliczenia 2 12 3" xfId="37127"/>
    <cellStyle name="Obliczenia 2 13" xfId="37128"/>
    <cellStyle name="Obliczenia 2 13 2" xfId="37129"/>
    <cellStyle name="Obliczenia 2 13 3" xfId="37130"/>
    <cellStyle name="Obliczenia 2 14" xfId="37131"/>
    <cellStyle name="Obliczenia 2 14 2" xfId="37132"/>
    <cellStyle name="Obliczenia 2 14 3" xfId="37133"/>
    <cellStyle name="Obliczenia 2 15" xfId="37134"/>
    <cellStyle name="Obliczenia 2 15 2" xfId="37135"/>
    <cellStyle name="Obliczenia 2 15 3" xfId="37136"/>
    <cellStyle name="Obliczenia 2 16" xfId="37137"/>
    <cellStyle name="Obliczenia 2 16 2" xfId="37138"/>
    <cellStyle name="Obliczenia 2 16 3" xfId="37139"/>
    <cellStyle name="Obliczenia 2 17" xfId="37140"/>
    <cellStyle name="Obliczenia 2 17 2" xfId="37141"/>
    <cellStyle name="Obliczenia 2 17 3" xfId="37142"/>
    <cellStyle name="Obliczenia 2 18" xfId="37143"/>
    <cellStyle name="Obliczenia 2 18 2" xfId="37144"/>
    <cellStyle name="Obliczenia 2 18 3" xfId="37145"/>
    <cellStyle name="Obliczenia 2 19" xfId="37146"/>
    <cellStyle name="Obliczenia 2 19 2" xfId="37147"/>
    <cellStyle name="Obliczenia 2 19 3" xfId="37148"/>
    <cellStyle name="Obliczenia 2 2" xfId="37149"/>
    <cellStyle name="Obliczenia 2 2 10" xfId="37150"/>
    <cellStyle name="Obliczenia 2 2 10 2" xfId="37151"/>
    <cellStyle name="Obliczenia 2 2 10 3" xfId="37152"/>
    <cellStyle name="Obliczenia 2 2 11" xfId="37153"/>
    <cellStyle name="Obliczenia 2 2 11 2" xfId="37154"/>
    <cellStyle name="Obliczenia 2 2 11 3" xfId="37155"/>
    <cellStyle name="Obliczenia 2 2 12" xfId="37156"/>
    <cellStyle name="Obliczenia 2 2 12 2" xfId="37157"/>
    <cellStyle name="Obliczenia 2 2 12 3" xfId="37158"/>
    <cellStyle name="Obliczenia 2 2 13" xfId="37159"/>
    <cellStyle name="Obliczenia 2 2 13 2" xfId="37160"/>
    <cellStyle name="Obliczenia 2 2 13 3" xfId="37161"/>
    <cellStyle name="Obliczenia 2 2 14" xfId="37162"/>
    <cellStyle name="Obliczenia 2 2 14 2" xfId="37163"/>
    <cellStyle name="Obliczenia 2 2 14 3" xfId="37164"/>
    <cellStyle name="Obliczenia 2 2 15" xfId="37165"/>
    <cellStyle name="Obliczenia 2 2 15 2" xfId="37166"/>
    <cellStyle name="Obliczenia 2 2 15 3" xfId="37167"/>
    <cellStyle name="Obliczenia 2 2 16" xfId="37168"/>
    <cellStyle name="Obliczenia 2 2 16 2" xfId="37169"/>
    <cellStyle name="Obliczenia 2 2 16 3" xfId="37170"/>
    <cellStyle name="Obliczenia 2 2 17" xfId="37171"/>
    <cellStyle name="Obliczenia 2 2 17 2" xfId="37172"/>
    <cellStyle name="Obliczenia 2 2 17 3" xfId="37173"/>
    <cellStyle name="Obliczenia 2 2 18" xfId="37174"/>
    <cellStyle name="Obliczenia 2 2 18 2" xfId="37175"/>
    <cellStyle name="Obliczenia 2 2 18 3" xfId="37176"/>
    <cellStyle name="Obliczenia 2 2 19" xfId="37177"/>
    <cellStyle name="Obliczenia 2 2 19 2" xfId="37178"/>
    <cellStyle name="Obliczenia 2 2 19 3" xfId="37179"/>
    <cellStyle name="Obliczenia 2 2 2" xfId="37180"/>
    <cellStyle name="Obliczenia 2 2 2 2" xfId="37181"/>
    <cellStyle name="Obliczenia 2 2 2 3" xfId="37182"/>
    <cellStyle name="Obliczenia 2 2 20" xfId="37183"/>
    <cellStyle name="Obliczenia 2 2 20 2" xfId="37184"/>
    <cellStyle name="Obliczenia 2 2 20 3" xfId="37185"/>
    <cellStyle name="Obliczenia 2 2 3" xfId="37186"/>
    <cellStyle name="Obliczenia 2 2 3 2" xfId="37187"/>
    <cellStyle name="Obliczenia 2 2 3 2 2" xfId="37188"/>
    <cellStyle name="Obliczenia 2 2 3 3" xfId="37189"/>
    <cellStyle name="Obliczenia 2 2 4" xfId="37190"/>
    <cellStyle name="Obliczenia 2 2 4 2" xfId="37191"/>
    <cellStyle name="Obliczenia 2 2 4 3" xfId="37192"/>
    <cellStyle name="Obliczenia 2 2 5" xfId="37193"/>
    <cellStyle name="Obliczenia 2 2 5 2" xfId="37194"/>
    <cellStyle name="Obliczenia 2 2 5 3" xfId="37195"/>
    <cellStyle name="Obliczenia 2 2 6" xfId="37196"/>
    <cellStyle name="Obliczenia 2 2 6 2" xfId="37197"/>
    <cellStyle name="Obliczenia 2 2 6 3" xfId="37198"/>
    <cellStyle name="Obliczenia 2 2 7" xfId="37199"/>
    <cellStyle name="Obliczenia 2 2 7 2" xfId="37200"/>
    <cellStyle name="Obliczenia 2 2 7 3" xfId="37201"/>
    <cellStyle name="Obliczenia 2 2 8" xfId="37202"/>
    <cellStyle name="Obliczenia 2 2 8 2" xfId="37203"/>
    <cellStyle name="Obliczenia 2 2 8 3" xfId="37204"/>
    <cellStyle name="Obliczenia 2 2 9" xfId="37205"/>
    <cellStyle name="Obliczenia 2 2 9 2" xfId="37206"/>
    <cellStyle name="Obliczenia 2 2 9 3" xfId="37207"/>
    <cellStyle name="Obliczenia 2 20" xfId="37208"/>
    <cellStyle name="Obliczenia 2 20 2" xfId="37209"/>
    <cellStyle name="Obliczenia 2 20 3" xfId="37210"/>
    <cellStyle name="Obliczenia 2 21" xfId="37211"/>
    <cellStyle name="Obliczenia 2 21 2" xfId="37212"/>
    <cellStyle name="Obliczenia 2 21 3" xfId="37213"/>
    <cellStyle name="Obliczenia 2 22" xfId="37214"/>
    <cellStyle name="Obliczenia 2 22 2" xfId="37215"/>
    <cellStyle name="Obliczenia 2 22 3" xfId="37216"/>
    <cellStyle name="Obliczenia 2 23" xfId="37217"/>
    <cellStyle name="Obliczenia 2 23 2" xfId="37218"/>
    <cellStyle name="Obliczenia 2 23 3" xfId="37219"/>
    <cellStyle name="Obliczenia 2 24" xfId="37220"/>
    <cellStyle name="Obliczenia 2 24 2" xfId="37221"/>
    <cellStyle name="Obliczenia 2 24 3" xfId="37222"/>
    <cellStyle name="Obliczenia 2 25" xfId="37223"/>
    <cellStyle name="Obliczenia 2 25 2" xfId="37224"/>
    <cellStyle name="Obliczenia 2 25 3" xfId="37225"/>
    <cellStyle name="Obliczenia 2 26" xfId="37226"/>
    <cellStyle name="Obliczenia 2 26 2" xfId="37227"/>
    <cellStyle name="Obliczenia 2 26 3" xfId="37228"/>
    <cellStyle name="Obliczenia 2 27" xfId="37229"/>
    <cellStyle name="Obliczenia 2 27 2" xfId="37230"/>
    <cellStyle name="Obliczenia 2 27 3" xfId="37231"/>
    <cellStyle name="Obliczenia 2 3" xfId="37232"/>
    <cellStyle name="Obliczenia 2 3 10" xfId="37233"/>
    <cellStyle name="Obliczenia 2 3 10 2" xfId="37234"/>
    <cellStyle name="Obliczenia 2 3 10 3" xfId="37235"/>
    <cellStyle name="Obliczenia 2 3 11" xfId="37236"/>
    <cellStyle name="Obliczenia 2 3 11 2" xfId="37237"/>
    <cellStyle name="Obliczenia 2 3 11 3" xfId="37238"/>
    <cellStyle name="Obliczenia 2 3 12" xfId="37239"/>
    <cellStyle name="Obliczenia 2 3 12 2" xfId="37240"/>
    <cellStyle name="Obliczenia 2 3 12 3" xfId="37241"/>
    <cellStyle name="Obliczenia 2 3 13" xfId="37242"/>
    <cellStyle name="Obliczenia 2 3 13 2" xfId="37243"/>
    <cellStyle name="Obliczenia 2 3 13 3" xfId="37244"/>
    <cellStyle name="Obliczenia 2 3 14" xfId="37245"/>
    <cellStyle name="Obliczenia 2 3 14 2" xfId="37246"/>
    <cellStyle name="Obliczenia 2 3 14 3" xfId="37247"/>
    <cellStyle name="Obliczenia 2 3 15" xfId="37248"/>
    <cellStyle name="Obliczenia 2 3 15 2" xfId="37249"/>
    <cellStyle name="Obliczenia 2 3 15 3" xfId="37250"/>
    <cellStyle name="Obliczenia 2 3 16" xfId="37251"/>
    <cellStyle name="Obliczenia 2 3 16 2" xfId="37252"/>
    <cellStyle name="Obliczenia 2 3 16 3" xfId="37253"/>
    <cellStyle name="Obliczenia 2 3 17" xfId="37254"/>
    <cellStyle name="Obliczenia 2 3 17 2" xfId="37255"/>
    <cellStyle name="Obliczenia 2 3 17 3" xfId="37256"/>
    <cellStyle name="Obliczenia 2 3 18" xfId="37257"/>
    <cellStyle name="Obliczenia 2 3 18 2" xfId="37258"/>
    <cellStyle name="Obliczenia 2 3 18 3" xfId="37259"/>
    <cellStyle name="Obliczenia 2 3 19" xfId="37260"/>
    <cellStyle name="Obliczenia 2 3 19 2" xfId="37261"/>
    <cellStyle name="Obliczenia 2 3 19 3" xfId="37262"/>
    <cellStyle name="Obliczenia 2 3 2" xfId="37263"/>
    <cellStyle name="Obliczenia 2 3 2 2" xfId="37264"/>
    <cellStyle name="Obliczenia 2 3 2 3" xfId="37265"/>
    <cellStyle name="Obliczenia 2 3 20" xfId="37266"/>
    <cellStyle name="Obliczenia 2 3 20 2" xfId="37267"/>
    <cellStyle name="Obliczenia 2 3 20 3" xfId="37268"/>
    <cellStyle name="Obliczenia 2 3 3" xfId="37269"/>
    <cellStyle name="Obliczenia 2 3 3 2" xfId="37270"/>
    <cellStyle name="Obliczenia 2 3 3 3" xfId="37271"/>
    <cellStyle name="Obliczenia 2 3 4" xfId="37272"/>
    <cellStyle name="Obliczenia 2 3 4 2" xfId="37273"/>
    <cellStyle name="Obliczenia 2 3 4 3" xfId="37274"/>
    <cellStyle name="Obliczenia 2 3 5" xfId="37275"/>
    <cellStyle name="Obliczenia 2 3 5 2" xfId="37276"/>
    <cellStyle name="Obliczenia 2 3 5 3" xfId="37277"/>
    <cellStyle name="Obliczenia 2 3 6" xfId="37278"/>
    <cellStyle name="Obliczenia 2 3 6 2" xfId="37279"/>
    <cellStyle name="Obliczenia 2 3 6 3" xfId="37280"/>
    <cellStyle name="Obliczenia 2 3 7" xfId="37281"/>
    <cellStyle name="Obliczenia 2 3 7 2" xfId="37282"/>
    <cellStyle name="Obliczenia 2 3 7 3" xfId="37283"/>
    <cellStyle name="Obliczenia 2 3 8" xfId="37284"/>
    <cellStyle name="Obliczenia 2 3 8 2" xfId="37285"/>
    <cellStyle name="Obliczenia 2 3 8 3" xfId="37286"/>
    <cellStyle name="Obliczenia 2 3 9" xfId="37287"/>
    <cellStyle name="Obliczenia 2 3 9 2" xfId="37288"/>
    <cellStyle name="Obliczenia 2 3 9 3" xfId="37289"/>
    <cellStyle name="Obliczenia 2 4" xfId="37290"/>
    <cellStyle name="Obliczenia 2 4 10" xfId="37291"/>
    <cellStyle name="Obliczenia 2 4 10 2" xfId="37292"/>
    <cellStyle name="Obliczenia 2 4 10 3" xfId="37293"/>
    <cellStyle name="Obliczenia 2 4 11" xfId="37294"/>
    <cellStyle name="Obliczenia 2 4 11 2" xfId="37295"/>
    <cellStyle name="Obliczenia 2 4 11 3" xfId="37296"/>
    <cellStyle name="Obliczenia 2 4 12" xfId="37297"/>
    <cellStyle name="Obliczenia 2 4 12 2" xfId="37298"/>
    <cellStyle name="Obliczenia 2 4 12 3" xfId="37299"/>
    <cellStyle name="Obliczenia 2 4 13" xfId="37300"/>
    <cellStyle name="Obliczenia 2 4 13 2" xfId="37301"/>
    <cellStyle name="Obliczenia 2 4 13 3" xfId="37302"/>
    <cellStyle name="Obliczenia 2 4 14" xfId="37303"/>
    <cellStyle name="Obliczenia 2 4 14 2" xfId="37304"/>
    <cellStyle name="Obliczenia 2 4 14 3" xfId="37305"/>
    <cellStyle name="Obliczenia 2 4 15" xfId="37306"/>
    <cellStyle name="Obliczenia 2 4 15 2" xfId="37307"/>
    <cellStyle name="Obliczenia 2 4 15 3" xfId="37308"/>
    <cellStyle name="Obliczenia 2 4 16" xfId="37309"/>
    <cellStyle name="Obliczenia 2 4 16 2" xfId="37310"/>
    <cellStyle name="Obliczenia 2 4 16 3" xfId="37311"/>
    <cellStyle name="Obliczenia 2 4 17" xfId="37312"/>
    <cellStyle name="Obliczenia 2 4 17 2" xfId="37313"/>
    <cellStyle name="Obliczenia 2 4 17 3" xfId="37314"/>
    <cellStyle name="Obliczenia 2 4 18" xfId="37315"/>
    <cellStyle name="Obliczenia 2 4 18 2" xfId="37316"/>
    <cellStyle name="Obliczenia 2 4 18 3" xfId="37317"/>
    <cellStyle name="Obliczenia 2 4 19" xfId="37318"/>
    <cellStyle name="Obliczenia 2 4 19 2" xfId="37319"/>
    <cellStyle name="Obliczenia 2 4 19 3" xfId="37320"/>
    <cellStyle name="Obliczenia 2 4 2" xfId="37321"/>
    <cellStyle name="Obliczenia 2 4 2 2" xfId="37322"/>
    <cellStyle name="Obliczenia 2 4 2 3" xfId="37323"/>
    <cellStyle name="Obliczenia 2 4 20" xfId="37324"/>
    <cellStyle name="Obliczenia 2 4 20 2" xfId="37325"/>
    <cellStyle name="Obliczenia 2 4 20 3" xfId="37326"/>
    <cellStyle name="Obliczenia 2 4 3" xfId="37327"/>
    <cellStyle name="Obliczenia 2 4 3 2" xfId="37328"/>
    <cellStyle name="Obliczenia 2 4 3 3" xfId="37329"/>
    <cellStyle name="Obliczenia 2 4 4" xfId="37330"/>
    <cellStyle name="Obliczenia 2 4 4 2" xfId="37331"/>
    <cellStyle name="Obliczenia 2 4 4 3" xfId="37332"/>
    <cellStyle name="Obliczenia 2 4 5" xfId="37333"/>
    <cellStyle name="Obliczenia 2 4 5 2" xfId="37334"/>
    <cellStyle name="Obliczenia 2 4 5 3" xfId="37335"/>
    <cellStyle name="Obliczenia 2 4 6" xfId="37336"/>
    <cellStyle name="Obliczenia 2 4 6 2" xfId="37337"/>
    <cellStyle name="Obliczenia 2 4 6 3" xfId="37338"/>
    <cellStyle name="Obliczenia 2 4 7" xfId="37339"/>
    <cellStyle name="Obliczenia 2 4 7 2" xfId="37340"/>
    <cellStyle name="Obliczenia 2 4 7 3" xfId="37341"/>
    <cellStyle name="Obliczenia 2 4 8" xfId="37342"/>
    <cellStyle name="Obliczenia 2 4 8 2" xfId="37343"/>
    <cellStyle name="Obliczenia 2 4 8 3" xfId="37344"/>
    <cellStyle name="Obliczenia 2 4 9" xfId="37345"/>
    <cellStyle name="Obliczenia 2 4 9 2" xfId="37346"/>
    <cellStyle name="Obliczenia 2 4 9 3" xfId="37347"/>
    <cellStyle name="Obliczenia 2 5" xfId="37348"/>
    <cellStyle name="Obliczenia 2 5 10" xfId="37349"/>
    <cellStyle name="Obliczenia 2 5 10 2" xfId="37350"/>
    <cellStyle name="Obliczenia 2 5 10 3" xfId="37351"/>
    <cellStyle name="Obliczenia 2 5 11" xfId="37352"/>
    <cellStyle name="Obliczenia 2 5 11 2" xfId="37353"/>
    <cellStyle name="Obliczenia 2 5 11 3" xfId="37354"/>
    <cellStyle name="Obliczenia 2 5 12" xfId="37355"/>
    <cellStyle name="Obliczenia 2 5 12 2" xfId="37356"/>
    <cellStyle name="Obliczenia 2 5 12 3" xfId="37357"/>
    <cellStyle name="Obliczenia 2 5 13" xfId="37358"/>
    <cellStyle name="Obliczenia 2 5 13 2" xfId="37359"/>
    <cellStyle name="Obliczenia 2 5 13 3" xfId="37360"/>
    <cellStyle name="Obliczenia 2 5 14" xfId="37361"/>
    <cellStyle name="Obliczenia 2 5 14 2" xfId="37362"/>
    <cellStyle name="Obliczenia 2 5 14 3" xfId="37363"/>
    <cellStyle name="Obliczenia 2 5 15" xfId="37364"/>
    <cellStyle name="Obliczenia 2 5 15 2" xfId="37365"/>
    <cellStyle name="Obliczenia 2 5 15 3" xfId="37366"/>
    <cellStyle name="Obliczenia 2 5 16" xfId="37367"/>
    <cellStyle name="Obliczenia 2 5 16 2" xfId="37368"/>
    <cellStyle name="Obliczenia 2 5 16 3" xfId="37369"/>
    <cellStyle name="Obliczenia 2 5 17" xfId="37370"/>
    <cellStyle name="Obliczenia 2 5 17 2" xfId="37371"/>
    <cellStyle name="Obliczenia 2 5 17 3" xfId="37372"/>
    <cellStyle name="Obliczenia 2 5 18" xfId="37373"/>
    <cellStyle name="Obliczenia 2 5 18 2" xfId="37374"/>
    <cellStyle name="Obliczenia 2 5 18 3" xfId="37375"/>
    <cellStyle name="Obliczenia 2 5 19" xfId="37376"/>
    <cellStyle name="Obliczenia 2 5 19 2" xfId="37377"/>
    <cellStyle name="Obliczenia 2 5 19 3" xfId="37378"/>
    <cellStyle name="Obliczenia 2 5 2" xfId="37379"/>
    <cellStyle name="Obliczenia 2 5 2 2" xfId="37380"/>
    <cellStyle name="Obliczenia 2 5 2 3" xfId="37381"/>
    <cellStyle name="Obliczenia 2 5 20" xfId="37382"/>
    <cellStyle name="Obliczenia 2 5 20 2" xfId="37383"/>
    <cellStyle name="Obliczenia 2 5 20 3" xfId="37384"/>
    <cellStyle name="Obliczenia 2 5 3" xfId="37385"/>
    <cellStyle name="Obliczenia 2 5 3 2" xfId="37386"/>
    <cellStyle name="Obliczenia 2 5 3 3" xfId="37387"/>
    <cellStyle name="Obliczenia 2 5 4" xfId="37388"/>
    <cellStyle name="Obliczenia 2 5 4 2" xfId="37389"/>
    <cellStyle name="Obliczenia 2 5 4 3" xfId="37390"/>
    <cellStyle name="Obliczenia 2 5 5" xfId="37391"/>
    <cellStyle name="Obliczenia 2 5 5 2" xfId="37392"/>
    <cellStyle name="Obliczenia 2 5 5 3" xfId="37393"/>
    <cellStyle name="Obliczenia 2 5 6" xfId="37394"/>
    <cellStyle name="Obliczenia 2 5 6 2" xfId="37395"/>
    <cellStyle name="Obliczenia 2 5 6 3" xfId="37396"/>
    <cellStyle name="Obliczenia 2 5 7" xfId="37397"/>
    <cellStyle name="Obliczenia 2 5 7 2" xfId="37398"/>
    <cellStyle name="Obliczenia 2 5 7 3" xfId="37399"/>
    <cellStyle name="Obliczenia 2 5 8" xfId="37400"/>
    <cellStyle name="Obliczenia 2 5 8 2" xfId="37401"/>
    <cellStyle name="Obliczenia 2 5 8 3" xfId="37402"/>
    <cellStyle name="Obliczenia 2 5 9" xfId="37403"/>
    <cellStyle name="Obliczenia 2 5 9 2" xfId="37404"/>
    <cellStyle name="Obliczenia 2 5 9 3" xfId="37405"/>
    <cellStyle name="Obliczenia 2 6" xfId="37406"/>
    <cellStyle name="Obliczenia 2 6 10" xfId="37407"/>
    <cellStyle name="Obliczenia 2 6 10 2" xfId="37408"/>
    <cellStyle name="Obliczenia 2 6 10 3" xfId="37409"/>
    <cellStyle name="Obliczenia 2 6 11" xfId="37410"/>
    <cellStyle name="Obliczenia 2 6 11 2" xfId="37411"/>
    <cellStyle name="Obliczenia 2 6 11 3" xfId="37412"/>
    <cellStyle name="Obliczenia 2 6 12" xfId="37413"/>
    <cellStyle name="Obliczenia 2 6 12 2" xfId="37414"/>
    <cellStyle name="Obliczenia 2 6 12 3" xfId="37415"/>
    <cellStyle name="Obliczenia 2 6 13" xfId="37416"/>
    <cellStyle name="Obliczenia 2 6 13 2" xfId="37417"/>
    <cellStyle name="Obliczenia 2 6 13 3" xfId="37418"/>
    <cellStyle name="Obliczenia 2 6 14" xfId="37419"/>
    <cellStyle name="Obliczenia 2 6 14 2" xfId="37420"/>
    <cellStyle name="Obliczenia 2 6 14 3" xfId="37421"/>
    <cellStyle name="Obliczenia 2 6 15" xfId="37422"/>
    <cellStyle name="Obliczenia 2 6 15 2" xfId="37423"/>
    <cellStyle name="Obliczenia 2 6 15 3" xfId="37424"/>
    <cellStyle name="Obliczenia 2 6 16" xfId="37425"/>
    <cellStyle name="Obliczenia 2 6 16 2" xfId="37426"/>
    <cellStyle name="Obliczenia 2 6 16 3" xfId="37427"/>
    <cellStyle name="Obliczenia 2 6 17" xfId="37428"/>
    <cellStyle name="Obliczenia 2 6 17 2" xfId="37429"/>
    <cellStyle name="Obliczenia 2 6 17 3" xfId="37430"/>
    <cellStyle name="Obliczenia 2 6 18" xfId="37431"/>
    <cellStyle name="Obliczenia 2 6 18 2" xfId="37432"/>
    <cellStyle name="Obliczenia 2 6 18 3" xfId="37433"/>
    <cellStyle name="Obliczenia 2 6 19" xfId="37434"/>
    <cellStyle name="Obliczenia 2 6 19 2" xfId="37435"/>
    <cellStyle name="Obliczenia 2 6 19 3" xfId="37436"/>
    <cellStyle name="Obliczenia 2 6 2" xfId="37437"/>
    <cellStyle name="Obliczenia 2 6 2 2" xfId="37438"/>
    <cellStyle name="Obliczenia 2 6 2 3" xfId="37439"/>
    <cellStyle name="Obliczenia 2 6 20" xfId="37440"/>
    <cellStyle name="Obliczenia 2 6 20 2" xfId="37441"/>
    <cellStyle name="Obliczenia 2 6 20 3" xfId="37442"/>
    <cellStyle name="Obliczenia 2 6 3" xfId="37443"/>
    <cellStyle name="Obliczenia 2 6 3 2" xfId="37444"/>
    <cellStyle name="Obliczenia 2 6 3 3" xfId="37445"/>
    <cellStyle name="Obliczenia 2 6 4" xfId="37446"/>
    <cellStyle name="Obliczenia 2 6 4 2" xfId="37447"/>
    <cellStyle name="Obliczenia 2 6 4 3" xfId="37448"/>
    <cellStyle name="Obliczenia 2 6 5" xfId="37449"/>
    <cellStyle name="Obliczenia 2 6 5 2" xfId="37450"/>
    <cellStyle name="Obliczenia 2 6 5 3" xfId="37451"/>
    <cellStyle name="Obliczenia 2 6 6" xfId="37452"/>
    <cellStyle name="Obliczenia 2 6 6 2" xfId="37453"/>
    <cellStyle name="Obliczenia 2 6 6 3" xfId="37454"/>
    <cellStyle name="Obliczenia 2 6 7" xfId="37455"/>
    <cellStyle name="Obliczenia 2 6 7 2" xfId="37456"/>
    <cellStyle name="Obliczenia 2 6 7 3" xfId="37457"/>
    <cellStyle name="Obliczenia 2 6 8" xfId="37458"/>
    <cellStyle name="Obliczenia 2 6 8 2" xfId="37459"/>
    <cellStyle name="Obliczenia 2 6 8 3" xfId="37460"/>
    <cellStyle name="Obliczenia 2 6 9" xfId="37461"/>
    <cellStyle name="Obliczenia 2 6 9 2" xfId="37462"/>
    <cellStyle name="Obliczenia 2 6 9 3" xfId="37463"/>
    <cellStyle name="Obliczenia 2 7" xfId="37464"/>
    <cellStyle name="Obliczenia 2 7 10" xfId="37465"/>
    <cellStyle name="Obliczenia 2 7 10 2" xfId="37466"/>
    <cellStyle name="Obliczenia 2 7 10 3" xfId="37467"/>
    <cellStyle name="Obliczenia 2 7 11" xfId="37468"/>
    <cellStyle name="Obliczenia 2 7 11 2" xfId="37469"/>
    <cellStyle name="Obliczenia 2 7 11 3" xfId="37470"/>
    <cellStyle name="Obliczenia 2 7 12" xfId="37471"/>
    <cellStyle name="Obliczenia 2 7 12 2" xfId="37472"/>
    <cellStyle name="Obliczenia 2 7 12 3" xfId="37473"/>
    <cellStyle name="Obliczenia 2 7 13" xfId="37474"/>
    <cellStyle name="Obliczenia 2 7 13 2" xfId="37475"/>
    <cellStyle name="Obliczenia 2 7 13 3" xfId="37476"/>
    <cellStyle name="Obliczenia 2 7 14" xfId="37477"/>
    <cellStyle name="Obliczenia 2 7 14 2" xfId="37478"/>
    <cellStyle name="Obliczenia 2 7 14 3" xfId="37479"/>
    <cellStyle name="Obliczenia 2 7 15" xfId="37480"/>
    <cellStyle name="Obliczenia 2 7 15 2" xfId="37481"/>
    <cellStyle name="Obliczenia 2 7 15 3" xfId="37482"/>
    <cellStyle name="Obliczenia 2 7 16" xfId="37483"/>
    <cellStyle name="Obliczenia 2 7 16 2" xfId="37484"/>
    <cellStyle name="Obliczenia 2 7 16 3" xfId="37485"/>
    <cellStyle name="Obliczenia 2 7 17" xfId="37486"/>
    <cellStyle name="Obliczenia 2 7 17 2" xfId="37487"/>
    <cellStyle name="Obliczenia 2 7 17 3" xfId="37488"/>
    <cellStyle name="Obliczenia 2 7 18" xfId="37489"/>
    <cellStyle name="Obliczenia 2 7 18 2" xfId="37490"/>
    <cellStyle name="Obliczenia 2 7 18 3" xfId="37491"/>
    <cellStyle name="Obliczenia 2 7 19" xfId="37492"/>
    <cellStyle name="Obliczenia 2 7 19 2" xfId="37493"/>
    <cellStyle name="Obliczenia 2 7 19 3" xfId="37494"/>
    <cellStyle name="Obliczenia 2 7 2" xfId="37495"/>
    <cellStyle name="Obliczenia 2 7 2 2" xfId="37496"/>
    <cellStyle name="Obliczenia 2 7 2 3" xfId="37497"/>
    <cellStyle name="Obliczenia 2 7 20" xfId="37498"/>
    <cellStyle name="Obliczenia 2 7 20 2" xfId="37499"/>
    <cellStyle name="Obliczenia 2 7 20 3" xfId="37500"/>
    <cellStyle name="Obliczenia 2 7 3" xfId="37501"/>
    <cellStyle name="Obliczenia 2 7 3 2" xfId="37502"/>
    <cellStyle name="Obliczenia 2 7 3 3" xfId="37503"/>
    <cellStyle name="Obliczenia 2 7 4" xfId="37504"/>
    <cellStyle name="Obliczenia 2 7 4 2" xfId="37505"/>
    <cellStyle name="Obliczenia 2 7 4 3" xfId="37506"/>
    <cellStyle name="Obliczenia 2 7 5" xfId="37507"/>
    <cellStyle name="Obliczenia 2 7 5 2" xfId="37508"/>
    <cellStyle name="Obliczenia 2 7 5 3" xfId="37509"/>
    <cellStyle name="Obliczenia 2 7 6" xfId="37510"/>
    <cellStyle name="Obliczenia 2 7 6 2" xfId="37511"/>
    <cellStyle name="Obliczenia 2 7 6 3" xfId="37512"/>
    <cellStyle name="Obliczenia 2 7 7" xfId="37513"/>
    <cellStyle name="Obliczenia 2 7 7 2" xfId="37514"/>
    <cellStyle name="Obliczenia 2 7 7 3" xfId="37515"/>
    <cellStyle name="Obliczenia 2 7 8" xfId="37516"/>
    <cellStyle name="Obliczenia 2 7 8 2" xfId="37517"/>
    <cellStyle name="Obliczenia 2 7 8 3" xfId="37518"/>
    <cellStyle name="Obliczenia 2 7 9" xfId="37519"/>
    <cellStyle name="Obliczenia 2 7 9 2" xfId="37520"/>
    <cellStyle name="Obliczenia 2 7 9 3" xfId="37521"/>
    <cellStyle name="Obliczenia 2 8" xfId="37522"/>
    <cellStyle name="Obliczenia 2 8 10" xfId="37523"/>
    <cellStyle name="Obliczenia 2 8 10 2" xfId="37524"/>
    <cellStyle name="Obliczenia 2 8 10 3" xfId="37525"/>
    <cellStyle name="Obliczenia 2 8 11" xfId="37526"/>
    <cellStyle name="Obliczenia 2 8 11 2" xfId="37527"/>
    <cellStyle name="Obliczenia 2 8 11 3" xfId="37528"/>
    <cellStyle name="Obliczenia 2 8 12" xfId="37529"/>
    <cellStyle name="Obliczenia 2 8 12 2" xfId="37530"/>
    <cellStyle name="Obliczenia 2 8 12 3" xfId="37531"/>
    <cellStyle name="Obliczenia 2 8 13" xfId="37532"/>
    <cellStyle name="Obliczenia 2 8 13 2" xfId="37533"/>
    <cellStyle name="Obliczenia 2 8 13 3" xfId="37534"/>
    <cellStyle name="Obliczenia 2 8 14" xfId="37535"/>
    <cellStyle name="Obliczenia 2 8 14 2" xfId="37536"/>
    <cellStyle name="Obliczenia 2 8 14 3" xfId="37537"/>
    <cellStyle name="Obliczenia 2 8 15" xfId="37538"/>
    <cellStyle name="Obliczenia 2 8 15 2" xfId="37539"/>
    <cellStyle name="Obliczenia 2 8 15 3" xfId="37540"/>
    <cellStyle name="Obliczenia 2 8 16" xfId="37541"/>
    <cellStyle name="Obliczenia 2 8 16 2" xfId="37542"/>
    <cellStyle name="Obliczenia 2 8 16 3" xfId="37543"/>
    <cellStyle name="Obliczenia 2 8 17" xfId="37544"/>
    <cellStyle name="Obliczenia 2 8 17 2" xfId="37545"/>
    <cellStyle name="Obliczenia 2 8 17 3" xfId="37546"/>
    <cellStyle name="Obliczenia 2 8 18" xfId="37547"/>
    <cellStyle name="Obliczenia 2 8 18 2" xfId="37548"/>
    <cellStyle name="Obliczenia 2 8 18 3" xfId="37549"/>
    <cellStyle name="Obliczenia 2 8 19" xfId="37550"/>
    <cellStyle name="Obliczenia 2 8 19 2" xfId="37551"/>
    <cellStyle name="Obliczenia 2 8 19 3" xfId="37552"/>
    <cellStyle name="Obliczenia 2 8 2" xfId="37553"/>
    <cellStyle name="Obliczenia 2 8 2 2" xfId="37554"/>
    <cellStyle name="Obliczenia 2 8 2 3" xfId="37555"/>
    <cellStyle name="Obliczenia 2 8 20" xfId="37556"/>
    <cellStyle name="Obliczenia 2 8 20 2" xfId="37557"/>
    <cellStyle name="Obliczenia 2 8 20 3" xfId="37558"/>
    <cellStyle name="Obliczenia 2 8 3" xfId="37559"/>
    <cellStyle name="Obliczenia 2 8 3 2" xfId="37560"/>
    <cellStyle name="Obliczenia 2 8 3 3" xfId="37561"/>
    <cellStyle name="Obliczenia 2 8 4" xfId="37562"/>
    <cellStyle name="Obliczenia 2 8 4 2" xfId="37563"/>
    <cellStyle name="Obliczenia 2 8 4 3" xfId="37564"/>
    <cellStyle name="Obliczenia 2 8 5" xfId="37565"/>
    <cellStyle name="Obliczenia 2 8 5 2" xfId="37566"/>
    <cellStyle name="Obliczenia 2 8 5 3" xfId="37567"/>
    <cellStyle name="Obliczenia 2 8 6" xfId="37568"/>
    <cellStyle name="Obliczenia 2 8 6 2" xfId="37569"/>
    <cellStyle name="Obliczenia 2 8 6 3" xfId="37570"/>
    <cellStyle name="Obliczenia 2 8 7" xfId="37571"/>
    <cellStyle name="Obliczenia 2 8 7 2" xfId="37572"/>
    <cellStyle name="Obliczenia 2 8 7 3" xfId="37573"/>
    <cellStyle name="Obliczenia 2 8 8" xfId="37574"/>
    <cellStyle name="Obliczenia 2 8 8 2" xfId="37575"/>
    <cellStyle name="Obliczenia 2 8 8 3" xfId="37576"/>
    <cellStyle name="Obliczenia 2 8 9" xfId="37577"/>
    <cellStyle name="Obliczenia 2 8 9 2" xfId="37578"/>
    <cellStyle name="Obliczenia 2 8 9 3" xfId="37579"/>
    <cellStyle name="Obliczenia 2 9" xfId="37580"/>
    <cellStyle name="Obliczenia 2 9 2" xfId="37581"/>
    <cellStyle name="Obliczenia 2 9 3" xfId="37582"/>
    <cellStyle name="Obliczenia 20" xfId="37583"/>
    <cellStyle name="Obliczenia 20 2" xfId="37584"/>
    <cellStyle name="Obliczenia 20 3" xfId="37585"/>
    <cellStyle name="Obliczenia 21" xfId="37586"/>
    <cellStyle name="Obliczenia 21 2" xfId="37587"/>
    <cellStyle name="Obliczenia 21 3" xfId="37588"/>
    <cellStyle name="Obliczenia 22" xfId="37589"/>
    <cellStyle name="Obliczenia 22 2" xfId="37590"/>
    <cellStyle name="Obliczenia 22 3" xfId="37591"/>
    <cellStyle name="Obliczenia 23" xfId="37592"/>
    <cellStyle name="Obliczenia 23 2" xfId="37593"/>
    <cellStyle name="Obliczenia 23 3" xfId="37594"/>
    <cellStyle name="Obliczenia 24" xfId="37595"/>
    <cellStyle name="Obliczenia 24 2" xfId="37596"/>
    <cellStyle name="Obliczenia 24 3" xfId="37597"/>
    <cellStyle name="Obliczenia 25" xfId="37598"/>
    <cellStyle name="Obliczenia 25 2" xfId="37599"/>
    <cellStyle name="Obliczenia 25 3" xfId="37600"/>
    <cellStyle name="Obliczenia 26" xfId="37601"/>
    <cellStyle name="Obliczenia 27" xfId="37602"/>
    <cellStyle name="Obliczenia 3" xfId="37603"/>
    <cellStyle name="Obliczenia 3 10" xfId="37604"/>
    <cellStyle name="Obliczenia 3 10 2" xfId="37605"/>
    <cellStyle name="Obliczenia 3 10 3" xfId="37606"/>
    <cellStyle name="Obliczenia 3 11" xfId="37607"/>
    <cellStyle name="Obliczenia 3 11 2" xfId="37608"/>
    <cellStyle name="Obliczenia 3 11 3" xfId="37609"/>
    <cellStyle name="Obliczenia 3 12" xfId="37610"/>
    <cellStyle name="Obliczenia 3 12 2" xfId="37611"/>
    <cellStyle name="Obliczenia 3 12 3" xfId="37612"/>
    <cellStyle name="Obliczenia 3 13" xfId="37613"/>
    <cellStyle name="Obliczenia 3 13 2" xfId="37614"/>
    <cellStyle name="Obliczenia 3 13 3" xfId="37615"/>
    <cellStyle name="Obliczenia 3 14" xfId="37616"/>
    <cellStyle name="Obliczenia 3 14 2" xfId="37617"/>
    <cellStyle name="Obliczenia 3 14 3" xfId="37618"/>
    <cellStyle name="Obliczenia 3 15" xfId="37619"/>
    <cellStyle name="Obliczenia 3 15 2" xfId="37620"/>
    <cellStyle name="Obliczenia 3 15 3" xfId="37621"/>
    <cellStyle name="Obliczenia 3 16" xfId="37622"/>
    <cellStyle name="Obliczenia 3 16 2" xfId="37623"/>
    <cellStyle name="Obliczenia 3 16 3" xfId="37624"/>
    <cellStyle name="Obliczenia 3 17" xfId="37625"/>
    <cellStyle name="Obliczenia 3 17 2" xfId="37626"/>
    <cellStyle name="Obliczenia 3 17 3" xfId="37627"/>
    <cellStyle name="Obliczenia 3 18" xfId="37628"/>
    <cellStyle name="Obliczenia 3 18 2" xfId="37629"/>
    <cellStyle name="Obliczenia 3 18 3" xfId="37630"/>
    <cellStyle name="Obliczenia 3 19" xfId="37631"/>
    <cellStyle name="Obliczenia 3 19 2" xfId="37632"/>
    <cellStyle name="Obliczenia 3 19 3" xfId="37633"/>
    <cellStyle name="Obliczenia 3 2" xfId="37634"/>
    <cellStyle name="Obliczenia 3 2 2" xfId="37635"/>
    <cellStyle name="Obliczenia 3 2 3" xfId="37636"/>
    <cellStyle name="Obliczenia 3 20" xfId="37637"/>
    <cellStyle name="Obliczenia 3 20 2" xfId="37638"/>
    <cellStyle name="Obliczenia 3 20 3" xfId="37639"/>
    <cellStyle name="Obliczenia 3 3" xfId="37640"/>
    <cellStyle name="Obliczenia 3 3 2" xfId="37641"/>
    <cellStyle name="Obliczenia 3 3 3" xfId="37642"/>
    <cellStyle name="Obliczenia 3 4" xfId="37643"/>
    <cellStyle name="Obliczenia 3 4 2" xfId="37644"/>
    <cellStyle name="Obliczenia 3 4 3" xfId="37645"/>
    <cellStyle name="Obliczenia 3 5" xfId="37646"/>
    <cellStyle name="Obliczenia 3 5 2" xfId="37647"/>
    <cellStyle name="Obliczenia 3 5 3" xfId="37648"/>
    <cellStyle name="Obliczenia 3 6" xfId="37649"/>
    <cellStyle name="Obliczenia 3 6 2" xfId="37650"/>
    <cellStyle name="Obliczenia 3 6 3" xfId="37651"/>
    <cellStyle name="Obliczenia 3 7" xfId="37652"/>
    <cellStyle name="Obliczenia 3 7 2" xfId="37653"/>
    <cellStyle name="Obliczenia 3 7 3" xfId="37654"/>
    <cellStyle name="Obliczenia 3 8" xfId="37655"/>
    <cellStyle name="Obliczenia 3 8 2" xfId="37656"/>
    <cellStyle name="Obliczenia 3 8 3" xfId="37657"/>
    <cellStyle name="Obliczenia 3 9" xfId="37658"/>
    <cellStyle name="Obliczenia 3 9 2" xfId="37659"/>
    <cellStyle name="Obliczenia 3 9 3" xfId="37660"/>
    <cellStyle name="Obliczenia 4" xfId="37661"/>
    <cellStyle name="Obliczenia 4 10" xfId="37662"/>
    <cellStyle name="Obliczenia 4 10 2" xfId="37663"/>
    <cellStyle name="Obliczenia 4 10 3" xfId="37664"/>
    <cellStyle name="Obliczenia 4 11" xfId="37665"/>
    <cellStyle name="Obliczenia 4 11 2" xfId="37666"/>
    <cellStyle name="Obliczenia 4 11 3" xfId="37667"/>
    <cellStyle name="Obliczenia 4 12" xfId="37668"/>
    <cellStyle name="Obliczenia 4 12 2" xfId="37669"/>
    <cellStyle name="Obliczenia 4 12 3" xfId="37670"/>
    <cellStyle name="Obliczenia 4 13" xfId="37671"/>
    <cellStyle name="Obliczenia 4 13 2" xfId="37672"/>
    <cellStyle name="Obliczenia 4 13 3" xfId="37673"/>
    <cellStyle name="Obliczenia 4 14" xfId="37674"/>
    <cellStyle name="Obliczenia 4 14 2" xfId="37675"/>
    <cellStyle name="Obliczenia 4 14 3" xfId="37676"/>
    <cellStyle name="Obliczenia 4 15" xfId="37677"/>
    <cellStyle name="Obliczenia 4 15 2" xfId="37678"/>
    <cellStyle name="Obliczenia 4 15 3" xfId="37679"/>
    <cellStyle name="Obliczenia 4 16" xfId="37680"/>
    <cellStyle name="Obliczenia 4 16 2" xfId="37681"/>
    <cellStyle name="Obliczenia 4 16 3" xfId="37682"/>
    <cellStyle name="Obliczenia 4 17" xfId="37683"/>
    <cellStyle name="Obliczenia 4 17 2" xfId="37684"/>
    <cellStyle name="Obliczenia 4 17 3" xfId="37685"/>
    <cellStyle name="Obliczenia 4 18" xfId="37686"/>
    <cellStyle name="Obliczenia 4 18 2" xfId="37687"/>
    <cellStyle name="Obliczenia 4 18 3" xfId="37688"/>
    <cellStyle name="Obliczenia 4 19" xfId="37689"/>
    <cellStyle name="Obliczenia 4 19 2" xfId="37690"/>
    <cellStyle name="Obliczenia 4 19 3" xfId="37691"/>
    <cellStyle name="Obliczenia 4 2" xfId="37692"/>
    <cellStyle name="Obliczenia 4 2 10" xfId="37693"/>
    <cellStyle name="Obliczenia 4 2 10 2" xfId="37694"/>
    <cellStyle name="Obliczenia 4 2 10 3" xfId="37695"/>
    <cellStyle name="Obliczenia 4 2 11" xfId="37696"/>
    <cellStyle name="Obliczenia 4 2 11 2" xfId="37697"/>
    <cellStyle name="Obliczenia 4 2 11 3" xfId="37698"/>
    <cellStyle name="Obliczenia 4 2 12" xfId="37699"/>
    <cellStyle name="Obliczenia 4 2 12 2" xfId="37700"/>
    <cellStyle name="Obliczenia 4 2 12 3" xfId="37701"/>
    <cellStyle name="Obliczenia 4 2 13" xfId="37702"/>
    <cellStyle name="Obliczenia 4 2 13 2" xfId="37703"/>
    <cellStyle name="Obliczenia 4 2 13 3" xfId="37704"/>
    <cellStyle name="Obliczenia 4 2 14" xfId="37705"/>
    <cellStyle name="Obliczenia 4 2 14 2" xfId="37706"/>
    <cellStyle name="Obliczenia 4 2 14 3" xfId="37707"/>
    <cellStyle name="Obliczenia 4 2 15" xfId="37708"/>
    <cellStyle name="Obliczenia 4 2 15 2" xfId="37709"/>
    <cellStyle name="Obliczenia 4 2 15 3" xfId="37710"/>
    <cellStyle name="Obliczenia 4 2 16" xfId="37711"/>
    <cellStyle name="Obliczenia 4 2 16 2" xfId="37712"/>
    <cellStyle name="Obliczenia 4 2 16 3" xfId="37713"/>
    <cellStyle name="Obliczenia 4 2 17" xfId="37714"/>
    <cellStyle name="Obliczenia 4 2 17 2" xfId="37715"/>
    <cellStyle name="Obliczenia 4 2 17 3" xfId="37716"/>
    <cellStyle name="Obliczenia 4 2 18" xfId="37717"/>
    <cellStyle name="Obliczenia 4 2 18 2" xfId="37718"/>
    <cellStyle name="Obliczenia 4 2 18 3" xfId="37719"/>
    <cellStyle name="Obliczenia 4 2 19" xfId="37720"/>
    <cellStyle name="Obliczenia 4 2 19 2" xfId="37721"/>
    <cellStyle name="Obliczenia 4 2 19 3" xfId="37722"/>
    <cellStyle name="Obliczenia 4 2 2" xfId="37723"/>
    <cellStyle name="Obliczenia 4 2 2 2" xfId="37724"/>
    <cellStyle name="Obliczenia 4 2 2 3" xfId="37725"/>
    <cellStyle name="Obliczenia 4 2 20" xfId="37726"/>
    <cellStyle name="Obliczenia 4 2 20 2" xfId="37727"/>
    <cellStyle name="Obliczenia 4 2 20 3" xfId="37728"/>
    <cellStyle name="Obliczenia 4 2 3" xfId="37729"/>
    <cellStyle name="Obliczenia 4 2 3 2" xfId="37730"/>
    <cellStyle name="Obliczenia 4 2 3 3" xfId="37731"/>
    <cellStyle name="Obliczenia 4 2 4" xfId="37732"/>
    <cellStyle name="Obliczenia 4 2 4 2" xfId="37733"/>
    <cellStyle name="Obliczenia 4 2 4 3" xfId="37734"/>
    <cellStyle name="Obliczenia 4 2 5" xfId="37735"/>
    <cellStyle name="Obliczenia 4 2 5 2" xfId="37736"/>
    <cellStyle name="Obliczenia 4 2 5 3" xfId="37737"/>
    <cellStyle name="Obliczenia 4 2 6" xfId="37738"/>
    <cellStyle name="Obliczenia 4 2 6 2" xfId="37739"/>
    <cellStyle name="Obliczenia 4 2 6 3" xfId="37740"/>
    <cellStyle name="Obliczenia 4 2 7" xfId="37741"/>
    <cellStyle name="Obliczenia 4 2 7 2" xfId="37742"/>
    <cellStyle name="Obliczenia 4 2 7 3" xfId="37743"/>
    <cellStyle name="Obliczenia 4 2 8" xfId="37744"/>
    <cellStyle name="Obliczenia 4 2 8 2" xfId="37745"/>
    <cellStyle name="Obliczenia 4 2 8 3" xfId="37746"/>
    <cellStyle name="Obliczenia 4 2 9" xfId="37747"/>
    <cellStyle name="Obliczenia 4 2 9 2" xfId="37748"/>
    <cellStyle name="Obliczenia 4 2 9 3" xfId="37749"/>
    <cellStyle name="Obliczenia 4 20" xfId="37750"/>
    <cellStyle name="Obliczenia 4 20 2" xfId="37751"/>
    <cellStyle name="Obliczenia 4 20 3" xfId="37752"/>
    <cellStyle name="Obliczenia 4 21" xfId="37753"/>
    <cellStyle name="Obliczenia 4 21 2" xfId="37754"/>
    <cellStyle name="Obliczenia 4 21 3" xfId="37755"/>
    <cellStyle name="Obliczenia 4 22" xfId="37756"/>
    <cellStyle name="Obliczenia 4 22 2" xfId="37757"/>
    <cellStyle name="Obliczenia 4 22 3" xfId="37758"/>
    <cellStyle name="Obliczenia 4 3" xfId="37759"/>
    <cellStyle name="Obliczenia 4 3 10" xfId="37760"/>
    <cellStyle name="Obliczenia 4 3 10 2" xfId="37761"/>
    <cellStyle name="Obliczenia 4 3 10 3" xfId="37762"/>
    <cellStyle name="Obliczenia 4 3 11" xfId="37763"/>
    <cellStyle name="Obliczenia 4 3 11 2" xfId="37764"/>
    <cellStyle name="Obliczenia 4 3 11 3" xfId="37765"/>
    <cellStyle name="Obliczenia 4 3 12" xfId="37766"/>
    <cellStyle name="Obliczenia 4 3 12 2" xfId="37767"/>
    <cellStyle name="Obliczenia 4 3 12 3" xfId="37768"/>
    <cellStyle name="Obliczenia 4 3 13" xfId="37769"/>
    <cellStyle name="Obliczenia 4 3 13 2" xfId="37770"/>
    <cellStyle name="Obliczenia 4 3 13 3" xfId="37771"/>
    <cellStyle name="Obliczenia 4 3 14" xfId="37772"/>
    <cellStyle name="Obliczenia 4 3 14 2" xfId="37773"/>
    <cellStyle name="Obliczenia 4 3 14 3" xfId="37774"/>
    <cellStyle name="Obliczenia 4 3 15" xfId="37775"/>
    <cellStyle name="Obliczenia 4 3 15 2" xfId="37776"/>
    <cellStyle name="Obliczenia 4 3 15 3" xfId="37777"/>
    <cellStyle name="Obliczenia 4 3 16" xfId="37778"/>
    <cellStyle name="Obliczenia 4 3 16 2" xfId="37779"/>
    <cellStyle name="Obliczenia 4 3 16 3" xfId="37780"/>
    <cellStyle name="Obliczenia 4 3 17" xfId="37781"/>
    <cellStyle name="Obliczenia 4 3 17 2" xfId="37782"/>
    <cellStyle name="Obliczenia 4 3 17 3" xfId="37783"/>
    <cellStyle name="Obliczenia 4 3 18" xfId="37784"/>
    <cellStyle name="Obliczenia 4 3 18 2" xfId="37785"/>
    <cellStyle name="Obliczenia 4 3 18 3" xfId="37786"/>
    <cellStyle name="Obliczenia 4 3 19" xfId="37787"/>
    <cellStyle name="Obliczenia 4 3 19 2" xfId="37788"/>
    <cellStyle name="Obliczenia 4 3 19 3" xfId="37789"/>
    <cellStyle name="Obliczenia 4 3 2" xfId="37790"/>
    <cellStyle name="Obliczenia 4 3 2 2" xfId="37791"/>
    <cellStyle name="Obliczenia 4 3 2 3" xfId="37792"/>
    <cellStyle name="Obliczenia 4 3 20" xfId="37793"/>
    <cellStyle name="Obliczenia 4 3 20 2" xfId="37794"/>
    <cellStyle name="Obliczenia 4 3 20 3" xfId="37795"/>
    <cellStyle name="Obliczenia 4 3 3" xfId="37796"/>
    <cellStyle name="Obliczenia 4 3 3 2" xfId="37797"/>
    <cellStyle name="Obliczenia 4 3 3 3" xfId="37798"/>
    <cellStyle name="Obliczenia 4 3 4" xfId="37799"/>
    <cellStyle name="Obliczenia 4 3 4 2" xfId="37800"/>
    <cellStyle name="Obliczenia 4 3 4 3" xfId="37801"/>
    <cellStyle name="Obliczenia 4 3 5" xfId="37802"/>
    <cellStyle name="Obliczenia 4 3 5 2" xfId="37803"/>
    <cellStyle name="Obliczenia 4 3 5 3" xfId="37804"/>
    <cellStyle name="Obliczenia 4 3 6" xfId="37805"/>
    <cellStyle name="Obliczenia 4 3 6 2" xfId="37806"/>
    <cellStyle name="Obliczenia 4 3 6 3" xfId="37807"/>
    <cellStyle name="Obliczenia 4 3 7" xfId="37808"/>
    <cellStyle name="Obliczenia 4 3 7 2" xfId="37809"/>
    <cellStyle name="Obliczenia 4 3 7 3" xfId="37810"/>
    <cellStyle name="Obliczenia 4 3 8" xfId="37811"/>
    <cellStyle name="Obliczenia 4 3 8 2" xfId="37812"/>
    <cellStyle name="Obliczenia 4 3 8 3" xfId="37813"/>
    <cellStyle name="Obliczenia 4 3 9" xfId="37814"/>
    <cellStyle name="Obliczenia 4 3 9 2" xfId="37815"/>
    <cellStyle name="Obliczenia 4 3 9 3" xfId="37816"/>
    <cellStyle name="Obliczenia 4 4" xfId="37817"/>
    <cellStyle name="Obliczenia 4 4 2" xfId="37818"/>
    <cellStyle name="Obliczenia 4 4 3" xfId="37819"/>
    <cellStyle name="Obliczenia 4 5" xfId="37820"/>
    <cellStyle name="Obliczenia 4 5 2" xfId="37821"/>
    <cellStyle name="Obliczenia 4 5 3" xfId="37822"/>
    <cellStyle name="Obliczenia 4 6" xfId="37823"/>
    <cellStyle name="Obliczenia 4 6 2" xfId="37824"/>
    <cellStyle name="Obliczenia 4 6 3" xfId="37825"/>
    <cellStyle name="Obliczenia 4 7" xfId="37826"/>
    <cellStyle name="Obliczenia 4 7 2" xfId="37827"/>
    <cellStyle name="Obliczenia 4 7 3" xfId="37828"/>
    <cellStyle name="Obliczenia 4 8" xfId="37829"/>
    <cellStyle name="Obliczenia 4 8 2" xfId="37830"/>
    <cellStyle name="Obliczenia 4 8 3" xfId="37831"/>
    <cellStyle name="Obliczenia 4 9" xfId="37832"/>
    <cellStyle name="Obliczenia 4 9 2" xfId="37833"/>
    <cellStyle name="Obliczenia 4 9 3" xfId="37834"/>
    <cellStyle name="Obliczenia 5" xfId="37835"/>
    <cellStyle name="Obliczenia 5 10" xfId="37836"/>
    <cellStyle name="Obliczenia 5 10 2" xfId="37837"/>
    <cellStyle name="Obliczenia 5 10 3" xfId="37838"/>
    <cellStyle name="Obliczenia 5 11" xfId="37839"/>
    <cellStyle name="Obliczenia 5 11 2" xfId="37840"/>
    <cellStyle name="Obliczenia 5 11 3" xfId="37841"/>
    <cellStyle name="Obliczenia 5 12" xfId="37842"/>
    <cellStyle name="Obliczenia 5 12 2" xfId="37843"/>
    <cellStyle name="Obliczenia 5 12 3" xfId="37844"/>
    <cellStyle name="Obliczenia 5 13" xfId="37845"/>
    <cellStyle name="Obliczenia 5 13 2" xfId="37846"/>
    <cellStyle name="Obliczenia 5 13 3" xfId="37847"/>
    <cellStyle name="Obliczenia 5 14" xfId="37848"/>
    <cellStyle name="Obliczenia 5 14 2" xfId="37849"/>
    <cellStyle name="Obliczenia 5 14 3" xfId="37850"/>
    <cellStyle name="Obliczenia 5 15" xfId="37851"/>
    <cellStyle name="Obliczenia 5 15 2" xfId="37852"/>
    <cellStyle name="Obliczenia 5 15 3" xfId="37853"/>
    <cellStyle name="Obliczenia 5 16" xfId="37854"/>
    <cellStyle name="Obliczenia 5 16 2" xfId="37855"/>
    <cellStyle name="Obliczenia 5 16 3" xfId="37856"/>
    <cellStyle name="Obliczenia 5 17" xfId="37857"/>
    <cellStyle name="Obliczenia 5 17 2" xfId="37858"/>
    <cellStyle name="Obliczenia 5 17 3" xfId="37859"/>
    <cellStyle name="Obliczenia 5 18" xfId="37860"/>
    <cellStyle name="Obliczenia 5 18 2" xfId="37861"/>
    <cellStyle name="Obliczenia 5 18 3" xfId="37862"/>
    <cellStyle name="Obliczenia 5 19" xfId="37863"/>
    <cellStyle name="Obliczenia 5 19 2" xfId="37864"/>
    <cellStyle name="Obliczenia 5 19 3" xfId="37865"/>
    <cellStyle name="Obliczenia 5 2" xfId="37866"/>
    <cellStyle name="Obliczenia 5 2 10" xfId="37867"/>
    <cellStyle name="Obliczenia 5 2 10 2" xfId="37868"/>
    <cellStyle name="Obliczenia 5 2 10 3" xfId="37869"/>
    <cellStyle name="Obliczenia 5 2 11" xfId="37870"/>
    <cellStyle name="Obliczenia 5 2 11 2" xfId="37871"/>
    <cellStyle name="Obliczenia 5 2 11 3" xfId="37872"/>
    <cellStyle name="Obliczenia 5 2 12" xfId="37873"/>
    <cellStyle name="Obliczenia 5 2 12 2" xfId="37874"/>
    <cellStyle name="Obliczenia 5 2 12 3" xfId="37875"/>
    <cellStyle name="Obliczenia 5 2 13" xfId="37876"/>
    <cellStyle name="Obliczenia 5 2 13 2" xfId="37877"/>
    <cellStyle name="Obliczenia 5 2 13 3" xfId="37878"/>
    <cellStyle name="Obliczenia 5 2 14" xfId="37879"/>
    <cellStyle name="Obliczenia 5 2 14 2" xfId="37880"/>
    <cellStyle name="Obliczenia 5 2 14 3" xfId="37881"/>
    <cellStyle name="Obliczenia 5 2 15" xfId="37882"/>
    <cellStyle name="Obliczenia 5 2 15 2" xfId="37883"/>
    <cellStyle name="Obliczenia 5 2 15 3" xfId="37884"/>
    <cellStyle name="Obliczenia 5 2 16" xfId="37885"/>
    <cellStyle name="Obliczenia 5 2 16 2" xfId="37886"/>
    <cellStyle name="Obliczenia 5 2 16 3" xfId="37887"/>
    <cellStyle name="Obliczenia 5 2 17" xfId="37888"/>
    <cellStyle name="Obliczenia 5 2 17 2" xfId="37889"/>
    <cellStyle name="Obliczenia 5 2 17 3" xfId="37890"/>
    <cellStyle name="Obliczenia 5 2 18" xfId="37891"/>
    <cellStyle name="Obliczenia 5 2 18 2" xfId="37892"/>
    <cellStyle name="Obliczenia 5 2 18 3" xfId="37893"/>
    <cellStyle name="Obliczenia 5 2 19" xfId="37894"/>
    <cellStyle name="Obliczenia 5 2 19 2" xfId="37895"/>
    <cellStyle name="Obliczenia 5 2 19 3" xfId="37896"/>
    <cellStyle name="Obliczenia 5 2 2" xfId="37897"/>
    <cellStyle name="Obliczenia 5 2 2 2" xfId="37898"/>
    <cellStyle name="Obliczenia 5 2 2 3" xfId="37899"/>
    <cellStyle name="Obliczenia 5 2 20" xfId="37900"/>
    <cellStyle name="Obliczenia 5 2 20 2" xfId="37901"/>
    <cellStyle name="Obliczenia 5 2 20 3" xfId="37902"/>
    <cellStyle name="Obliczenia 5 2 3" xfId="37903"/>
    <cellStyle name="Obliczenia 5 2 3 2" xfId="37904"/>
    <cellStyle name="Obliczenia 5 2 3 3" xfId="37905"/>
    <cellStyle name="Obliczenia 5 2 4" xfId="37906"/>
    <cellStyle name="Obliczenia 5 2 4 2" xfId="37907"/>
    <cellStyle name="Obliczenia 5 2 4 3" xfId="37908"/>
    <cellStyle name="Obliczenia 5 2 5" xfId="37909"/>
    <cellStyle name="Obliczenia 5 2 5 2" xfId="37910"/>
    <cellStyle name="Obliczenia 5 2 5 3" xfId="37911"/>
    <cellStyle name="Obliczenia 5 2 6" xfId="37912"/>
    <cellStyle name="Obliczenia 5 2 6 2" xfId="37913"/>
    <cellStyle name="Obliczenia 5 2 6 3" xfId="37914"/>
    <cellStyle name="Obliczenia 5 2 7" xfId="37915"/>
    <cellStyle name="Obliczenia 5 2 7 2" xfId="37916"/>
    <cellStyle name="Obliczenia 5 2 7 3" xfId="37917"/>
    <cellStyle name="Obliczenia 5 2 8" xfId="37918"/>
    <cellStyle name="Obliczenia 5 2 8 2" xfId="37919"/>
    <cellStyle name="Obliczenia 5 2 8 3" xfId="37920"/>
    <cellStyle name="Obliczenia 5 2 9" xfId="37921"/>
    <cellStyle name="Obliczenia 5 2 9 2" xfId="37922"/>
    <cellStyle name="Obliczenia 5 2 9 3" xfId="37923"/>
    <cellStyle name="Obliczenia 5 20" xfId="37924"/>
    <cellStyle name="Obliczenia 5 20 2" xfId="37925"/>
    <cellStyle name="Obliczenia 5 20 3" xfId="37926"/>
    <cellStyle name="Obliczenia 5 21" xfId="37927"/>
    <cellStyle name="Obliczenia 5 21 2" xfId="37928"/>
    <cellStyle name="Obliczenia 5 21 3" xfId="37929"/>
    <cellStyle name="Obliczenia 5 3" xfId="37930"/>
    <cellStyle name="Obliczenia 5 3 2" xfId="37931"/>
    <cellStyle name="Obliczenia 5 3 3" xfId="37932"/>
    <cellStyle name="Obliczenia 5 4" xfId="37933"/>
    <cellStyle name="Obliczenia 5 4 2" xfId="37934"/>
    <cellStyle name="Obliczenia 5 4 2 2" xfId="37935"/>
    <cellStyle name="Obliczenia 5 4 3" xfId="37936"/>
    <cellStyle name="Obliczenia 5 5" xfId="37937"/>
    <cellStyle name="Obliczenia 5 5 2" xfId="37938"/>
    <cellStyle name="Obliczenia 5 5 3" xfId="37939"/>
    <cellStyle name="Obliczenia 5 6" xfId="37940"/>
    <cellStyle name="Obliczenia 5 6 2" xfId="37941"/>
    <cellStyle name="Obliczenia 5 6 3" xfId="37942"/>
    <cellStyle name="Obliczenia 5 7" xfId="37943"/>
    <cellStyle name="Obliczenia 5 7 2" xfId="37944"/>
    <cellStyle name="Obliczenia 5 7 3" xfId="37945"/>
    <cellStyle name="Obliczenia 5 8" xfId="37946"/>
    <cellStyle name="Obliczenia 5 8 2" xfId="37947"/>
    <cellStyle name="Obliczenia 5 8 3" xfId="37948"/>
    <cellStyle name="Obliczenia 5 9" xfId="37949"/>
    <cellStyle name="Obliczenia 5 9 2" xfId="37950"/>
    <cellStyle name="Obliczenia 5 9 3" xfId="37951"/>
    <cellStyle name="Obliczenia 6" xfId="37952"/>
    <cellStyle name="Obliczenia 6 10" xfId="37953"/>
    <cellStyle name="Obliczenia 6 10 2" xfId="37954"/>
    <cellStyle name="Obliczenia 6 10 3" xfId="37955"/>
    <cellStyle name="Obliczenia 6 11" xfId="37956"/>
    <cellStyle name="Obliczenia 6 11 2" xfId="37957"/>
    <cellStyle name="Obliczenia 6 11 3" xfId="37958"/>
    <cellStyle name="Obliczenia 6 12" xfId="37959"/>
    <cellStyle name="Obliczenia 6 12 2" xfId="37960"/>
    <cellStyle name="Obliczenia 6 12 3" xfId="37961"/>
    <cellStyle name="Obliczenia 6 13" xfId="37962"/>
    <cellStyle name="Obliczenia 6 13 2" xfId="37963"/>
    <cellStyle name="Obliczenia 6 13 3" xfId="37964"/>
    <cellStyle name="Obliczenia 6 14" xfId="37965"/>
    <cellStyle name="Obliczenia 6 14 2" xfId="37966"/>
    <cellStyle name="Obliczenia 6 14 3" xfId="37967"/>
    <cellStyle name="Obliczenia 6 15" xfId="37968"/>
    <cellStyle name="Obliczenia 6 15 2" xfId="37969"/>
    <cellStyle name="Obliczenia 6 15 3" xfId="37970"/>
    <cellStyle name="Obliczenia 6 16" xfId="37971"/>
    <cellStyle name="Obliczenia 6 16 2" xfId="37972"/>
    <cellStyle name="Obliczenia 6 16 3" xfId="37973"/>
    <cellStyle name="Obliczenia 6 17" xfId="37974"/>
    <cellStyle name="Obliczenia 6 17 2" xfId="37975"/>
    <cellStyle name="Obliczenia 6 17 3" xfId="37976"/>
    <cellStyle name="Obliczenia 6 18" xfId="37977"/>
    <cellStyle name="Obliczenia 6 18 2" xfId="37978"/>
    <cellStyle name="Obliczenia 6 18 3" xfId="37979"/>
    <cellStyle name="Obliczenia 6 19" xfId="37980"/>
    <cellStyle name="Obliczenia 6 19 2" xfId="37981"/>
    <cellStyle name="Obliczenia 6 19 3" xfId="37982"/>
    <cellStyle name="Obliczenia 6 2" xfId="37983"/>
    <cellStyle name="Obliczenia 6 2 2" xfId="37984"/>
    <cellStyle name="Obliczenia 6 2 3" xfId="37985"/>
    <cellStyle name="Obliczenia 6 20" xfId="37986"/>
    <cellStyle name="Obliczenia 6 20 2" xfId="37987"/>
    <cellStyle name="Obliczenia 6 20 3" xfId="37988"/>
    <cellStyle name="Obliczenia 6 3" xfId="37989"/>
    <cellStyle name="Obliczenia 6 3 2" xfId="37990"/>
    <cellStyle name="Obliczenia 6 3 3" xfId="37991"/>
    <cellStyle name="Obliczenia 6 4" xfId="37992"/>
    <cellStyle name="Obliczenia 6 4 2" xfId="37993"/>
    <cellStyle name="Obliczenia 6 4 3" xfId="37994"/>
    <cellStyle name="Obliczenia 6 5" xfId="37995"/>
    <cellStyle name="Obliczenia 6 5 2" xfId="37996"/>
    <cellStyle name="Obliczenia 6 5 3" xfId="37997"/>
    <cellStyle name="Obliczenia 6 6" xfId="37998"/>
    <cellStyle name="Obliczenia 6 6 2" xfId="37999"/>
    <cellStyle name="Obliczenia 6 6 3" xfId="38000"/>
    <cellStyle name="Obliczenia 6 7" xfId="38001"/>
    <cellStyle name="Obliczenia 6 7 2" xfId="38002"/>
    <cellStyle name="Obliczenia 6 7 3" xfId="38003"/>
    <cellStyle name="Obliczenia 6 8" xfId="38004"/>
    <cellStyle name="Obliczenia 6 8 2" xfId="38005"/>
    <cellStyle name="Obliczenia 6 8 3" xfId="38006"/>
    <cellStyle name="Obliczenia 6 9" xfId="38007"/>
    <cellStyle name="Obliczenia 6 9 2" xfId="38008"/>
    <cellStyle name="Obliczenia 6 9 3" xfId="38009"/>
    <cellStyle name="Obliczenia 7" xfId="38010"/>
    <cellStyle name="Obliczenia 7 10" xfId="38011"/>
    <cellStyle name="Obliczenia 7 10 2" xfId="38012"/>
    <cellStyle name="Obliczenia 7 10 3" xfId="38013"/>
    <cellStyle name="Obliczenia 7 11" xfId="38014"/>
    <cellStyle name="Obliczenia 7 11 2" xfId="38015"/>
    <cellStyle name="Obliczenia 7 11 3" xfId="38016"/>
    <cellStyle name="Obliczenia 7 12" xfId="38017"/>
    <cellStyle name="Obliczenia 7 12 2" xfId="38018"/>
    <cellStyle name="Obliczenia 7 12 3" xfId="38019"/>
    <cellStyle name="Obliczenia 7 13" xfId="38020"/>
    <cellStyle name="Obliczenia 7 13 2" xfId="38021"/>
    <cellStyle name="Obliczenia 7 13 3" xfId="38022"/>
    <cellStyle name="Obliczenia 7 14" xfId="38023"/>
    <cellStyle name="Obliczenia 7 14 2" xfId="38024"/>
    <cellStyle name="Obliczenia 7 14 3" xfId="38025"/>
    <cellStyle name="Obliczenia 7 15" xfId="38026"/>
    <cellStyle name="Obliczenia 7 15 2" xfId="38027"/>
    <cellStyle name="Obliczenia 7 15 3" xfId="38028"/>
    <cellStyle name="Obliczenia 7 16" xfId="38029"/>
    <cellStyle name="Obliczenia 7 16 2" xfId="38030"/>
    <cellStyle name="Obliczenia 7 16 3" xfId="38031"/>
    <cellStyle name="Obliczenia 7 17" xfId="38032"/>
    <cellStyle name="Obliczenia 7 17 2" xfId="38033"/>
    <cellStyle name="Obliczenia 7 17 3" xfId="38034"/>
    <cellStyle name="Obliczenia 7 18" xfId="38035"/>
    <cellStyle name="Obliczenia 7 18 2" xfId="38036"/>
    <cellStyle name="Obliczenia 7 18 3" xfId="38037"/>
    <cellStyle name="Obliczenia 7 19" xfId="38038"/>
    <cellStyle name="Obliczenia 7 19 2" xfId="38039"/>
    <cellStyle name="Obliczenia 7 19 3" xfId="38040"/>
    <cellStyle name="Obliczenia 7 2" xfId="38041"/>
    <cellStyle name="Obliczenia 7 2 2" xfId="38042"/>
    <cellStyle name="Obliczenia 7 2 3" xfId="38043"/>
    <cellStyle name="Obliczenia 7 20" xfId="38044"/>
    <cellStyle name="Obliczenia 7 20 2" xfId="38045"/>
    <cellStyle name="Obliczenia 7 20 3" xfId="38046"/>
    <cellStyle name="Obliczenia 7 3" xfId="38047"/>
    <cellStyle name="Obliczenia 7 3 2" xfId="38048"/>
    <cellStyle name="Obliczenia 7 3 3" xfId="38049"/>
    <cellStyle name="Obliczenia 7 4" xfId="38050"/>
    <cellStyle name="Obliczenia 7 4 2" xfId="38051"/>
    <cellStyle name="Obliczenia 7 4 3" xfId="38052"/>
    <cellStyle name="Obliczenia 7 5" xfId="38053"/>
    <cellStyle name="Obliczenia 7 5 2" xfId="38054"/>
    <cellStyle name="Obliczenia 7 5 3" xfId="38055"/>
    <cellStyle name="Obliczenia 7 6" xfId="38056"/>
    <cellStyle name="Obliczenia 7 6 2" xfId="38057"/>
    <cellStyle name="Obliczenia 7 6 3" xfId="38058"/>
    <cellStyle name="Obliczenia 7 7" xfId="38059"/>
    <cellStyle name="Obliczenia 7 7 2" xfId="38060"/>
    <cellStyle name="Obliczenia 7 7 3" xfId="38061"/>
    <cellStyle name="Obliczenia 7 8" xfId="38062"/>
    <cellStyle name="Obliczenia 7 8 2" xfId="38063"/>
    <cellStyle name="Obliczenia 7 8 3" xfId="38064"/>
    <cellStyle name="Obliczenia 7 9" xfId="38065"/>
    <cellStyle name="Obliczenia 7 9 2" xfId="38066"/>
    <cellStyle name="Obliczenia 7 9 3" xfId="38067"/>
    <cellStyle name="Obliczenia 8" xfId="38068"/>
    <cellStyle name="Obliczenia 8 10" xfId="38069"/>
    <cellStyle name="Obliczenia 8 10 2" xfId="38070"/>
    <cellStyle name="Obliczenia 8 10 3" xfId="38071"/>
    <cellStyle name="Obliczenia 8 11" xfId="38072"/>
    <cellStyle name="Obliczenia 8 11 2" xfId="38073"/>
    <cellStyle name="Obliczenia 8 11 3" xfId="38074"/>
    <cellStyle name="Obliczenia 8 12" xfId="38075"/>
    <cellStyle name="Obliczenia 8 12 2" xfId="38076"/>
    <cellStyle name="Obliczenia 8 12 3" xfId="38077"/>
    <cellStyle name="Obliczenia 8 13" xfId="38078"/>
    <cellStyle name="Obliczenia 8 13 2" xfId="38079"/>
    <cellStyle name="Obliczenia 8 13 3" xfId="38080"/>
    <cellStyle name="Obliczenia 8 14" xfId="38081"/>
    <cellStyle name="Obliczenia 8 14 2" xfId="38082"/>
    <cellStyle name="Obliczenia 8 14 3" xfId="38083"/>
    <cellStyle name="Obliczenia 8 15" xfId="38084"/>
    <cellStyle name="Obliczenia 8 15 2" xfId="38085"/>
    <cellStyle name="Obliczenia 8 15 3" xfId="38086"/>
    <cellStyle name="Obliczenia 8 16" xfId="38087"/>
    <cellStyle name="Obliczenia 8 16 2" xfId="38088"/>
    <cellStyle name="Obliczenia 8 16 3" xfId="38089"/>
    <cellStyle name="Obliczenia 8 17" xfId="38090"/>
    <cellStyle name="Obliczenia 8 17 2" xfId="38091"/>
    <cellStyle name="Obliczenia 8 17 3" xfId="38092"/>
    <cellStyle name="Obliczenia 8 18" xfId="38093"/>
    <cellStyle name="Obliczenia 8 18 2" xfId="38094"/>
    <cellStyle name="Obliczenia 8 18 3" xfId="38095"/>
    <cellStyle name="Obliczenia 8 19" xfId="38096"/>
    <cellStyle name="Obliczenia 8 19 2" xfId="38097"/>
    <cellStyle name="Obliczenia 8 19 3" xfId="38098"/>
    <cellStyle name="Obliczenia 8 2" xfId="38099"/>
    <cellStyle name="Obliczenia 8 2 2" xfId="38100"/>
    <cellStyle name="Obliczenia 8 2 3" xfId="38101"/>
    <cellStyle name="Obliczenia 8 20" xfId="38102"/>
    <cellStyle name="Obliczenia 8 20 2" xfId="38103"/>
    <cellStyle name="Obliczenia 8 20 3" xfId="38104"/>
    <cellStyle name="Obliczenia 8 3" xfId="38105"/>
    <cellStyle name="Obliczenia 8 3 2" xfId="38106"/>
    <cellStyle name="Obliczenia 8 3 2 2" xfId="38107"/>
    <cellStyle name="Obliczenia 8 3 3" xfId="38108"/>
    <cellStyle name="Obliczenia 8 4" xfId="38109"/>
    <cellStyle name="Obliczenia 8 4 2" xfId="38110"/>
    <cellStyle name="Obliczenia 8 4 3" xfId="38111"/>
    <cellStyle name="Obliczenia 8 5" xfId="38112"/>
    <cellStyle name="Obliczenia 8 5 2" xfId="38113"/>
    <cellStyle name="Obliczenia 8 5 3" xfId="38114"/>
    <cellStyle name="Obliczenia 8 6" xfId="38115"/>
    <cellStyle name="Obliczenia 8 6 2" xfId="38116"/>
    <cellStyle name="Obliczenia 8 6 3" xfId="38117"/>
    <cellStyle name="Obliczenia 8 7" xfId="38118"/>
    <cellStyle name="Obliczenia 8 7 2" xfId="38119"/>
    <cellStyle name="Obliczenia 8 7 3" xfId="38120"/>
    <cellStyle name="Obliczenia 8 8" xfId="38121"/>
    <cellStyle name="Obliczenia 8 8 2" xfId="38122"/>
    <cellStyle name="Obliczenia 8 8 3" xfId="38123"/>
    <cellStyle name="Obliczenia 8 9" xfId="38124"/>
    <cellStyle name="Obliczenia 8 9 2" xfId="38125"/>
    <cellStyle name="Obliczenia 8 9 3" xfId="38126"/>
    <cellStyle name="Obliczenia 9" xfId="38127"/>
    <cellStyle name="Obliczenia 9 2" xfId="38128"/>
    <cellStyle name="Obliczenia 9 2 2" xfId="38129"/>
    <cellStyle name="Obliczenia 9 3" xfId="38130"/>
    <cellStyle name="Option" xfId="38131"/>
    <cellStyle name="Option 2" xfId="38132"/>
    <cellStyle name="Option 3" xfId="38133"/>
    <cellStyle name="Option 4" xfId="38134"/>
    <cellStyle name="Option 5" xfId="38135"/>
    <cellStyle name="Option 6" xfId="38136"/>
    <cellStyle name="Option 7" xfId="38137"/>
    <cellStyle name="Option 8" xfId="38138"/>
    <cellStyle name="Output" xfId="38139"/>
    <cellStyle name="Output 2" xfId="38140"/>
    <cellStyle name="output 2 10" xfId="38141"/>
    <cellStyle name="Output 2 2" xfId="38142"/>
    <cellStyle name="Output 2 3" xfId="38143"/>
    <cellStyle name="output 2 4" xfId="38144"/>
    <cellStyle name="output 2 5" xfId="38145"/>
    <cellStyle name="output 2 6" xfId="38146"/>
    <cellStyle name="output 2 7" xfId="38147"/>
    <cellStyle name="output 2 8" xfId="38148"/>
    <cellStyle name="output 2 9" xfId="38149"/>
    <cellStyle name="output 3" xfId="38150"/>
    <cellStyle name="Output 3 2" xfId="38151"/>
    <cellStyle name="Output 3 3" xfId="38152"/>
    <cellStyle name="Output 4" xfId="38153"/>
    <cellStyle name="Output 4 2" xfId="38154"/>
    <cellStyle name="Output 4 3" xfId="38155"/>
    <cellStyle name="Output 5" xfId="38156"/>
    <cellStyle name="output_2011'05 Raport PGE_DO-CO2" xfId="38157"/>
    <cellStyle name="Percent (0)" xfId="38158"/>
    <cellStyle name="Percent (0) 2" xfId="38159"/>
    <cellStyle name="Percent (0) 3" xfId="38160"/>
    <cellStyle name="Percent (0) 4" xfId="38161"/>
    <cellStyle name="Percent (0) 5" xfId="38162"/>
    <cellStyle name="Percent (0) 6" xfId="38163"/>
    <cellStyle name="Percent [0]" xfId="38164"/>
    <cellStyle name="Percent [00]" xfId="38165"/>
    <cellStyle name="Percent [2]" xfId="38166"/>
    <cellStyle name="Percent_#6 Temps &amp; Contractors" xfId="38167"/>
    <cellStyle name="Pf / kWh" xfId="38168"/>
    <cellStyle name="Pilkku_Naapuriyhtiöt" xfId="38169"/>
    <cellStyle name="Pole tabeli przestawnej" xfId="42984"/>
    <cellStyle name="pound" xfId="38170"/>
    <cellStyle name="pound 2" xfId="38171"/>
    <cellStyle name="pound_2011'05 Raport PGE_DO-CO2" xfId="38172"/>
    <cellStyle name="PrePop Currency (0)" xfId="38173"/>
    <cellStyle name="PrePop Currency (2)" xfId="38174"/>
    <cellStyle name="PrePop Units (0)" xfId="38175"/>
    <cellStyle name="PrePop Units (1)" xfId="38176"/>
    <cellStyle name="PrePop Units (2)" xfId="38177"/>
    <cellStyle name="Price" xfId="38178"/>
    <cellStyle name="Price 2" xfId="38179"/>
    <cellStyle name="Price 3" xfId="38180"/>
    <cellStyle name="Price 4" xfId="38181"/>
    <cellStyle name="Price 5" xfId="38182"/>
    <cellStyle name="Price 6" xfId="38183"/>
    <cellStyle name="Price 7" xfId="38184"/>
    <cellStyle name="Price 8" xfId="38185"/>
    <cellStyle name="Procentowy" xfId="42994" builtinId="5"/>
    <cellStyle name="Procentowy 10" xfId="38186"/>
    <cellStyle name="Procentowy 10 2" xfId="38187"/>
    <cellStyle name="Procentowy 10 3" xfId="38188"/>
    <cellStyle name="Procentowy 11" xfId="38189"/>
    <cellStyle name="Procentowy 11 2" xfId="38190"/>
    <cellStyle name="Procentowy 12" xfId="38191"/>
    <cellStyle name="Procentowy 12 2" xfId="38192"/>
    <cellStyle name="Procentowy 13" xfId="38193"/>
    <cellStyle name="Procentowy 13 2" xfId="38194"/>
    <cellStyle name="Procentowy 14" xfId="38195"/>
    <cellStyle name="Procentowy 14 2" xfId="38196"/>
    <cellStyle name="Procentowy 15" xfId="38197"/>
    <cellStyle name="Procentowy 15 2" xfId="38198"/>
    <cellStyle name="Procentowy 16" xfId="38199"/>
    <cellStyle name="Procentowy 16 2" xfId="38200"/>
    <cellStyle name="Procentowy 17" xfId="38201"/>
    <cellStyle name="Procentowy 17 2" xfId="38202"/>
    <cellStyle name="Procentowy 18" xfId="38203"/>
    <cellStyle name="Procentowy 18 2" xfId="38204"/>
    <cellStyle name="Procentowy 19" xfId="38205"/>
    <cellStyle name="Procentowy 19 2" xfId="38206"/>
    <cellStyle name="Procentowy 2" xfId="9"/>
    <cellStyle name="Procentowy 2 10" xfId="38208"/>
    <cellStyle name="Procentowy 2 10 2" xfId="38209"/>
    <cellStyle name="Procentowy 2 10 3" xfId="38210"/>
    <cellStyle name="Procentowy 2 11" xfId="38211"/>
    <cellStyle name="Procentowy 2 11 2" xfId="38212"/>
    <cellStyle name="Procentowy 2 11 3" xfId="38213"/>
    <cellStyle name="Procentowy 2 12" xfId="38214"/>
    <cellStyle name="Procentowy 2 12 2" xfId="38215"/>
    <cellStyle name="Procentowy 2 12 3" xfId="38216"/>
    <cellStyle name="Procentowy 2 13" xfId="38217"/>
    <cellStyle name="Procentowy 2 13 2" xfId="38218"/>
    <cellStyle name="Procentowy 2 13 3" xfId="38219"/>
    <cellStyle name="Procentowy 2 14" xfId="38220"/>
    <cellStyle name="Procentowy 2 14 2" xfId="38221"/>
    <cellStyle name="Procentowy 2 14 3" xfId="38222"/>
    <cellStyle name="Procentowy 2 15" xfId="38223"/>
    <cellStyle name="Procentowy 2 15 2" xfId="38224"/>
    <cellStyle name="Procentowy 2 15 3" xfId="38225"/>
    <cellStyle name="Procentowy 2 16" xfId="38226"/>
    <cellStyle name="Procentowy 2 16 2" xfId="38227"/>
    <cellStyle name="Procentowy 2 16 3" xfId="38228"/>
    <cellStyle name="Procentowy 2 17" xfId="38229"/>
    <cellStyle name="Procentowy 2 17 2" xfId="38230"/>
    <cellStyle name="Procentowy 2 17 3" xfId="38231"/>
    <cellStyle name="Procentowy 2 18" xfId="38232"/>
    <cellStyle name="Procentowy 2 18 2" xfId="38233"/>
    <cellStyle name="Procentowy 2 18 3" xfId="38234"/>
    <cellStyle name="Procentowy 2 19" xfId="38235"/>
    <cellStyle name="Procentowy 2 19 2" xfId="38236"/>
    <cellStyle name="Procentowy 2 19 3" xfId="38237"/>
    <cellStyle name="Procentowy 2 2" xfId="38238"/>
    <cellStyle name="Procentowy 2 2 2" xfId="38239"/>
    <cellStyle name="Procentowy 2 2 2 2" xfId="38240"/>
    <cellStyle name="Procentowy 2 2 3" xfId="38241"/>
    <cellStyle name="Procentowy 2 2 3 2" xfId="38242"/>
    <cellStyle name="Procentowy 2 2 3 3" xfId="38243"/>
    <cellStyle name="Procentowy 2 2 4" xfId="38244"/>
    <cellStyle name="Procentowy 2 20" xfId="38245"/>
    <cellStyle name="Procentowy 2 20 2" xfId="38246"/>
    <cellStyle name="Procentowy 2 20 3" xfId="38247"/>
    <cellStyle name="Procentowy 2 21" xfId="38248"/>
    <cellStyle name="Procentowy 2 21 2" xfId="38249"/>
    <cellStyle name="Procentowy 2 21 3" xfId="38250"/>
    <cellStyle name="Procentowy 2 22" xfId="38251"/>
    <cellStyle name="Procentowy 2 22 2" xfId="38252"/>
    <cellStyle name="Procentowy 2 22 3" xfId="38253"/>
    <cellStyle name="Procentowy 2 23" xfId="38254"/>
    <cellStyle name="Procentowy 2 23 2" xfId="38255"/>
    <cellStyle name="Procentowy 2 24" xfId="38256"/>
    <cellStyle name="Procentowy 2 24 2" xfId="38257"/>
    <cellStyle name="Procentowy 2 24 3" xfId="38258"/>
    <cellStyle name="Procentowy 2 25" xfId="38259"/>
    <cellStyle name="Procentowy 2 25 2" xfId="38260"/>
    <cellStyle name="Procentowy 2 26" xfId="38261"/>
    <cellStyle name="Procentowy 2 27" xfId="38207"/>
    <cellStyle name="Procentowy 2 28" xfId="27"/>
    <cellStyle name="Procentowy 2 3" xfId="38262"/>
    <cellStyle name="Procentowy 2 3 2" xfId="38263"/>
    <cellStyle name="Procentowy 2 3 2 2" xfId="38264"/>
    <cellStyle name="Procentowy 2 3 3" xfId="38265"/>
    <cellStyle name="Procentowy 2 4" xfId="38266"/>
    <cellStyle name="Procentowy 2 4 2" xfId="38267"/>
    <cellStyle name="Procentowy 2 4 2 2" xfId="38268"/>
    <cellStyle name="Procentowy 2 4 3" xfId="38269"/>
    <cellStyle name="Procentowy 2 5" xfId="38270"/>
    <cellStyle name="Procentowy 2 5 2" xfId="38271"/>
    <cellStyle name="Procentowy 2 5 2 2" xfId="38272"/>
    <cellStyle name="Procentowy 2 5 3" xfId="38273"/>
    <cellStyle name="Procentowy 2 6" xfId="38274"/>
    <cellStyle name="Procentowy 2 6 2" xfId="38275"/>
    <cellStyle name="Procentowy 2 6 2 2" xfId="38276"/>
    <cellStyle name="Procentowy 2 6 3" xfId="38277"/>
    <cellStyle name="Procentowy 2 7" xfId="38278"/>
    <cellStyle name="Procentowy 2 7 2" xfId="38279"/>
    <cellStyle name="Procentowy 2 7 2 2" xfId="38280"/>
    <cellStyle name="Procentowy 2 7 3" xfId="38281"/>
    <cellStyle name="Procentowy 2 8" xfId="38282"/>
    <cellStyle name="Procentowy 2 8 2" xfId="38283"/>
    <cellStyle name="Procentowy 2 8 2 2" xfId="38284"/>
    <cellStyle name="Procentowy 2 8 3" xfId="38285"/>
    <cellStyle name="Procentowy 2 9" xfId="38286"/>
    <cellStyle name="Procentowy 2 9 2" xfId="38287"/>
    <cellStyle name="Procentowy 2 9 3" xfId="38288"/>
    <cellStyle name="Procentowy 20" xfId="38289"/>
    <cellStyle name="Procentowy 20 2" xfId="38290"/>
    <cellStyle name="Procentowy 21" xfId="38291"/>
    <cellStyle name="Procentowy 21 2" xfId="38292"/>
    <cellStyle name="Procentowy 22" xfId="38293"/>
    <cellStyle name="Procentowy 22 2" xfId="38294"/>
    <cellStyle name="Procentowy 23" xfId="38295"/>
    <cellStyle name="Procentowy 23 2" xfId="38296"/>
    <cellStyle name="Procentowy 24" xfId="38297"/>
    <cellStyle name="Procentowy 24 2" xfId="38298"/>
    <cellStyle name="Procentowy 25" xfId="38299"/>
    <cellStyle name="Procentowy 25 2" xfId="38300"/>
    <cellStyle name="Procentowy 25 2 2" xfId="38301"/>
    <cellStyle name="Procentowy 25 3" xfId="38302"/>
    <cellStyle name="Procentowy 26" xfId="38303"/>
    <cellStyle name="Procentowy 26 2" xfId="38304"/>
    <cellStyle name="Procentowy 26 2 2" xfId="38305"/>
    <cellStyle name="Procentowy 26 3" xfId="38306"/>
    <cellStyle name="Procentowy 26 4" xfId="38307"/>
    <cellStyle name="Procentowy 27" xfId="38308"/>
    <cellStyle name="Procentowy 28" xfId="38309"/>
    <cellStyle name="Procentowy 29" xfId="38310"/>
    <cellStyle name="Procentowy 3" xfId="38311"/>
    <cellStyle name="Procentowy 3 2" xfId="38312"/>
    <cellStyle name="Procentowy 3 2 2" xfId="38313"/>
    <cellStyle name="Procentowy 3 2 3" xfId="38314"/>
    <cellStyle name="Procentowy 3 2 3 2" xfId="38315"/>
    <cellStyle name="Procentowy 3 2 3 2 2" xfId="38316"/>
    <cellStyle name="Procentowy 3 2 3 3" xfId="38317"/>
    <cellStyle name="Procentowy 3 3" xfId="38318"/>
    <cellStyle name="Procentowy 3 3 2" xfId="38319"/>
    <cellStyle name="Procentowy 3 4" xfId="38320"/>
    <cellStyle name="Procentowy 30" xfId="38321"/>
    <cellStyle name="Procentowy 30 2" xfId="38322"/>
    <cellStyle name="Procentowy 31" xfId="38323"/>
    <cellStyle name="Procentowy 32" xfId="38324"/>
    <cellStyle name="Procentowy 33" xfId="28"/>
    <cellStyle name="Procentowy 4" xfId="38325"/>
    <cellStyle name="Procentowy 4 2" xfId="38326"/>
    <cellStyle name="Procentowy 4 2 2" xfId="38327"/>
    <cellStyle name="Procentowy 4 3" xfId="38328"/>
    <cellStyle name="Procentowy 4 3 2" xfId="38329"/>
    <cellStyle name="Procentowy 4 4" xfId="38330"/>
    <cellStyle name="Procentowy 5" xfId="38331"/>
    <cellStyle name="Procentowy 5 2" xfId="38332"/>
    <cellStyle name="Procentowy 5 3" xfId="38333"/>
    <cellStyle name="Procentowy 5 4" xfId="38334"/>
    <cellStyle name="Procentowy 6" xfId="38335"/>
    <cellStyle name="Procentowy 6 2" xfId="38336"/>
    <cellStyle name="Procentowy 6 2 2" xfId="38337"/>
    <cellStyle name="Procentowy 6 2 2 2" xfId="38338"/>
    <cellStyle name="Procentowy 6 2 3" xfId="38339"/>
    <cellStyle name="Procentowy 6 3" xfId="38340"/>
    <cellStyle name="Procentowy 6 3 2" xfId="38341"/>
    <cellStyle name="Procentowy 6 4" xfId="38342"/>
    <cellStyle name="Procentowy 7" xfId="38343"/>
    <cellStyle name="Procentowy 7 2" xfId="38344"/>
    <cellStyle name="Procentowy 7 2 2" xfId="38345"/>
    <cellStyle name="Procentowy 7 3" xfId="38346"/>
    <cellStyle name="Procentowy 7 3 2" xfId="38347"/>
    <cellStyle name="Procentowy 7 3 3" xfId="38348"/>
    <cellStyle name="Procentowy 7 4" xfId="38349"/>
    <cellStyle name="Procentowy 7 4 2" xfId="38350"/>
    <cellStyle name="Procentowy 7 4 3" xfId="38351"/>
    <cellStyle name="Procentowy 7 5" xfId="38352"/>
    <cellStyle name="Procentowy 7 6" xfId="38353"/>
    <cellStyle name="Procentowy 8" xfId="38354"/>
    <cellStyle name="Procentowy 8 2" xfId="38355"/>
    <cellStyle name="Procentowy 8 3" xfId="38356"/>
    <cellStyle name="Procentowy 9" xfId="38357"/>
    <cellStyle name="Procentowy 9 2" xfId="38358"/>
    <cellStyle name="Procentowy 9 3" xfId="38359"/>
    <cellStyle name="PROJECT" xfId="38360"/>
    <cellStyle name="PROJECT R" xfId="38361"/>
    <cellStyle name="PROJECT_Kluczowe wielkości oper" xfId="38362"/>
    <cellStyle name="Prosentti_Naapuriyhtiöt" xfId="38363"/>
    <cellStyle name="Przecinek [0]" xfId="38364"/>
    <cellStyle name="Pyör. luku_Naapuriyhtiöt" xfId="38365"/>
    <cellStyle name="Pyör. valuutta_Naapuriyhtiöt" xfId="38366"/>
    <cellStyle name="Result" xfId="38367"/>
    <cellStyle name="Result2" xfId="38368"/>
    <cellStyle name="SAPBEXaggData" xfId="38369"/>
    <cellStyle name="SAPBEXaggData 10" xfId="38370"/>
    <cellStyle name="SAPBEXaggData 10 2" xfId="38371"/>
    <cellStyle name="SAPBEXaggData 10 3" xfId="38372"/>
    <cellStyle name="SAPBEXaggData 10 4" xfId="38373"/>
    <cellStyle name="SAPBEXaggData 11" xfId="38374"/>
    <cellStyle name="SAPBEXaggData 11 2" xfId="38375"/>
    <cellStyle name="SAPBEXaggData 11 3" xfId="38376"/>
    <cellStyle name="SAPBEXaggData 11 4" xfId="38377"/>
    <cellStyle name="SAPBEXaggData 12" xfId="38378"/>
    <cellStyle name="SAPBEXaggData 12 2" xfId="38379"/>
    <cellStyle name="SAPBEXaggData 12 3" xfId="38380"/>
    <cellStyle name="SAPBEXaggData 12 4" xfId="38381"/>
    <cellStyle name="SAPBEXaggData 13" xfId="38382"/>
    <cellStyle name="SAPBEXaggData 13 2" xfId="38383"/>
    <cellStyle name="SAPBEXaggData 13 3" xfId="38384"/>
    <cellStyle name="SAPBEXaggData 13 4" xfId="38385"/>
    <cellStyle name="SAPBEXaggData 14" xfId="38386"/>
    <cellStyle name="SAPBEXaggData 14 2" xfId="38387"/>
    <cellStyle name="SAPBEXaggData 14 3" xfId="38388"/>
    <cellStyle name="SAPBEXaggData 14 4" xfId="38389"/>
    <cellStyle name="SAPBEXaggData 15" xfId="38390"/>
    <cellStyle name="SAPBEXaggData 15 2" xfId="38391"/>
    <cellStyle name="SAPBEXaggData 15 3" xfId="38392"/>
    <cellStyle name="SAPBEXaggData 15 4" xfId="38393"/>
    <cellStyle name="SAPBEXaggData 16" xfId="38394"/>
    <cellStyle name="SAPBEXaggData 16 2" xfId="38395"/>
    <cellStyle name="SAPBEXaggData 16 3" xfId="38396"/>
    <cellStyle name="SAPBEXaggData 16 4" xfId="38397"/>
    <cellStyle name="SAPBEXaggData 17" xfId="38398"/>
    <cellStyle name="SAPBEXaggData 18" xfId="38399"/>
    <cellStyle name="SAPBEXaggData 19" xfId="38400"/>
    <cellStyle name="SAPBEXaggData 2" xfId="38401"/>
    <cellStyle name="SAPBEXaggData 2 2" xfId="38402"/>
    <cellStyle name="SAPBEXaggData 2 3" xfId="38403"/>
    <cellStyle name="SAPBEXaggData 2 4" xfId="38404"/>
    <cellStyle name="SAPBEXaggData 3" xfId="38405"/>
    <cellStyle name="SAPBEXaggData 3 2" xfId="38406"/>
    <cellStyle name="SAPBEXaggData 3 3" xfId="38407"/>
    <cellStyle name="SAPBEXaggData 3 4" xfId="38408"/>
    <cellStyle name="SAPBEXaggData 4" xfId="38409"/>
    <cellStyle name="SAPBEXaggData 4 2" xfId="38410"/>
    <cellStyle name="SAPBEXaggData 4 3" xfId="38411"/>
    <cellStyle name="SAPBEXaggData 4 4" xfId="38412"/>
    <cellStyle name="SAPBEXaggData 5" xfId="38413"/>
    <cellStyle name="SAPBEXaggData 5 2" xfId="38414"/>
    <cellStyle name="SAPBEXaggData 5 3" xfId="38415"/>
    <cellStyle name="SAPBEXaggData 5 4" xfId="38416"/>
    <cellStyle name="SAPBEXaggData 6" xfId="38417"/>
    <cellStyle name="SAPBEXaggData 6 2" xfId="38418"/>
    <cellStyle name="SAPBEXaggData 6 3" xfId="38419"/>
    <cellStyle name="SAPBEXaggData 6 4" xfId="38420"/>
    <cellStyle name="SAPBEXaggData 7" xfId="38421"/>
    <cellStyle name="SAPBEXaggData 7 2" xfId="38422"/>
    <cellStyle name="SAPBEXaggData 7 3" xfId="38423"/>
    <cellStyle name="SAPBEXaggData 7 4" xfId="38424"/>
    <cellStyle name="SAPBEXaggData 8" xfId="38425"/>
    <cellStyle name="SAPBEXaggData 8 2" xfId="38426"/>
    <cellStyle name="SAPBEXaggData 8 3" xfId="38427"/>
    <cellStyle name="SAPBEXaggData 8 4" xfId="38428"/>
    <cellStyle name="SAPBEXaggData 9" xfId="38429"/>
    <cellStyle name="SAPBEXaggData 9 2" xfId="38430"/>
    <cellStyle name="SAPBEXaggData 9 3" xfId="38431"/>
    <cellStyle name="SAPBEXaggData 9 4" xfId="38432"/>
    <cellStyle name="SAPBEXaggDataEmph" xfId="38433"/>
    <cellStyle name="SAPBEXaggDataEmph 10" xfId="38434"/>
    <cellStyle name="SAPBEXaggDataEmph 10 2" xfId="38435"/>
    <cellStyle name="SAPBEXaggDataEmph 10 3" xfId="38436"/>
    <cellStyle name="SAPBEXaggDataEmph 10 4" xfId="38437"/>
    <cellStyle name="SAPBEXaggDataEmph 11" xfId="38438"/>
    <cellStyle name="SAPBEXaggDataEmph 11 2" xfId="38439"/>
    <cellStyle name="SAPBEXaggDataEmph 11 3" xfId="38440"/>
    <cellStyle name="SAPBEXaggDataEmph 11 4" xfId="38441"/>
    <cellStyle name="SAPBEXaggDataEmph 12" xfId="38442"/>
    <cellStyle name="SAPBEXaggDataEmph 12 2" xfId="38443"/>
    <cellStyle name="SAPBEXaggDataEmph 12 3" xfId="38444"/>
    <cellStyle name="SAPBEXaggDataEmph 12 4" xfId="38445"/>
    <cellStyle name="SAPBEXaggDataEmph 13" xfId="38446"/>
    <cellStyle name="SAPBEXaggDataEmph 13 2" xfId="38447"/>
    <cellStyle name="SAPBEXaggDataEmph 13 3" xfId="38448"/>
    <cellStyle name="SAPBEXaggDataEmph 13 4" xfId="38449"/>
    <cellStyle name="SAPBEXaggDataEmph 14" xfId="38450"/>
    <cellStyle name="SAPBEXaggDataEmph 14 2" xfId="38451"/>
    <cellStyle name="SAPBEXaggDataEmph 14 3" xfId="38452"/>
    <cellStyle name="SAPBEXaggDataEmph 14 4" xfId="38453"/>
    <cellStyle name="SAPBEXaggDataEmph 15" xfId="38454"/>
    <cellStyle name="SAPBEXaggDataEmph 15 2" xfId="38455"/>
    <cellStyle name="SAPBEXaggDataEmph 15 3" xfId="38456"/>
    <cellStyle name="SAPBEXaggDataEmph 15 4" xfId="38457"/>
    <cellStyle name="SAPBEXaggDataEmph 16" xfId="38458"/>
    <cellStyle name="SAPBEXaggDataEmph 16 2" xfId="38459"/>
    <cellStyle name="SAPBEXaggDataEmph 16 3" xfId="38460"/>
    <cellStyle name="SAPBEXaggDataEmph 16 4" xfId="38461"/>
    <cellStyle name="SAPBEXaggDataEmph 17" xfId="38462"/>
    <cellStyle name="SAPBEXaggDataEmph 18" xfId="38463"/>
    <cellStyle name="SAPBEXaggDataEmph 19" xfId="38464"/>
    <cellStyle name="SAPBEXaggDataEmph 2" xfId="38465"/>
    <cellStyle name="SAPBEXaggDataEmph 2 2" xfId="38466"/>
    <cellStyle name="SAPBEXaggDataEmph 2 3" xfId="38467"/>
    <cellStyle name="SAPBEXaggDataEmph 2 4" xfId="38468"/>
    <cellStyle name="SAPBEXaggDataEmph 3" xfId="38469"/>
    <cellStyle name="SAPBEXaggDataEmph 3 2" xfId="38470"/>
    <cellStyle name="SAPBEXaggDataEmph 3 3" xfId="38471"/>
    <cellStyle name="SAPBEXaggDataEmph 3 4" xfId="38472"/>
    <cellStyle name="SAPBEXaggDataEmph 4" xfId="38473"/>
    <cellStyle name="SAPBEXaggDataEmph 4 2" xfId="38474"/>
    <cellStyle name="SAPBEXaggDataEmph 4 3" xfId="38475"/>
    <cellStyle name="SAPBEXaggDataEmph 4 4" xfId="38476"/>
    <cellStyle name="SAPBEXaggDataEmph 5" xfId="38477"/>
    <cellStyle name="SAPBEXaggDataEmph 5 2" xfId="38478"/>
    <cellStyle name="SAPBEXaggDataEmph 5 3" xfId="38479"/>
    <cellStyle name="SAPBEXaggDataEmph 5 4" xfId="38480"/>
    <cellStyle name="SAPBEXaggDataEmph 6" xfId="38481"/>
    <cellStyle name="SAPBEXaggDataEmph 6 2" xfId="38482"/>
    <cellStyle name="SAPBEXaggDataEmph 6 3" xfId="38483"/>
    <cellStyle name="SAPBEXaggDataEmph 6 4" xfId="38484"/>
    <cellStyle name="SAPBEXaggDataEmph 7" xfId="38485"/>
    <cellStyle name="SAPBEXaggDataEmph 7 2" xfId="38486"/>
    <cellStyle name="SAPBEXaggDataEmph 7 3" xfId="38487"/>
    <cellStyle name="SAPBEXaggDataEmph 7 4" xfId="38488"/>
    <cellStyle name="SAPBEXaggDataEmph 8" xfId="38489"/>
    <cellStyle name="SAPBEXaggDataEmph 8 2" xfId="38490"/>
    <cellStyle name="SAPBEXaggDataEmph 8 3" xfId="38491"/>
    <cellStyle name="SAPBEXaggDataEmph 8 4" xfId="38492"/>
    <cellStyle name="SAPBEXaggDataEmph 9" xfId="38493"/>
    <cellStyle name="SAPBEXaggDataEmph 9 2" xfId="38494"/>
    <cellStyle name="SAPBEXaggDataEmph 9 3" xfId="38495"/>
    <cellStyle name="SAPBEXaggDataEmph 9 4" xfId="38496"/>
    <cellStyle name="SAPBEXaggItem" xfId="38497"/>
    <cellStyle name="SAPBEXaggItem 10" xfId="38498"/>
    <cellStyle name="SAPBEXaggItem 10 2" xfId="38499"/>
    <cellStyle name="SAPBEXaggItem 10 3" xfId="38500"/>
    <cellStyle name="SAPBEXaggItem 10 4" xfId="38501"/>
    <cellStyle name="SAPBEXaggItem 11" xfId="38502"/>
    <cellStyle name="SAPBEXaggItem 11 2" xfId="38503"/>
    <cellStyle name="SAPBEXaggItem 11 3" xfId="38504"/>
    <cellStyle name="SAPBEXaggItem 11 4" xfId="38505"/>
    <cellStyle name="SAPBEXaggItem 12" xfId="38506"/>
    <cellStyle name="SAPBEXaggItem 12 2" xfId="38507"/>
    <cellStyle name="SAPBEXaggItem 12 3" xfId="38508"/>
    <cellStyle name="SAPBEXaggItem 12 4" xfId="38509"/>
    <cellStyle name="SAPBEXaggItem 13" xfId="38510"/>
    <cellStyle name="SAPBEXaggItem 13 2" xfId="38511"/>
    <cellStyle name="SAPBEXaggItem 13 3" xfId="38512"/>
    <cellStyle name="SAPBEXaggItem 13 4" xfId="38513"/>
    <cellStyle name="SAPBEXaggItem 14" xfId="38514"/>
    <cellStyle name="SAPBEXaggItem 14 2" xfId="38515"/>
    <cellStyle name="SAPBEXaggItem 14 3" xfId="38516"/>
    <cellStyle name="SAPBEXaggItem 14 4" xfId="38517"/>
    <cellStyle name="SAPBEXaggItem 15" xfId="38518"/>
    <cellStyle name="SAPBEXaggItem 15 2" xfId="38519"/>
    <cellStyle name="SAPBEXaggItem 15 3" xfId="38520"/>
    <cellStyle name="SAPBEXaggItem 15 4" xfId="38521"/>
    <cellStyle name="SAPBEXaggItem 16" xfId="38522"/>
    <cellStyle name="SAPBEXaggItem 16 2" xfId="38523"/>
    <cellStyle name="SAPBEXaggItem 16 3" xfId="38524"/>
    <cellStyle name="SAPBEXaggItem 16 4" xfId="38525"/>
    <cellStyle name="SAPBEXaggItem 17" xfId="38526"/>
    <cellStyle name="SAPBEXaggItem 18" xfId="38527"/>
    <cellStyle name="SAPBEXaggItem 19" xfId="38528"/>
    <cellStyle name="SAPBEXaggItem 2" xfId="38529"/>
    <cellStyle name="SAPBEXaggItem 2 2" xfId="38530"/>
    <cellStyle name="SAPBEXaggItem 2 3" xfId="38531"/>
    <cellStyle name="SAPBEXaggItem 2 4" xfId="38532"/>
    <cellStyle name="SAPBEXaggItem 3" xfId="38533"/>
    <cellStyle name="SAPBEXaggItem 3 2" xfId="38534"/>
    <cellStyle name="SAPBEXaggItem 3 3" xfId="38535"/>
    <cellStyle name="SAPBEXaggItem 3 4" xfId="38536"/>
    <cellStyle name="SAPBEXaggItem 4" xfId="38537"/>
    <cellStyle name="SAPBEXaggItem 4 2" xfId="38538"/>
    <cellStyle name="SAPBEXaggItem 4 3" xfId="38539"/>
    <cellStyle name="SAPBEXaggItem 4 4" xfId="38540"/>
    <cellStyle name="SAPBEXaggItem 5" xfId="38541"/>
    <cellStyle name="SAPBEXaggItem 5 2" xfId="38542"/>
    <cellStyle name="SAPBEXaggItem 5 3" xfId="38543"/>
    <cellStyle name="SAPBEXaggItem 5 4" xfId="38544"/>
    <cellStyle name="SAPBEXaggItem 6" xfId="38545"/>
    <cellStyle name="SAPBEXaggItem 6 2" xfId="38546"/>
    <cellStyle name="SAPBEXaggItem 6 3" xfId="38547"/>
    <cellStyle name="SAPBEXaggItem 6 4" xfId="38548"/>
    <cellStyle name="SAPBEXaggItem 7" xfId="38549"/>
    <cellStyle name="SAPBEXaggItem 7 2" xfId="38550"/>
    <cellStyle name="SAPBEXaggItem 7 3" xfId="38551"/>
    <cellStyle name="SAPBEXaggItem 7 4" xfId="38552"/>
    <cellStyle name="SAPBEXaggItem 8" xfId="38553"/>
    <cellStyle name="SAPBEXaggItem 8 2" xfId="38554"/>
    <cellStyle name="SAPBEXaggItem 8 3" xfId="38555"/>
    <cellStyle name="SAPBEXaggItem 8 4" xfId="38556"/>
    <cellStyle name="SAPBEXaggItem 9" xfId="38557"/>
    <cellStyle name="SAPBEXaggItem 9 2" xfId="38558"/>
    <cellStyle name="SAPBEXaggItem 9 3" xfId="38559"/>
    <cellStyle name="SAPBEXaggItem 9 4" xfId="38560"/>
    <cellStyle name="SAPBEXaggItemX" xfId="38561"/>
    <cellStyle name="SAPBEXaggItemX 10" xfId="38562"/>
    <cellStyle name="SAPBEXaggItemX 10 2" xfId="38563"/>
    <cellStyle name="SAPBEXaggItemX 10 3" xfId="38564"/>
    <cellStyle name="SAPBEXaggItemX 11" xfId="38565"/>
    <cellStyle name="SAPBEXaggItemX 11 2" xfId="38566"/>
    <cellStyle name="SAPBEXaggItemX 11 3" xfId="38567"/>
    <cellStyle name="SAPBEXaggItemX 12" xfId="38568"/>
    <cellStyle name="SAPBEXaggItemX 12 2" xfId="38569"/>
    <cellStyle name="SAPBEXaggItemX 12 3" xfId="38570"/>
    <cellStyle name="SAPBEXaggItemX 13" xfId="38571"/>
    <cellStyle name="SAPBEXaggItemX 13 2" xfId="38572"/>
    <cellStyle name="SAPBEXaggItemX 13 3" xfId="38573"/>
    <cellStyle name="SAPBEXaggItemX 14" xfId="38574"/>
    <cellStyle name="SAPBEXaggItemX 14 2" xfId="38575"/>
    <cellStyle name="SAPBEXaggItemX 14 3" xfId="38576"/>
    <cellStyle name="SAPBEXaggItemX 15" xfId="38577"/>
    <cellStyle name="SAPBEXaggItemX 15 2" xfId="38578"/>
    <cellStyle name="SAPBEXaggItemX 15 3" xfId="38579"/>
    <cellStyle name="SAPBEXaggItemX 16" xfId="38580"/>
    <cellStyle name="SAPBEXaggItemX 16 2" xfId="38581"/>
    <cellStyle name="SAPBEXaggItemX 16 3" xfId="38582"/>
    <cellStyle name="SAPBEXaggItemX 17" xfId="38583"/>
    <cellStyle name="SAPBEXaggItemX 18" xfId="38584"/>
    <cellStyle name="SAPBEXaggItemX 2" xfId="38585"/>
    <cellStyle name="SAPBEXaggItemX 2 2" xfId="38586"/>
    <cellStyle name="SAPBEXaggItemX 2 3" xfId="38587"/>
    <cellStyle name="SAPBEXaggItemX 3" xfId="38588"/>
    <cellStyle name="SAPBEXaggItemX 3 2" xfId="38589"/>
    <cellStyle name="SAPBEXaggItemX 3 3" xfId="38590"/>
    <cellStyle name="SAPBEXaggItemX 4" xfId="38591"/>
    <cellStyle name="SAPBEXaggItemX 4 2" xfId="38592"/>
    <cellStyle name="SAPBEXaggItemX 4 3" xfId="38593"/>
    <cellStyle name="SAPBEXaggItemX 5" xfId="38594"/>
    <cellStyle name="SAPBEXaggItemX 5 2" xfId="38595"/>
    <cellStyle name="SAPBEXaggItemX 5 3" xfId="38596"/>
    <cellStyle name="SAPBEXaggItemX 6" xfId="38597"/>
    <cellStyle name="SAPBEXaggItemX 6 2" xfId="38598"/>
    <cellStyle name="SAPBEXaggItemX 6 3" xfId="38599"/>
    <cellStyle name="SAPBEXaggItemX 7" xfId="38600"/>
    <cellStyle name="SAPBEXaggItemX 7 2" xfId="38601"/>
    <cellStyle name="SAPBEXaggItemX 7 3" xfId="38602"/>
    <cellStyle name="SAPBEXaggItemX 8" xfId="38603"/>
    <cellStyle name="SAPBEXaggItemX 8 2" xfId="38604"/>
    <cellStyle name="SAPBEXaggItemX 8 3" xfId="38605"/>
    <cellStyle name="SAPBEXaggItemX 9" xfId="38606"/>
    <cellStyle name="SAPBEXaggItemX 9 2" xfId="38607"/>
    <cellStyle name="SAPBEXaggItemX 9 3" xfId="38608"/>
    <cellStyle name="SAPBEXchaText" xfId="38609"/>
    <cellStyle name="SAPBEXchaText 10" xfId="38610"/>
    <cellStyle name="SAPBEXchaText 10 2" xfId="38611"/>
    <cellStyle name="SAPBEXchaText 10 3" xfId="38612"/>
    <cellStyle name="SAPBEXchaText 10 4" xfId="38613"/>
    <cellStyle name="SAPBEXchaText 11" xfId="38614"/>
    <cellStyle name="SAPBEXchaText 11 2" xfId="38615"/>
    <cellStyle name="SAPBEXchaText 11 3" xfId="38616"/>
    <cellStyle name="SAPBEXchaText 11 4" xfId="38617"/>
    <cellStyle name="SAPBEXchaText 12" xfId="38618"/>
    <cellStyle name="SAPBEXchaText 12 2" xfId="38619"/>
    <cellStyle name="SAPBEXchaText 12 3" xfId="38620"/>
    <cellStyle name="SAPBEXchaText 12 4" xfId="38621"/>
    <cellStyle name="SAPBEXchaText 13" xfId="38622"/>
    <cellStyle name="SAPBEXchaText 13 2" xfId="38623"/>
    <cellStyle name="SAPBEXchaText 13 3" xfId="38624"/>
    <cellStyle name="SAPBEXchaText 13 4" xfId="38625"/>
    <cellStyle name="SAPBEXchaText 14" xfId="38626"/>
    <cellStyle name="SAPBEXchaText 14 2" xfId="38627"/>
    <cellStyle name="SAPBEXchaText 14 3" xfId="38628"/>
    <cellStyle name="SAPBEXchaText 14 4" xfId="38629"/>
    <cellStyle name="SAPBEXchaText 15" xfId="38630"/>
    <cellStyle name="SAPBEXchaText 15 2" xfId="38631"/>
    <cellStyle name="SAPBEXchaText 15 3" xfId="38632"/>
    <cellStyle name="SAPBEXchaText 15 4" xfId="38633"/>
    <cellStyle name="SAPBEXchaText 16" xfId="38634"/>
    <cellStyle name="SAPBEXchaText 16 2" xfId="38635"/>
    <cellStyle name="SAPBEXchaText 16 3" xfId="38636"/>
    <cellStyle name="SAPBEXchaText 16 4" xfId="38637"/>
    <cellStyle name="SAPBEXchaText 17" xfId="38638"/>
    <cellStyle name="SAPBEXchaText 18" xfId="38639"/>
    <cellStyle name="SAPBEXchaText 19" xfId="38640"/>
    <cellStyle name="SAPBEXchaText 2" xfId="38641"/>
    <cellStyle name="SAPBEXchaText 2 2" xfId="38642"/>
    <cellStyle name="SAPBEXchaText 2 3" xfId="38643"/>
    <cellStyle name="SAPBEXchaText 2 4" xfId="38644"/>
    <cellStyle name="SAPBEXchaText 3" xfId="38645"/>
    <cellStyle name="SAPBEXchaText 3 2" xfId="38646"/>
    <cellStyle name="SAPBEXchaText 3 3" xfId="38647"/>
    <cellStyle name="SAPBEXchaText 3 4" xfId="38648"/>
    <cellStyle name="SAPBEXchaText 4" xfId="38649"/>
    <cellStyle name="SAPBEXchaText 4 2" xfId="38650"/>
    <cellStyle name="SAPBEXchaText 4 3" xfId="38651"/>
    <cellStyle name="SAPBEXchaText 4 4" xfId="38652"/>
    <cellStyle name="SAPBEXchaText 5" xfId="38653"/>
    <cellStyle name="SAPBEXchaText 5 2" xfId="38654"/>
    <cellStyle name="SAPBEXchaText 5 3" xfId="38655"/>
    <cellStyle name="SAPBEXchaText 5 4" xfId="38656"/>
    <cellStyle name="SAPBEXchaText 6" xfId="38657"/>
    <cellStyle name="SAPBEXchaText 6 2" xfId="38658"/>
    <cellStyle name="SAPBEXchaText 6 3" xfId="38659"/>
    <cellStyle name="SAPBEXchaText 6 4" xfId="38660"/>
    <cellStyle name="SAPBEXchaText 7" xfId="38661"/>
    <cellStyle name="SAPBEXchaText 7 2" xfId="38662"/>
    <cellStyle name="SAPBEXchaText 7 3" xfId="38663"/>
    <cellStyle name="SAPBEXchaText 7 4" xfId="38664"/>
    <cellStyle name="SAPBEXchaText 8" xfId="38665"/>
    <cellStyle name="SAPBEXchaText 8 2" xfId="38666"/>
    <cellStyle name="SAPBEXchaText 8 3" xfId="38667"/>
    <cellStyle name="SAPBEXchaText 8 4" xfId="38668"/>
    <cellStyle name="SAPBEXchaText 9" xfId="38669"/>
    <cellStyle name="SAPBEXchaText 9 2" xfId="38670"/>
    <cellStyle name="SAPBEXchaText 9 3" xfId="38671"/>
    <cellStyle name="SAPBEXchaText 9 4" xfId="38672"/>
    <cellStyle name="SAPBEXexcBad7" xfId="38673"/>
    <cellStyle name="SAPBEXexcBad7 10" xfId="38674"/>
    <cellStyle name="SAPBEXexcBad7 10 2" xfId="38675"/>
    <cellStyle name="SAPBEXexcBad7 10 3" xfId="38676"/>
    <cellStyle name="SAPBEXexcBad7 10 4" xfId="38677"/>
    <cellStyle name="SAPBEXexcBad7 11" xfId="38678"/>
    <cellStyle name="SAPBEXexcBad7 11 2" xfId="38679"/>
    <cellStyle name="SAPBEXexcBad7 11 3" xfId="38680"/>
    <cellStyle name="SAPBEXexcBad7 11 4" xfId="38681"/>
    <cellStyle name="SAPBEXexcBad7 12" xfId="38682"/>
    <cellStyle name="SAPBEXexcBad7 12 2" xfId="38683"/>
    <cellStyle name="SAPBEXexcBad7 12 3" xfId="38684"/>
    <cellStyle name="SAPBEXexcBad7 12 4" xfId="38685"/>
    <cellStyle name="SAPBEXexcBad7 13" xfId="38686"/>
    <cellStyle name="SAPBEXexcBad7 13 2" xfId="38687"/>
    <cellStyle name="SAPBEXexcBad7 13 3" xfId="38688"/>
    <cellStyle name="SAPBEXexcBad7 13 4" xfId="38689"/>
    <cellStyle name="SAPBEXexcBad7 14" xfId="38690"/>
    <cellStyle name="SAPBEXexcBad7 14 2" xfId="38691"/>
    <cellStyle name="SAPBEXexcBad7 14 3" xfId="38692"/>
    <cellStyle name="SAPBEXexcBad7 14 4" xfId="38693"/>
    <cellStyle name="SAPBEXexcBad7 15" xfId="38694"/>
    <cellStyle name="SAPBEXexcBad7 15 2" xfId="38695"/>
    <cellStyle name="SAPBEXexcBad7 15 3" xfId="38696"/>
    <cellStyle name="SAPBEXexcBad7 15 4" xfId="38697"/>
    <cellStyle name="SAPBEXexcBad7 16" xfId="38698"/>
    <cellStyle name="SAPBEXexcBad7 16 2" xfId="38699"/>
    <cellStyle name="SAPBEXexcBad7 16 3" xfId="38700"/>
    <cellStyle name="SAPBEXexcBad7 16 4" xfId="38701"/>
    <cellStyle name="SAPBEXexcBad7 17" xfId="38702"/>
    <cellStyle name="SAPBEXexcBad7 18" xfId="38703"/>
    <cellStyle name="SAPBEXexcBad7 19" xfId="38704"/>
    <cellStyle name="SAPBEXexcBad7 2" xfId="38705"/>
    <cellStyle name="SAPBEXexcBad7 2 2" xfId="38706"/>
    <cellStyle name="SAPBEXexcBad7 2 3" xfId="38707"/>
    <cellStyle name="SAPBEXexcBad7 2 4" xfId="38708"/>
    <cellStyle name="SAPBEXexcBad7 3" xfId="38709"/>
    <cellStyle name="SAPBEXexcBad7 3 2" xfId="38710"/>
    <cellStyle name="SAPBEXexcBad7 3 3" xfId="38711"/>
    <cellStyle name="SAPBEXexcBad7 3 4" xfId="38712"/>
    <cellStyle name="SAPBEXexcBad7 4" xfId="38713"/>
    <cellStyle name="SAPBEXexcBad7 4 2" xfId="38714"/>
    <cellStyle name="SAPBEXexcBad7 4 3" xfId="38715"/>
    <cellStyle name="SAPBEXexcBad7 4 4" xfId="38716"/>
    <cellStyle name="SAPBEXexcBad7 5" xfId="38717"/>
    <cellStyle name="SAPBEXexcBad7 5 2" xfId="38718"/>
    <cellStyle name="SAPBEXexcBad7 5 3" xfId="38719"/>
    <cellStyle name="SAPBEXexcBad7 5 4" xfId="38720"/>
    <cellStyle name="SAPBEXexcBad7 6" xfId="38721"/>
    <cellStyle name="SAPBEXexcBad7 6 2" xfId="38722"/>
    <cellStyle name="SAPBEXexcBad7 6 3" xfId="38723"/>
    <cellStyle name="SAPBEXexcBad7 6 4" xfId="38724"/>
    <cellStyle name="SAPBEXexcBad7 7" xfId="38725"/>
    <cellStyle name="SAPBEXexcBad7 7 2" xfId="38726"/>
    <cellStyle name="SAPBEXexcBad7 7 3" xfId="38727"/>
    <cellStyle name="SAPBEXexcBad7 7 4" xfId="38728"/>
    <cellStyle name="SAPBEXexcBad7 8" xfId="38729"/>
    <cellStyle name="SAPBEXexcBad7 8 2" xfId="38730"/>
    <cellStyle name="SAPBEXexcBad7 8 3" xfId="38731"/>
    <cellStyle name="SAPBEXexcBad7 8 4" xfId="38732"/>
    <cellStyle name="SAPBEXexcBad7 9" xfId="38733"/>
    <cellStyle name="SAPBEXexcBad7 9 2" xfId="38734"/>
    <cellStyle name="SAPBEXexcBad7 9 3" xfId="38735"/>
    <cellStyle name="SAPBEXexcBad7 9 4" xfId="38736"/>
    <cellStyle name="SAPBEXexcBad8" xfId="38737"/>
    <cellStyle name="SAPBEXexcBad8 10" xfId="38738"/>
    <cellStyle name="SAPBEXexcBad8 10 2" xfId="38739"/>
    <cellStyle name="SAPBEXexcBad8 10 3" xfId="38740"/>
    <cellStyle name="SAPBEXexcBad8 10 4" xfId="38741"/>
    <cellStyle name="SAPBEXexcBad8 11" xfId="38742"/>
    <cellStyle name="SAPBEXexcBad8 11 2" xfId="38743"/>
    <cellStyle name="SAPBEXexcBad8 11 3" xfId="38744"/>
    <cellStyle name="SAPBEXexcBad8 11 4" xfId="38745"/>
    <cellStyle name="SAPBEXexcBad8 12" xfId="38746"/>
    <cellStyle name="SAPBEXexcBad8 12 2" xfId="38747"/>
    <cellStyle name="SAPBEXexcBad8 12 3" xfId="38748"/>
    <cellStyle name="SAPBEXexcBad8 12 4" xfId="38749"/>
    <cellStyle name="SAPBEXexcBad8 13" xfId="38750"/>
    <cellStyle name="SAPBEXexcBad8 13 2" xfId="38751"/>
    <cellStyle name="SAPBEXexcBad8 13 3" xfId="38752"/>
    <cellStyle name="SAPBEXexcBad8 13 4" xfId="38753"/>
    <cellStyle name="SAPBEXexcBad8 14" xfId="38754"/>
    <cellStyle name="SAPBEXexcBad8 14 2" xfId="38755"/>
    <cellStyle name="SAPBEXexcBad8 14 3" xfId="38756"/>
    <cellStyle name="SAPBEXexcBad8 14 4" xfId="38757"/>
    <cellStyle name="SAPBEXexcBad8 15" xfId="38758"/>
    <cellStyle name="SAPBEXexcBad8 15 2" xfId="38759"/>
    <cellStyle name="SAPBEXexcBad8 15 3" xfId="38760"/>
    <cellStyle name="SAPBEXexcBad8 15 4" xfId="38761"/>
    <cellStyle name="SAPBEXexcBad8 16" xfId="38762"/>
    <cellStyle name="SAPBEXexcBad8 16 2" xfId="38763"/>
    <cellStyle name="SAPBEXexcBad8 16 3" xfId="38764"/>
    <cellStyle name="SAPBEXexcBad8 16 4" xfId="38765"/>
    <cellStyle name="SAPBEXexcBad8 17" xfId="38766"/>
    <cellStyle name="SAPBEXexcBad8 18" xfId="38767"/>
    <cellStyle name="SAPBEXexcBad8 19" xfId="38768"/>
    <cellStyle name="SAPBEXexcBad8 2" xfId="38769"/>
    <cellStyle name="SAPBEXexcBad8 2 2" xfId="38770"/>
    <cellStyle name="SAPBEXexcBad8 2 3" xfId="38771"/>
    <cellStyle name="SAPBEXexcBad8 2 4" xfId="38772"/>
    <cellStyle name="SAPBEXexcBad8 3" xfId="38773"/>
    <cellStyle name="SAPBEXexcBad8 3 2" xfId="38774"/>
    <cellStyle name="SAPBEXexcBad8 3 3" xfId="38775"/>
    <cellStyle name="SAPBEXexcBad8 3 4" xfId="38776"/>
    <cellStyle name="SAPBEXexcBad8 4" xfId="38777"/>
    <cellStyle name="SAPBEXexcBad8 4 2" xfId="38778"/>
    <cellStyle name="SAPBEXexcBad8 4 3" xfId="38779"/>
    <cellStyle name="SAPBEXexcBad8 4 4" xfId="38780"/>
    <cellStyle name="SAPBEXexcBad8 5" xfId="38781"/>
    <cellStyle name="SAPBEXexcBad8 5 2" xfId="38782"/>
    <cellStyle name="SAPBEXexcBad8 5 3" xfId="38783"/>
    <cellStyle name="SAPBEXexcBad8 5 4" xfId="38784"/>
    <cellStyle name="SAPBEXexcBad8 6" xfId="38785"/>
    <cellStyle name="SAPBEXexcBad8 6 2" xfId="38786"/>
    <cellStyle name="SAPBEXexcBad8 6 3" xfId="38787"/>
    <cellStyle name="SAPBEXexcBad8 6 4" xfId="38788"/>
    <cellStyle name="SAPBEXexcBad8 7" xfId="38789"/>
    <cellStyle name="SAPBEXexcBad8 7 2" xfId="38790"/>
    <cellStyle name="SAPBEXexcBad8 7 3" xfId="38791"/>
    <cellStyle name="SAPBEXexcBad8 7 4" xfId="38792"/>
    <cellStyle name="SAPBEXexcBad8 8" xfId="38793"/>
    <cellStyle name="SAPBEXexcBad8 8 2" xfId="38794"/>
    <cellStyle name="SAPBEXexcBad8 8 3" xfId="38795"/>
    <cellStyle name="SAPBEXexcBad8 8 4" xfId="38796"/>
    <cellStyle name="SAPBEXexcBad8 9" xfId="38797"/>
    <cellStyle name="SAPBEXexcBad8 9 2" xfId="38798"/>
    <cellStyle name="SAPBEXexcBad8 9 3" xfId="38799"/>
    <cellStyle name="SAPBEXexcBad8 9 4" xfId="38800"/>
    <cellStyle name="SAPBEXexcBad9" xfId="38801"/>
    <cellStyle name="SAPBEXexcBad9 10" xfId="38802"/>
    <cellStyle name="SAPBEXexcBad9 10 2" xfId="38803"/>
    <cellStyle name="SAPBEXexcBad9 10 3" xfId="38804"/>
    <cellStyle name="SAPBEXexcBad9 11" xfId="38805"/>
    <cellStyle name="SAPBEXexcBad9 11 2" xfId="38806"/>
    <cellStyle name="SAPBEXexcBad9 11 3" xfId="38807"/>
    <cellStyle name="SAPBEXexcBad9 12" xfId="38808"/>
    <cellStyle name="SAPBEXexcBad9 12 2" xfId="38809"/>
    <cellStyle name="SAPBEXexcBad9 12 3" xfId="38810"/>
    <cellStyle name="SAPBEXexcBad9 13" xfId="38811"/>
    <cellStyle name="SAPBEXexcBad9 13 2" xfId="38812"/>
    <cellStyle name="SAPBEXexcBad9 13 3" xfId="38813"/>
    <cellStyle name="SAPBEXexcBad9 14" xfId="38814"/>
    <cellStyle name="SAPBEXexcBad9 14 2" xfId="38815"/>
    <cellStyle name="SAPBEXexcBad9 14 3" xfId="38816"/>
    <cellStyle name="SAPBEXexcBad9 15" xfId="38817"/>
    <cellStyle name="SAPBEXexcBad9 15 2" xfId="38818"/>
    <cellStyle name="SAPBEXexcBad9 15 3" xfId="38819"/>
    <cellStyle name="SAPBEXexcBad9 16" xfId="38820"/>
    <cellStyle name="SAPBEXexcBad9 16 2" xfId="38821"/>
    <cellStyle name="SAPBEXexcBad9 16 3" xfId="38822"/>
    <cellStyle name="SAPBEXexcBad9 17" xfId="38823"/>
    <cellStyle name="SAPBEXexcBad9 18" xfId="38824"/>
    <cellStyle name="SAPBEXexcBad9 2" xfId="38825"/>
    <cellStyle name="SAPBEXexcBad9 2 2" xfId="38826"/>
    <cellStyle name="SAPBEXexcBad9 2 3" xfId="38827"/>
    <cellStyle name="SAPBEXexcBad9 3" xfId="38828"/>
    <cellStyle name="SAPBEXexcBad9 3 2" xfId="38829"/>
    <cellStyle name="SAPBEXexcBad9 3 3" xfId="38830"/>
    <cellStyle name="SAPBEXexcBad9 4" xfId="38831"/>
    <cellStyle name="SAPBEXexcBad9 4 2" xfId="38832"/>
    <cellStyle name="SAPBEXexcBad9 4 3" xfId="38833"/>
    <cellStyle name="SAPBEXexcBad9 5" xfId="38834"/>
    <cellStyle name="SAPBEXexcBad9 5 2" xfId="38835"/>
    <cellStyle name="SAPBEXexcBad9 5 3" xfId="38836"/>
    <cellStyle name="SAPBEXexcBad9 6" xfId="38837"/>
    <cellStyle name="SAPBEXexcBad9 6 2" xfId="38838"/>
    <cellStyle name="SAPBEXexcBad9 6 3" xfId="38839"/>
    <cellStyle name="SAPBEXexcBad9 7" xfId="38840"/>
    <cellStyle name="SAPBEXexcBad9 7 2" xfId="38841"/>
    <cellStyle name="SAPBEXexcBad9 7 3" xfId="38842"/>
    <cellStyle name="SAPBEXexcBad9 8" xfId="38843"/>
    <cellStyle name="SAPBEXexcBad9 8 2" xfId="38844"/>
    <cellStyle name="SAPBEXexcBad9 8 3" xfId="38845"/>
    <cellStyle name="SAPBEXexcBad9 9" xfId="38846"/>
    <cellStyle name="SAPBEXexcBad9 9 2" xfId="38847"/>
    <cellStyle name="SAPBEXexcBad9 9 3" xfId="38848"/>
    <cellStyle name="SAPBEXexcCritical4" xfId="38849"/>
    <cellStyle name="SAPBEXexcCritical4 10" xfId="38850"/>
    <cellStyle name="SAPBEXexcCritical4 10 2" xfId="38851"/>
    <cellStyle name="SAPBEXexcCritical4 10 3" xfId="38852"/>
    <cellStyle name="SAPBEXexcCritical4 10 4" xfId="38853"/>
    <cellStyle name="SAPBEXexcCritical4 11" xfId="38854"/>
    <cellStyle name="SAPBEXexcCritical4 11 2" xfId="38855"/>
    <cellStyle name="SAPBEXexcCritical4 11 3" xfId="38856"/>
    <cellStyle name="SAPBEXexcCritical4 11 4" xfId="38857"/>
    <cellStyle name="SAPBEXexcCritical4 12" xfId="38858"/>
    <cellStyle name="SAPBEXexcCritical4 12 2" xfId="38859"/>
    <cellStyle name="SAPBEXexcCritical4 12 3" xfId="38860"/>
    <cellStyle name="SAPBEXexcCritical4 12 4" xfId="38861"/>
    <cellStyle name="SAPBEXexcCritical4 13" xfId="38862"/>
    <cellStyle name="SAPBEXexcCritical4 13 2" xfId="38863"/>
    <cellStyle name="SAPBEXexcCritical4 13 3" xfId="38864"/>
    <cellStyle name="SAPBEXexcCritical4 13 4" xfId="38865"/>
    <cellStyle name="SAPBEXexcCritical4 14" xfId="38866"/>
    <cellStyle name="SAPBEXexcCritical4 14 2" xfId="38867"/>
    <cellStyle name="SAPBEXexcCritical4 14 3" xfId="38868"/>
    <cellStyle name="SAPBEXexcCritical4 14 4" xfId="38869"/>
    <cellStyle name="SAPBEXexcCritical4 15" xfId="38870"/>
    <cellStyle name="SAPBEXexcCritical4 15 2" xfId="38871"/>
    <cellStyle name="SAPBEXexcCritical4 15 3" xfId="38872"/>
    <cellStyle name="SAPBEXexcCritical4 15 4" xfId="38873"/>
    <cellStyle name="SAPBEXexcCritical4 16" xfId="38874"/>
    <cellStyle name="SAPBEXexcCritical4 16 2" xfId="38875"/>
    <cellStyle name="SAPBEXexcCritical4 16 3" xfId="38876"/>
    <cellStyle name="SAPBEXexcCritical4 16 4" xfId="38877"/>
    <cellStyle name="SAPBEXexcCritical4 17" xfId="38878"/>
    <cellStyle name="SAPBEXexcCritical4 18" xfId="38879"/>
    <cellStyle name="SAPBEXexcCritical4 19" xfId="38880"/>
    <cellStyle name="SAPBEXexcCritical4 2" xfId="38881"/>
    <cellStyle name="SAPBEXexcCritical4 2 2" xfId="38882"/>
    <cellStyle name="SAPBEXexcCritical4 2 3" xfId="38883"/>
    <cellStyle name="SAPBEXexcCritical4 2 4" xfId="38884"/>
    <cellStyle name="SAPBEXexcCritical4 3" xfId="38885"/>
    <cellStyle name="SAPBEXexcCritical4 3 2" xfId="38886"/>
    <cellStyle name="SAPBEXexcCritical4 3 3" xfId="38887"/>
    <cellStyle name="SAPBEXexcCritical4 3 4" xfId="38888"/>
    <cellStyle name="SAPBEXexcCritical4 4" xfId="38889"/>
    <cellStyle name="SAPBEXexcCritical4 4 2" xfId="38890"/>
    <cellStyle name="SAPBEXexcCritical4 4 3" xfId="38891"/>
    <cellStyle name="SAPBEXexcCritical4 4 4" xfId="38892"/>
    <cellStyle name="SAPBEXexcCritical4 5" xfId="38893"/>
    <cellStyle name="SAPBEXexcCritical4 5 2" xfId="38894"/>
    <cellStyle name="SAPBEXexcCritical4 5 3" xfId="38895"/>
    <cellStyle name="SAPBEXexcCritical4 5 4" xfId="38896"/>
    <cellStyle name="SAPBEXexcCritical4 6" xfId="38897"/>
    <cellStyle name="SAPBEXexcCritical4 6 2" xfId="38898"/>
    <cellStyle name="SAPBEXexcCritical4 6 3" xfId="38899"/>
    <cellStyle name="SAPBEXexcCritical4 6 4" xfId="38900"/>
    <cellStyle name="SAPBEXexcCritical4 7" xfId="38901"/>
    <cellStyle name="SAPBEXexcCritical4 7 2" xfId="38902"/>
    <cellStyle name="SAPBEXexcCritical4 7 3" xfId="38903"/>
    <cellStyle name="SAPBEXexcCritical4 7 4" xfId="38904"/>
    <cellStyle name="SAPBEXexcCritical4 8" xfId="38905"/>
    <cellStyle name="SAPBEXexcCritical4 8 2" xfId="38906"/>
    <cellStyle name="SAPBEXexcCritical4 8 3" xfId="38907"/>
    <cellStyle name="SAPBEXexcCritical4 8 4" xfId="38908"/>
    <cellStyle name="SAPBEXexcCritical4 9" xfId="38909"/>
    <cellStyle name="SAPBEXexcCritical4 9 2" xfId="38910"/>
    <cellStyle name="SAPBEXexcCritical4 9 3" xfId="38911"/>
    <cellStyle name="SAPBEXexcCritical4 9 4" xfId="38912"/>
    <cellStyle name="SAPBEXexcCritical5" xfId="38913"/>
    <cellStyle name="SAPBEXexcCritical5 10" xfId="38914"/>
    <cellStyle name="SAPBEXexcCritical5 10 2" xfId="38915"/>
    <cellStyle name="SAPBEXexcCritical5 10 3" xfId="38916"/>
    <cellStyle name="SAPBEXexcCritical5 10 4" xfId="38917"/>
    <cellStyle name="SAPBEXexcCritical5 11" xfId="38918"/>
    <cellStyle name="SAPBEXexcCritical5 11 2" xfId="38919"/>
    <cellStyle name="SAPBEXexcCritical5 11 3" xfId="38920"/>
    <cellStyle name="SAPBEXexcCritical5 11 4" xfId="38921"/>
    <cellStyle name="SAPBEXexcCritical5 12" xfId="38922"/>
    <cellStyle name="SAPBEXexcCritical5 12 2" xfId="38923"/>
    <cellStyle name="SAPBEXexcCritical5 12 3" xfId="38924"/>
    <cellStyle name="SAPBEXexcCritical5 12 4" xfId="38925"/>
    <cellStyle name="SAPBEXexcCritical5 13" xfId="38926"/>
    <cellStyle name="SAPBEXexcCritical5 13 2" xfId="38927"/>
    <cellStyle name="SAPBEXexcCritical5 13 3" xfId="38928"/>
    <cellStyle name="SAPBEXexcCritical5 13 4" xfId="38929"/>
    <cellStyle name="SAPBEXexcCritical5 14" xfId="38930"/>
    <cellStyle name="SAPBEXexcCritical5 14 2" xfId="38931"/>
    <cellStyle name="SAPBEXexcCritical5 14 3" xfId="38932"/>
    <cellStyle name="SAPBEXexcCritical5 14 4" xfId="38933"/>
    <cellStyle name="SAPBEXexcCritical5 15" xfId="38934"/>
    <cellStyle name="SAPBEXexcCritical5 15 2" xfId="38935"/>
    <cellStyle name="SAPBEXexcCritical5 15 3" xfId="38936"/>
    <cellStyle name="SAPBEXexcCritical5 15 4" xfId="38937"/>
    <cellStyle name="SAPBEXexcCritical5 16" xfId="38938"/>
    <cellStyle name="SAPBEXexcCritical5 16 2" xfId="38939"/>
    <cellStyle name="SAPBEXexcCritical5 16 3" xfId="38940"/>
    <cellStyle name="SAPBEXexcCritical5 16 4" xfId="38941"/>
    <cellStyle name="SAPBEXexcCritical5 17" xfId="38942"/>
    <cellStyle name="SAPBEXexcCritical5 18" xfId="38943"/>
    <cellStyle name="SAPBEXexcCritical5 19" xfId="38944"/>
    <cellStyle name="SAPBEXexcCritical5 2" xfId="38945"/>
    <cellStyle name="SAPBEXexcCritical5 2 2" xfId="38946"/>
    <cellStyle name="SAPBEXexcCritical5 2 3" xfId="38947"/>
    <cellStyle name="SAPBEXexcCritical5 2 4" xfId="38948"/>
    <cellStyle name="SAPBEXexcCritical5 3" xfId="38949"/>
    <cellStyle name="SAPBEXexcCritical5 3 2" xfId="38950"/>
    <cellStyle name="SAPBEXexcCritical5 3 3" xfId="38951"/>
    <cellStyle name="SAPBEXexcCritical5 3 4" xfId="38952"/>
    <cellStyle name="SAPBEXexcCritical5 4" xfId="38953"/>
    <cellStyle name="SAPBEXexcCritical5 4 2" xfId="38954"/>
    <cellStyle name="SAPBEXexcCritical5 4 3" xfId="38955"/>
    <cellStyle name="SAPBEXexcCritical5 4 4" xfId="38956"/>
    <cellStyle name="SAPBEXexcCritical5 5" xfId="38957"/>
    <cellStyle name="SAPBEXexcCritical5 5 2" xfId="38958"/>
    <cellStyle name="SAPBEXexcCritical5 5 3" xfId="38959"/>
    <cellStyle name="SAPBEXexcCritical5 5 4" xfId="38960"/>
    <cellStyle name="SAPBEXexcCritical5 6" xfId="38961"/>
    <cellStyle name="SAPBEXexcCritical5 6 2" xfId="38962"/>
    <cellStyle name="SAPBEXexcCritical5 6 3" xfId="38963"/>
    <cellStyle name="SAPBEXexcCritical5 6 4" xfId="38964"/>
    <cellStyle name="SAPBEXexcCritical5 7" xfId="38965"/>
    <cellStyle name="SAPBEXexcCritical5 7 2" xfId="38966"/>
    <cellStyle name="SAPBEXexcCritical5 7 3" xfId="38967"/>
    <cellStyle name="SAPBEXexcCritical5 7 4" xfId="38968"/>
    <cellStyle name="SAPBEXexcCritical5 8" xfId="38969"/>
    <cellStyle name="SAPBEXexcCritical5 8 2" xfId="38970"/>
    <cellStyle name="SAPBEXexcCritical5 8 3" xfId="38971"/>
    <cellStyle name="SAPBEXexcCritical5 8 4" xfId="38972"/>
    <cellStyle name="SAPBEXexcCritical5 9" xfId="38973"/>
    <cellStyle name="SAPBEXexcCritical5 9 2" xfId="38974"/>
    <cellStyle name="SAPBEXexcCritical5 9 3" xfId="38975"/>
    <cellStyle name="SAPBEXexcCritical5 9 4" xfId="38976"/>
    <cellStyle name="SAPBEXexcCritical6" xfId="38977"/>
    <cellStyle name="SAPBEXexcCritical6 10" xfId="38978"/>
    <cellStyle name="SAPBEXexcCritical6 10 2" xfId="38979"/>
    <cellStyle name="SAPBEXexcCritical6 10 3" xfId="38980"/>
    <cellStyle name="SAPBEXexcCritical6 10 4" xfId="38981"/>
    <cellStyle name="SAPBEXexcCritical6 11" xfId="38982"/>
    <cellStyle name="SAPBEXexcCritical6 11 2" xfId="38983"/>
    <cellStyle name="SAPBEXexcCritical6 11 3" xfId="38984"/>
    <cellStyle name="SAPBEXexcCritical6 11 4" xfId="38985"/>
    <cellStyle name="SAPBEXexcCritical6 12" xfId="38986"/>
    <cellStyle name="SAPBEXexcCritical6 12 2" xfId="38987"/>
    <cellStyle name="SAPBEXexcCritical6 12 3" xfId="38988"/>
    <cellStyle name="SAPBEXexcCritical6 12 4" xfId="38989"/>
    <cellStyle name="SAPBEXexcCritical6 13" xfId="38990"/>
    <cellStyle name="SAPBEXexcCritical6 13 2" xfId="38991"/>
    <cellStyle name="SAPBEXexcCritical6 13 3" xfId="38992"/>
    <cellStyle name="SAPBEXexcCritical6 13 4" xfId="38993"/>
    <cellStyle name="SAPBEXexcCritical6 14" xfId="38994"/>
    <cellStyle name="SAPBEXexcCritical6 14 2" xfId="38995"/>
    <cellStyle name="SAPBEXexcCritical6 14 3" xfId="38996"/>
    <cellStyle name="SAPBEXexcCritical6 14 4" xfId="38997"/>
    <cellStyle name="SAPBEXexcCritical6 15" xfId="38998"/>
    <cellStyle name="SAPBEXexcCritical6 15 2" xfId="38999"/>
    <cellStyle name="SAPBEXexcCritical6 15 3" xfId="39000"/>
    <cellStyle name="SAPBEXexcCritical6 15 4" xfId="39001"/>
    <cellStyle name="SAPBEXexcCritical6 16" xfId="39002"/>
    <cellStyle name="SAPBEXexcCritical6 16 2" xfId="39003"/>
    <cellStyle name="SAPBEXexcCritical6 16 3" xfId="39004"/>
    <cellStyle name="SAPBEXexcCritical6 16 4" xfId="39005"/>
    <cellStyle name="SAPBEXexcCritical6 17" xfId="39006"/>
    <cellStyle name="SAPBEXexcCritical6 18" xfId="39007"/>
    <cellStyle name="SAPBEXexcCritical6 19" xfId="39008"/>
    <cellStyle name="SAPBEXexcCritical6 2" xfId="39009"/>
    <cellStyle name="SAPBEXexcCritical6 2 2" xfId="39010"/>
    <cellStyle name="SAPBEXexcCritical6 2 3" xfId="39011"/>
    <cellStyle name="SAPBEXexcCritical6 2 4" xfId="39012"/>
    <cellStyle name="SAPBEXexcCritical6 3" xfId="39013"/>
    <cellStyle name="SAPBEXexcCritical6 3 2" xfId="39014"/>
    <cellStyle name="SAPBEXexcCritical6 3 3" xfId="39015"/>
    <cellStyle name="SAPBEXexcCritical6 3 4" xfId="39016"/>
    <cellStyle name="SAPBEXexcCritical6 4" xfId="39017"/>
    <cellStyle name="SAPBEXexcCritical6 4 2" xfId="39018"/>
    <cellStyle name="SAPBEXexcCritical6 4 3" xfId="39019"/>
    <cellStyle name="SAPBEXexcCritical6 4 4" xfId="39020"/>
    <cellStyle name="SAPBEXexcCritical6 5" xfId="39021"/>
    <cellStyle name="SAPBEXexcCritical6 5 2" xfId="39022"/>
    <cellStyle name="SAPBEXexcCritical6 5 3" xfId="39023"/>
    <cellStyle name="SAPBEXexcCritical6 5 4" xfId="39024"/>
    <cellStyle name="SAPBEXexcCritical6 6" xfId="39025"/>
    <cellStyle name="SAPBEXexcCritical6 6 2" xfId="39026"/>
    <cellStyle name="SAPBEXexcCritical6 6 3" xfId="39027"/>
    <cellStyle name="SAPBEXexcCritical6 6 4" xfId="39028"/>
    <cellStyle name="SAPBEXexcCritical6 7" xfId="39029"/>
    <cellStyle name="SAPBEXexcCritical6 7 2" xfId="39030"/>
    <cellStyle name="SAPBEXexcCritical6 7 3" xfId="39031"/>
    <cellStyle name="SAPBEXexcCritical6 7 4" xfId="39032"/>
    <cellStyle name="SAPBEXexcCritical6 8" xfId="39033"/>
    <cellStyle name="SAPBEXexcCritical6 8 2" xfId="39034"/>
    <cellStyle name="SAPBEXexcCritical6 8 3" xfId="39035"/>
    <cellStyle name="SAPBEXexcCritical6 8 4" xfId="39036"/>
    <cellStyle name="SAPBEXexcCritical6 9" xfId="39037"/>
    <cellStyle name="SAPBEXexcCritical6 9 2" xfId="39038"/>
    <cellStyle name="SAPBEXexcCritical6 9 3" xfId="39039"/>
    <cellStyle name="SAPBEXexcCritical6 9 4" xfId="39040"/>
    <cellStyle name="SAPBEXexcGood1" xfId="39041"/>
    <cellStyle name="SAPBEXexcGood1 10" xfId="39042"/>
    <cellStyle name="SAPBEXexcGood1 10 2" xfId="39043"/>
    <cellStyle name="SAPBEXexcGood1 10 3" xfId="39044"/>
    <cellStyle name="SAPBEXexcGood1 10 4" xfId="39045"/>
    <cellStyle name="SAPBEXexcGood1 11" xfId="39046"/>
    <cellStyle name="SAPBEXexcGood1 11 2" xfId="39047"/>
    <cellStyle name="SAPBEXexcGood1 11 3" xfId="39048"/>
    <cellStyle name="SAPBEXexcGood1 11 4" xfId="39049"/>
    <cellStyle name="SAPBEXexcGood1 12" xfId="39050"/>
    <cellStyle name="SAPBEXexcGood1 12 2" xfId="39051"/>
    <cellStyle name="SAPBEXexcGood1 12 3" xfId="39052"/>
    <cellStyle name="SAPBEXexcGood1 12 4" xfId="39053"/>
    <cellStyle name="SAPBEXexcGood1 13" xfId="39054"/>
    <cellStyle name="SAPBEXexcGood1 13 2" xfId="39055"/>
    <cellStyle name="SAPBEXexcGood1 13 3" xfId="39056"/>
    <cellStyle name="SAPBEXexcGood1 13 4" xfId="39057"/>
    <cellStyle name="SAPBEXexcGood1 14" xfId="39058"/>
    <cellStyle name="SAPBEXexcGood1 14 2" xfId="39059"/>
    <cellStyle name="SAPBEXexcGood1 14 3" xfId="39060"/>
    <cellStyle name="SAPBEXexcGood1 14 4" xfId="39061"/>
    <cellStyle name="SAPBEXexcGood1 15" xfId="39062"/>
    <cellStyle name="SAPBEXexcGood1 15 2" xfId="39063"/>
    <cellStyle name="SAPBEXexcGood1 15 3" xfId="39064"/>
    <cellStyle name="SAPBEXexcGood1 15 4" xfId="39065"/>
    <cellStyle name="SAPBEXexcGood1 16" xfId="39066"/>
    <cellStyle name="SAPBEXexcGood1 16 2" xfId="39067"/>
    <cellStyle name="SAPBEXexcGood1 16 3" xfId="39068"/>
    <cellStyle name="SAPBEXexcGood1 16 4" xfId="39069"/>
    <cellStyle name="SAPBEXexcGood1 17" xfId="39070"/>
    <cellStyle name="SAPBEXexcGood1 18" xfId="39071"/>
    <cellStyle name="SAPBEXexcGood1 19" xfId="39072"/>
    <cellStyle name="SAPBEXexcGood1 2" xfId="39073"/>
    <cellStyle name="SAPBEXexcGood1 2 2" xfId="39074"/>
    <cellStyle name="SAPBEXexcGood1 2 3" xfId="39075"/>
    <cellStyle name="SAPBEXexcGood1 2 4" xfId="39076"/>
    <cellStyle name="SAPBEXexcGood1 3" xfId="39077"/>
    <cellStyle name="SAPBEXexcGood1 3 2" xfId="39078"/>
    <cellStyle name="SAPBEXexcGood1 3 3" xfId="39079"/>
    <cellStyle name="SAPBEXexcGood1 3 4" xfId="39080"/>
    <cellStyle name="SAPBEXexcGood1 4" xfId="39081"/>
    <cellStyle name="SAPBEXexcGood1 4 2" xfId="39082"/>
    <cellStyle name="SAPBEXexcGood1 4 3" xfId="39083"/>
    <cellStyle name="SAPBEXexcGood1 4 4" xfId="39084"/>
    <cellStyle name="SAPBEXexcGood1 5" xfId="39085"/>
    <cellStyle name="SAPBEXexcGood1 5 2" xfId="39086"/>
    <cellStyle name="SAPBEXexcGood1 5 3" xfId="39087"/>
    <cellStyle name="SAPBEXexcGood1 5 4" xfId="39088"/>
    <cellStyle name="SAPBEXexcGood1 6" xfId="39089"/>
    <cellStyle name="SAPBEXexcGood1 6 2" xfId="39090"/>
    <cellStyle name="SAPBEXexcGood1 6 3" xfId="39091"/>
    <cellStyle name="SAPBEXexcGood1 6 4" xfId="39092"/>
    <cellStyle name="SAPBEXexcGood1 7" xfId="39093"/>
    <cellStyle name="SAPBEXexcGood1 7 2" xfId="39094"/>
    <cellStyle name="SAPBEXexcGood1 7 3" xfId="39095"/>
    <cellStyle name="SAPBEXexcGood1 7 4" xfId="39096"/>
    <cellStyle name="SAPBEXexcGood1 8" xfId="39097"/>
    <cellStyle name="SAPBEXexcGood1 8 2" xfId="39098"/>
    <cellStyle name="SAPBEXexcGood1 8 3" xfId="39099"/>
    <cellStyle name="SAPBEXexcGood1 8 4" xfId="39100"/>
    <cellStyle name="SAPBEXexcGood1 9" xfId="39101"/>
    <cellStyle name="SAPBEXexcGood1 9 2" xfId="39102"/>
    <cellStyle name="SAPBEXexcGood1 9 3" xfId="39103"/>
    <cellStyle name="SAPBEXexcGood1 9 4" xfId="39104"/>
    <cellStyle name="SAPBEXexcGood2" xfId="39105"/>
    <cellStyle name="SAPBEXexcGood2 10" xfId="39106"/>
    <cellStyle name="SAPBEXexcGood2 10 2" xfId="39107"/>
    <cellStyle name="SAPBEXexcGood2 10 3" xfId="39108"/>
    <cellStyle name="SAPBEXexcGood2 10 4" xfId="39109"/>
    <cellStyle name="SAPBEXexcGood2 11" xfId="39110"/>
    <cellStyle name="SAPBEXexcGood2 11 2" xfId="39111"/>
    <cellStyle name="SAPBEXexcGood2 11 3" xfId="39112"/>
    <cellStyle name="SAPBEXexcGood2 11 4" xfId="39113"/>
    <cellStyle name="SAPBEXexcGood2 12" xfId="39114"/>
    <cellStyle name="SAPBEXexcGood2 12 2" xfId="39115"/>
    <cellStyle name="SAPBEXexcGood2 12 3" xfId="39116"/>
    <cellStyle name="SAPBEXexcGood2 12 4" xfId="39117"/>
    <cellStyle name="SAPBEXexcGood2 13" xfId="39118"/>
    <cellStyle name="SAPBEXexcGood2 13 2" xfId="39119"/>
    <cellStyle name="SAPBEXexcGood2 13 3" xfId="39120"/>
    <cellStyle name="SAPBEXexcGood2 13 4" xfId="39121"/>
    <cellStyle name="SAPBEXexcGood2 14" xfId="39122"/>
    <cellStyle name="SAPBEXexcGood2 14 2" xfId="39123"/>
    <cellStyle name="SAPBEXexcGood2 14 3" xfId="39124"/>
    <cellStyle name="SAPBEXexcGood2 14 4" xfId="39125"/>
    <cellStyle name="SAPBEXexcGood2 15" xfId="39126"/>
    <cellStyle name="SAPBEXexcGood2 15 2" xfId="39127"/>
    <cellStyle name="SAPBEXexcGood2 15 3" xfId="39128"/>
    <cellStyle name="SAPBEXexcGood2 15 4" xfId="39129"/>
    <cellStyle name="SAPBEXexcGood2 16" xfId="39130"/>
    <cellStyle name="SAPBEXexcGood2 16 2" xfId="39131"/>
    <cellStyle name="SAPBEXexcGood2 16 3" xfId="39132"/>
    <cellStyle name="SAPBEXexcGood2 16 4" xfId="39133"/>
    <cellStyle name="SAPBEXexcGood2 17" xfId="39134"/>
    <cellStyle name="SAPBEXexcGood2 18" xfId="39135"/>
    <cellStyle name="SAPBEXexcGood2 19" xfId="39136"/>
    <cellStyle name="SAPBEXexcGood2 2" xfId="39137"/>
    <cellStyle name="SAPBEXexcGood2 2 2" xfId="39138"/>
    <cellStyle name="SAPBEXexcGood2 2 3" xfId="39139"/>
    <cellStyle name="SAPBEXexcGood2 2 4" xfId="39140"/>
    <cellStyle name="SAPBEXexcGood2 3" xfId="39141"/>
    <cellStyle name="SAPBEXexcGood2 3 2" xfId="39142"/>
    <cellStyle name="SAPBEXexcGood2 3 3" xfId="39143"/>
    <cellStyle name="SAPBEXexcGood2 3 4" xfId="39144"/>
    <cellStyle name="SAPBEXexcGood2 4" xfId="39145"/>
    <cellStyle name="SAPBEXexcGood2 4 2" xfId="39146"/>
    <cellStyle name="SAPBEXexcGood2 4 3" xfId="39147"/>
    <cellStyle name="SAPBEXexcGood2 4 4" xfId="39148"/>
    <cellStyle name="SAPBEXexcGood2 5" xfId="39149"/>
    <cellStyle name="SAPBEXexcGood2 5 2" xfId="39150"/>
    <cellStyle name="SAPBEXexcGood2 5 3" xfId="39151"/>
    <cellStyle name="SAPBEXexcGood2 5 4" xfId="39152"/>
    <cellStyle name="SAPBEXexcGood2 6" xfId="39153"/>
    <cellStyle name="SAPBEXexcGood2 6 2" xfId="39154"/>
    <cellStyle name="SAPBEXexcGood2 6 3" xfId="39155"/>
    <cellStyle name="SAPBEXexcGood2 6 4" xfId="39156"/>
    <cellStyle name="SAPBEXexcGood2 7" xfId="39157"/>
    <cellStyle name="SAPBEXexcGood2 7 2" xfId="39158"/>
    <cellStyle name="SAPBEXexcGood2 7 3" xfId="39159"/>
    <cellStyle name="SAPBEXexcGood2 7 4" xfId="39160"/>
    <cellStyle name="SAPBEXexcGood2 8" xfId="39161"/>
    <cellStyle name="SAPBEXexcGood2 8 2" xfId="39162"/>
    <cellStyle name="SAPBEXexcGood2 8 3" xfId="39163"/>
    <cellStyle name="SAPBEXexcGood2 8 4" xfId="39164"/>
    <cellStyle name="SAPBEXexcGood2 9" xfId="39165"/>
    <cellStyle name="SAPBEXexcGood2 9 2" xfId="39166"/>
    <cellStyle name="SAPBEXexcGood2 9 3" xfId="39167"/>
    <cellStyle name="SAPBEXexcGood2 9 4" xfId="39168"/>
    <cellStyle name="SAPBEXexcGood3" xfId="39169"/>
    <cellStyle name="SAPBEXexcGood3 10" xfId="39170"/>
    <cellStyle name="SAPBEXexcGood3 10 2" xfId="39171"/>
    <cellStyle name="SAPBEXexcGood3 10 3" xfId="39172"/>
    <cellStyle name="SAPBEXexcGood3 10 4" xfId="39173"/>
    <cellStyle name="SAPBEXexcGood3 11" xfId="39174"/>
    <cellStyle name="SAPBEXexcGood3 11 2" xfId="39175"/>
    <cellStyle name="SAPBEXexcGood3 11 3" xfId="39176"/>
    <cellStyle name="SAPBEXexcGood3 11 4" xfId="39177"/>
    <cellStyle name="SAPBEXexcGood3 12" xfId="39178"/>
    <cellStyle name="SAPBEXexcGood3 12 2" xfId="39179"/>
    <cellStyle name="SAPBEXexcGood3 12 3" xfId="39180"/>
    <cellStyle name="SAPBEXexcGood3 12 4" xfId="39181"/>
    <cellStyle name="SAPBEXexcGood3 13" xfId="39182"/>
    <cellStyle name="SAPBEXexcGood3 13 2" xfId="39183"/>
    <cellStyle name="SAPBEXexcGood3 13 3" xfId="39184"/>
    <cellStyle name="SAPBEXexcGood3 13 4" xfId="39185"/>
    <cellStyle name="SAPBEXexcGood3 14" xfId="39186"/>
    <cellStyle name="SAPBEXexcGood3 14 2" xfId="39187"/>
    <cellStyle name="SAPBEXexcGood3 14 3" xfId="39188"/>
    <cellStyle name="SAPBEXexcGood3 14 4" xfId="39189"/>
    <cellStyle name="SAPBEXexcGood3 15" xfId="39190"/>
    <cellStyle name="SAPBEXexcGood3 15 2" xfId="39191"/>
    <cellStyle name="SAPBEXexcGood3 15 3" xfId="39192"/>
    <cellStyle name="SAPBEXexcGood3 15 4" xfId="39193"/>
    <cellStyle name="SAPBEXexcGood3 16" xfId="39194"/>
    <cellStyle name="SAPBEXexcGood3 16 2" xfId="39195"/>
    <cellStyle name="SAPBEXexcGood3 16 3" xfId="39196"/>
    <cellStyle name="SAPBEXexcGood3 16 4" xfId="39197"/>
    <cellStyle name="SAPBEXexcGood3 17" xfId="39198"/>
    <cellStyle name="SAPBEXexcGood3 18" xfId="39199"/>
    <cellStyle name="SAPBEXexcGood3 19" xfId="39200"/>
    <cellStyle name="SAPBEXexcGood3 2" xfId="39201"/>
    <cellStyle name="SAPBEXexcGood3 2 2" xfId="39202"/>
    <cellStyle name="SAPBEXexcGood3 2 3" xfId="39203"/>
    <cellStyle name="SAPBEXexcGood3 2 4" xfId="39204"/>
    <cellStyle name="SAPBEXexcGood3 3" xfId="39205"/>
    <cellStyle name="SAPBEXexcGood3 3 2" xfId="39206"/>
    <cellStyle name="SAPBEXexcGood3 3 3" xfId="39207"/>
    <cellStyle name="SAPBEXexcGood3 3 4" xfId="39208"/>
    <cellStyle name="SAPBEXexcGood3 4" xfId="39209"/>
    <cellStyle name="SAPBEXexcGood3 4 2" xfId="39210"/>
    <cellStyle name="SAPBEXexcGood3 4 3" xfId="39211"/>
    <cellStyle name="SAPBEXexcGood3 4 4" xfId="39212"/>
    <cellStyle name="SAPBEXexcGood3 5" xfId="39213"/>
    <cellStyle name="SAPBEXexcGood3 5 2" xfId="39214"/>
    <cellStyle name="SAPBEXexcGood3 5 3" xfId="39215"/>
    <cellStyle name="SAPBEXexcGood3 5 4" xfId="39216"/>
    <cellStyle name="SAPBEXexcGood3 6" xfId="39217"/>
    <cellStyle name="SAPBEXexcGood3 6 2" xfId="39218"/>
    <cellStyle name="SAPBEXexcGood3 6 3" xfId="39219"/>
    <cellStyle name="SAPBEXexcGood3 6 4" xfId="39220"/>
    <cellStyle name="SAPBEXexcGood3 7" xfId="39221"/>
    <cellStyle name="SAPBEXexcGood3 7 2" xfId="39222"/>
    <cellStyle name="SAPBEXexcGood3 7 3" xfId="39223"/>
    <cellStyle name="SAPBEXexcGood3 7 4" xfId="39224"/>
    <cellStyle name="SAPBEXexcGood3 8" xfId="39225"/>
    <cellStyle name="SAPBEXexcGood3 8 2" xfId="39226"/>
    <cellStyle name="SAPBEXexcGood3 8 3" xfId="39227"/>
    <cellStyle name="SAPBEXexcGood3 8 4" xfId="39228"/>
    <cellStyle name="SAPBEXexcGood3 9" xfId="39229"/>
    <cellStyle name="SAPBEXexcGood3 9 2" xfId="39230"/>
    <cellStyle name="SAPBEXexcGood3 9 3" xfId="39231"/>
    <cellStyle name="SAPBEXexcGood3 9 4" xfId="39232"/>
    <cellStyle name="SAPBEXfilterDrill" xfId="39233"/>
    <cellStyle name="SAPBEXfilterDrill 10" xfId="39234"/>
    <cellStyle name="SAPBEXfilterDrill 10 2" xfId="39235"/>
    <cellStyle name="SAPBEXfilterDrill 10 3" xfId="39236"/>
    <cellStyle name="SAPBEXfilterDrill 11" xfId="39237"/>
    <cellStyle name="SAPBEXfilterDrill 11 2" xfId="39238"/>
    <cellStyle name="SAPBEXfilterDrill 11 3" xfId="39239"/>
    <cellStyle name="SAPBEXfilterDrill 12" xfId="39240"/>
    <cellStyle name="SAPBEXfilterDrill 12 2" xfId="39241"/>
    <cellStyle name="SAPBEXfilterDrill 12 3" xfId="39242"/>
    <cellStyle name="SAPBEXfilterDrill 13" xfId="39243"/>
    <cellStyle name="SAPBEXfilterDrill 13 2" xfId="39244"/>
    <cellStyle name="SAPBEXfilterDrill 13 3" xfId="39245"/>
    <cellStyle name="SAPBEXfilterDrill 14" xfId="39246"/>
    <cellStyle name="SAPBEXfilterDrill 14 2" xfId="39247"/>
    <cellStyle name="SAPBEXfilterDrill 14 3" xfId="39248"/>
    <cellStyle name="SAPBEXfilterDrill 15" xfId="39249"/>
    <cellStyle name="SAPBEXfilterDrill 15 2" xfId="39250"/>
    <cellStyle name="SAPBEXfilterDrill 15 3" xfId="39251"/>
    <cellStyle name="SAPBEXfilterDrill 16" xfId="39252"/>
    <cellStyle name="SAPBEXfilterDrill 16 2" xfId="39253"/>
    <cellStyle name="SAPBEXfilterDrill 16 3" xfId="39254"/>
    <cellStyle name="SAPBEXfilterDrill 17" xfId="39255"/>
    <cellStyle name="SAPBEXfilterDrill 18" xfId="39256"/>
    <cellStyle name="SAPBEXfilterDrill 2" xfId="39257"/>
    <cellStyle name="SAPBEXfilterDrill 2 2" xfId="39258"/>
    <cellStyle name="SAPBEXfilterDrill 2 3" xfId="39259"/>
    <cellStyle name="SAPBEXfilterDrill 3" xfId="39260"/>
    <cellStyle name="SAPBEXfilterDrill 3 2" xfId="39261"/>
    <cellStyle name="SAPBEXfilterDrill 3 3" xfId="39262"/>
    <cellStyle name="SAPBEXfilterDrill 4" xfId="39263"/>
    <cellStyle name="SAPBEXfilterDrill 4 2" xfId="39264"/>
    <cellStyle name="SAPBEXfilterDrill 4 3" xfId="39265"/>
    <cellStyle name="SAPBEXfilterDrill 5" xfId="39266"/>
    <cellStyle name="SAPBEXfilterDrill 5 2" xfId="39267"/>
    <cellStyle name="SAPBEXfilterDrill 5 3" xfId="39268"/>
    <cellStyle name="SAPBEXfilterDrill 6" xfId="39269"/>
    <cellStyle name="SAPBEXfilterDrill 6 2" xfId="39270"/>
    <cellStyle name="SAPBEXfilterDrill 6 3" xfId="39271"/>
    <cellStyle name="SAPBEXfilterDrill 7" xfId="39272"/>
    <cellStyle name="SAPBEXfilterDrill 7 2" xfId="39273"/>
    <cellStyle name="SAPBEXfilterDrill 7 3" xfId="39274"/>
    <cellStyle name="SAPBEXfilterDrill 8" xfId="39275"/>
    <cellStyle name="SAPBEXfilterDrill 8 2" xfId="39276"/>
    <cellStyle name="SAPBEXfilterDrill 8 3" xfId="39277"/>
    <cellStyle name="SAPBEXfilterDrill 9" xfId="39278"/>
    <cellStyle name="SAPBEXfilterDrill 9 2" xfId="39279"/>
    <cellStyle name="SAPBEXfilterDrill 9 3" xfId="39280"/>
    <cellStyle name="SAPBEXfilterItem" xfId="39281"/>
    <cellStyle name="SAPBEXfilterItem 10" xfId="39282"/>
    <cellStyle name="SAPBEXfilterItem 10 2" xfId="39283"/>
    <cellStyle name="SAPBEXfilterItem 10 3" xfId="39284"/>
    <cellStyle name="SAPBEXfilterItem 11" xfId="39285"/>
    <cellStyle name="SAPBEXfilterItem 11 2" xfId="39286"/>
    <cellStyle name="SAPBEXfilterItem 11 3" xfId="39287"/>
    <cellStyle name="SAPBEXfilterItem 12" xfId="39288"/>
    <cellStyle name="SAPBEXfilterItem 12 2" xfId="39289"/>
    <cellStyle name="SAPBEXfilterItem 12 3" xfId="39290"/>
    <cellStyle name="SAPBEXfilterItem 13" xfId="39291"/>
    <cellStyle name="SAPBEXfilterItem 13 2" xfId="39292"/>
    <cellStyle name="SAPBEXfilterItem 13 3" xfId="39293"/>
    <cellStyle name="SAPBEXfilterItem 14" xfId="39294"/>
    <cellStyle name="SAPBEXfilterItem 14 2" xfId="39295"/>
    <cellStyle name="SAPBEXfilterItem 14 3" xfId="39296"/>
    <cellStyle name="SAPBEXfilterItem 15" xfId="39297"/>
    <cellStyle name="SAPBEXfilterItem 15 2" xfId="39298"/>
    <cellStyle name="SAPBEXfilterItem 15 3" xfId="39299"/>
    <cellStyle name="SAPBEXfilterItem 16" xfId="39300"/>
    <cellStyle name="SAPBEXfilterItem 16 2" xfId="39301"/>
    <cellStyle name="SAPBEXfilterItem 16 3" xfId="39302"/>
    <cellStyle name="SAPBEXfilterItem 17" xfId="39303"/>
    <cellStyle name="SAPBEXfilterItem 18" xfId="39304"/>
    <cellStyle name="SAPBEXfilterItem 2" xfId="39305"/>
    <cellStyle name="SAPBEXfilterItem 2 2" xfId="39306"/>
    <cellStyle name="SAPBEXfilterItem 2 3" xfId="39307"/>
    <cellStyle name="SAPBEXfilterItem 3" xfId="39308"/>
    <cellStyle name="SAPBEXfilterItem 3 2" xfId="39309"/>
    <cellStyle name="SAPBEXfilterItem 3 3" xfId="39310"/>
    <cellStyle name="SAPBEXfilterItem 4" xfId="39311"/>
    <cellStyle name="SAPBEXfilterItem 4 2" xfId="39312"/>
    <cellStyle name="SAPBEXfilterItem 4 3" xfId="39313"/>
    <cellStyle name="SAPBEXfilterItem 5" xfId="39314"/>
    <cellStyle name="SAPBEXfilterItem 5 2" xfId="39315"/>
    <cellStyle name="SAPBEXfilterItem 5 3" xfId="39316"/>
    <cellStyle name="SAPBEXfilterItem 6" xfId="39317"/>
    <cellStyle name="SAPBEXfilterItem 6 2" xfId="39318"/>
    <cellStyle name="SAPBEXfilterItem 6 3" xfId="39319"/>
    <cellStyle name="SAPBEXfilterItem 7" xfId="39320"/>
    <cellStyle name="SAPBEXfilterItem 7 2" xfId="39321"/>
    <cellStyle name="SAPBEXfilterItem 7 3" xfId="39322"/>
    <cellStyle name="SAPBEXfilterItem 8" xfId="39323"/>
    <cellStyle name="SAPBEXfilterItem 8 2" xfId="39324"/>
    <cellStyle name="SAPBEXfilterItem 8 3" xfId="39325"/>
    <cellStyle name="SAPBEXfilterItem 9" xfId="39326"/>
    <cellStyle name="SAPBEXfilterItem 9 2" xfId="39327"/>
    <cellStyle name="SAPBEXfilterItem 9 3" xfId="39328"/>
    <cellStyle name="SAPBEXfilterText" xfId="39329"/>
    <cellStyle name="SAPBEXfilterText 10" xfId="39330"/>
    <cellStyle name="SAPBEXfilterText 10 2" xfId="39331"/>
    <cellStyle name="SAPBEXfilterText 10 3" xfId="39332"/>
    <cellStyle name="SAPBEXfilterText 11" xfId="39333"/>
    <cellStyle name="SAPBEXfilterText 11 2" xfId="39334"/>
    <cellStyle name="SAPBEXfilterText 11 3" xfId="39335"/>
    <cellStyle name="SAPBEXfilterText 12" xfId="39336"/>
    <cellStyle name="SAPBEXfilterText 12 2" xfId="39337"/>
    <cellStyle name="SAPBEXfilterText 12 3" xfId="39338"/>
    <cellStyle name="SAPBEXfilterText 13" xfId="39339"/>
    <cellStyle name="SAPBEXfilterText 13 2" xfId="39340"/>
    <cellStyle name="SAPBEXfilterText 13 3" xfId="39341"/>
    <cellStyle name="SAPBEXfilterText 14" xfId="39342"/>
    <cellStyle name="SAPBEXfilterText 14 2" xfId="39343"/>
    <cellStyle name="SAPBEXfilterText 14 3" xfId="39344"/>
    <cellStyle name="SAPBEXfilterText 15" xfId="39345"/>
    <cellStyle name="SAPBEXfilterText 15 2" xfId="39346"/>
    <cellStyle name="SAPBEXfilterText 15 3" xfId="39347"/>
    <cellStyle name="SAPBEXfilterText 16" xfId="39348"/>
    <cellStyle name="SAPBEXfilterText 16 2" xfId="39349"/>
    <cellStyle name="SAPBEXfilterText 16 3" xfId="39350"/>
    <cellStyle name="SAPBEXfilterText 17" xfId="39351"/>
    <cellStyle name="SAPBEXfilterText 18" xfId="39352"/>
    <cellStyle name="SAPBEXfilterText 2" xfId="39353"/>
    <cellStyle name="SAPBEXfilterText 2 2" xfId="39354"/>
    <cellStyle name="SAPBEXfilterText 2 3" xfId="39355"/>
    <cellStyle name="SAPBEXfilterText 3" xfId="39356"/>
    <cellStyle name="SAPBEXfilterText 3 2" xfId="39357"/>
    <cellStyle name="SAPBEXfilterText 3 3" xfId="39358"/>
    <cellStyle name="SAPBEXfilterText 4" xfId="39359"/>
    <cellStyle name="SAPBEXfilterText 4 2" xfId="39360"/>
    <cellStyle name="SAPBEXfilterText 4 3" xfId="39361"/>
    <cellStyle name="SAPBEXfilterText 5" xfId="39362"/>
    <cellStyle name="SAPBEXfilterText 5 2" xfId="39363"/>
    <cellStyle name="SAPBEXfilterText 5 3" xfId="39364"/>
    <cellStyle name="SAPBEXfilterText 6" xfId="39365"/>
    <cellStyle name="SAPBEXfilterText 6 2" xfId="39366"/>
    <cellStyle name="SAPBEXfilterText 6 3" xfId="39367"/>
    <cellStyle name="SAPBEXfilterText 7" xfId="39368"/>
    <cellStyle name="SAPBEXfilterText 7 2" xfId="39369"/>
    <cellStyle name="SAPBEXfilterText 7 3" xfId="39370"/>
    <cellStyle name="SAPBEXfilterText 8" xfId="39371"/>
    <cellStyle name="SAPBEXfilterText 8 2" xfId="39372"/>
    <cellStyle name="SAPBEXfilterText 8 3" xfId="39373"/>
    <cellStyle name="SAPBEXfilterText 9" xfId="39374"/>
    <cellStyle name="SAPBEXfilterText 9 2" xfId="39375"/>
    <cellStyle name="SAPBEXfilterText 9 3" xfId="39376"/>
    <cellStyle name="SAPBEXformats" xfId="39377"/>
    <cellStyle name="SAPBEXformats 10" xfId="39378"/>
    <cellStyle name="SAPBEXformats 10 2" xfId="39379"/>
    <cellStyle name="SAPBEXformats 10 3" xfId="39380"/>
    <cellStyle name="SAPBEXformats 10 4" xfId="39381"/>
    <cellStyle name="SAPBEXformats 11" xfId="39382"/>
    <cellStyle name="SAPBEXformats 11 2" xfId="39383"/>
    <cellStyle name="SAPBEXformats 11 3" xfId="39384"/>
    <cellStyle name="SAPBEXformats 11 4" xfId="39385"/>
    <cellStyle name="SAPBEXformats 12" xfId="39386"/>
    <cellStyle name="SAPBEXformats 12 2" xfId="39387"/>
    <cellStyle name="SAPBEXformats 12 3" xfId="39388"/>
    <cellStyle name="SAPBEXformats 12 4" xfId="39389"/>
    <cellStyle name="SAPBEXformats 13" xfId="39390"/>
    <cellStyle name="SAPBEXformats 13 2" xfId="39391"/>
    <cellStyle name="SAPBEXformats 13 3" xfId="39392"/>
    <cellStyle name="SAPBEXformats 13 4" xfId="39393"/>
    <cellStyle name="SAPBEXformats 14" xfId="39394"/>
    <cellStyle name="SAPBEXformats 14 2" xfId="39395"/>
    <cellStyle name="SAPBEXformats 14 3" xfId="39396"/>
    <cellStyle name="SAPBEXformats 14 4" xfId="39397"/>
    <cellStyle name="SAPBEXformats 15" xfId="39398"/>
    <cellStyle name="SAPBEXformats 15 2" xfId="39399"/>
    <cellStyle name="SAPBEXformats 15 3" xfId="39400"/>
    <cellStyle name="SAPBEXformats 15 4" xfId="39401"/>
    <cellStyle name="SAPBEXformats 16" xfId="39402"/>
    <cellStyle name="SAPBEXformats 16 2" xfId="39403"/>
    <cellStyle name="SAPBEXformats 16 3" xfId="39404"/>
    <cellStyle name="SAPBEXformats 16 4" xfId="39405"/>
    <cellStyle name="SAPBEXformats 17" xfId="39406"/>
    <cellStyle name="SAPBEXformats 18" xfId="39407"/>
    <cellStyle name="SAPBEXformats 19" xfId="39408"/>
    <cellStyle name="SAPBEXformats 2" xfId="39409"/>
    <cellStyle name="SAPBEXformats 2 2" xfId="39410"/>
    <cellStyle name="SAPBEXformats 2 3" xfId="39411"/>
    <cellStyle name="SAPBEXformats 2 4" xfId="39412"/>
    <cellStyle name="SAPBEXformats 3" xfId="39413"/>
    <cellStyle name="SAPBEXformats 3 2" xfId="39414"/>
    <cellStyle name="SAPBEXformats 3 3" xfId="39415"/>
    <cellStyle name="SAPBEXformats 3 4" xfId="39416"/>
    <cellStyle name="SAPBEXformats 4" xfId="39417"/>
    <cellStyle name="SAPBEXformats 4 2" xfId="39418"/>
    <cellStyle name="SAPBEXformats 4 3" xfId="39419"/>
    <cellStyle name="SAPBEXformats 4 4" xfId="39420"/>
    <cellStyle name="SAPBEXformats 5" xfId="39421"/>
    <cellStyle name="SAPBEXformats 5 2" xfId="39422"/>
    <cellStyle name="SAPBEXformats 5 3" xfId="39423"/>
    <cellStyle name="SAPBEXformats 5 4" xfId="39424"/>
    <cellStyle name="SAPBEXformats 6" xfId="39425"/>
    <cellStyle name="SAPBEXformats 6 2" xfId="39426"/>
    <cellStyle name="SAPBEXformats 6 3" xfId="39427"/>
    <cellStyle name="SAPBEXformats 6 4" xfId="39428"/>
    <cellStyle name="SAPBEXformats 7" xfId="39429"/>
    <cellStyle name="SAPBEXformats 7 2" xfId="39430"/>
    <cellStyle name="SAPBEXformats 7 3" xfId="39431"/>
    <cellStyle name="SAPBEXformats 7 4" xfId="39432"/>
    <cellStyle name="SAPBEXformats 8" xfId="39433"/>
    <cellStyle name="SAPBEXformats 8 2" xfId="39434"/>
    <cellStyle name="SAPBEXformats 8 3" xfId="39435"/>
    <cellStyle name="SAPBEXformats 8 4" xfId="39436"/>
    <cellStyle name="SAPBEXformats 9" xfId="39437"/>
    <cellStyle name="SAPBEXformats 9 2" xfId="39438"/>
    <cellStyle name="SAPBEXformats 9 3" xfId="39439"/>
    <cellStyle name="SAPBEXformats 9 4" xfId="39440"/>
    <cellStyle name="SAPBEXheaderItem" xfId="39441"/>
    <cellStyle name="SAPBEXheaderItem 10" xfId="39442"/>
    <cellStyle name="SAPBEXheaderItem 10 2" xfId="39443"/>
    <cellStyle name="SAPBEXheaderItem 10 3" xfId="39444"/>
    <cellStyle name="SAPBEXheaderItem 11" xfId="39445"/>
    <cellStyle name="SAPBEXheaderItem 11 2" xfId="39446"/>
    <cellStyle name="SAPBEXheaderItem 11 3" xfId="39447"/>
    <cellStyle name="SAPBEXheaderItem 12" xfId="39448"/>
    <cellStyle name="SAPBEXheaderItem 12 2" xfId="39449"/>
    <cellStyle name="SAPBEXheaderItem 12 3" xfId="39450"/>
    <cellStyle name="SAPBEXheaderItem 13" xfId="39451"/>
    <cellStyle name="SAPBEXheaderItem 13 2" xfId="39452"/>
    <cellStyle name="SAPBEXheaderItem 13 3" xfId="39453"/>
    <cellStyle name="SAPBEXheaderItem 14" xfId="39454"/>
    <cellStyle name="SAPBEXheaderItem 14 2" xfId="39455"/>
    <cellStyle name="SAPBEXheaderItem 14 3" xfId="39456"/>
    <cellStyle name="SAPBEXheaderItem 15" xfId="39457"/>
    <cellStyle name="SAPBEXheaderItem 15 2" xfId="39458"/>
    <cellStyle name="SAPBEXheaderItem 15 3" xfId="39459"/>
    <cellStyle name="SAPBEXheaderItem 16" xfId="39460"/>
    <cellStyle name="SAPBEXheaderItem 16 2" xfId="39461"/>
    <cellStyle name="SAPBEXheaderItem 16 3" xfId="39462"/>
    <cellStyle name="SAPBEXheaderItem 17" xfId="39463"/>
    <cellStyle name="SAPBEXheaderItem 18" xfId="39464"/>
    <cellStyle name="SAPBEXheaderItem 2" xfId="39465"/>
    <cellStyle name="SAPBEXheaderItem 2 2" xfId="39466"/>
    <cellStyle name="SAPBEXheaderItem 2 3" xfId="39467"/>
    <cellStyle name="SAPBEXheaderItem 3" xfId="39468"/>
    <cellStyle name="SAPBEXheaderItem 3 2" xfId="39469"/>
    <cellStyle name="SAPBEXheaderItem 3 3" xfId="39470"/>
    <cellStyle name="SAPBEXheaderItem 4" xfId="39471"/>
    <cellStyle name="SAPBEXheaderItem 4 2" xfId="39472"/>
    <cellStyle name="SAPBEXheaderItem 4 3" xfId="39473"/>
    <cellStyle name="SAPBEXheaderItem 5" xfId="39474"/>
    <cellStyle name="SAPBEXheaderItem 5 2" xfId="39475"/>
    <cellStyle name="SAPBEXheaderItem 5 3" xfId="39476"/>
    <cellStyle name="SAPBEXheaderItem 6" xfId="39477"/>
    <cellStyle name="SAPBEXheaderItem 6 2" xfId="39478"/>
    <cellStyle name="SAPBEXheaderItem 6 3" xfId="39479"/>
    <cellStyle name="SAPBEXheaderItem 7" xfId="39480"/>
    <cellStyle name="SAPBEXheaderItem 7 2" xfId="39481"/>
    <cellStyle name="SAPBEXheaderItem 7 3" xfId="39482"/>
    <cellStyle name="SAPBEXheaderItem 8" xfId="39483"/>
    <cellStyle name="SAPBEXheaderItem 8 2" xfId="39484"/>
    <cellStyle name="SAPBEXheaderItem 8 3" xfId="39485"/>
    <cellStyle name="SAPBEXheaderItem 9" xfId="39486"/>
    <cellStyle name="SAPBEXheaderItem 9 2" xfId="39487"/>
    <cellStyle name="SAPBEXheaderItem 9 3" xfId="39488"/>
    <cellStyle name="SAPBEXheaderText" xfId="39489"/>
    <cellStyle name="SAPBEXheaderText 10" xfId="39490"/>
    <cellStyle name="SAPBEXheaderText 10 2" xfId="39491"/>
    <cellStyle name="SAPBEXheaderText 10 3" xfId="39492"/>
    <cellStyle name="SAPBEXheaderText 11" xfId="39493"/>
    <cellStyle name="SAPBEXheaderText 11 2" xfId="39494"/>
    <cellStyle name="SAPBEXheaderText 11 3" xfId="39495"/>
    <cellStyle name="SAPBEXheaderText 12" xfId="39496"/>
    <cellStyle name="SAPBEXheaderText 12 2" xfId="39497"/>
    <cellStyle name="SAPBEXheaderText 12 3" xfId="39498"/>
    <cellStyle name="SAPBEXheaderText 13" xfId="39499"/>
    <cellStyle name="SAPBEXheaderText 13 2" xfId="39500"/>
    <cellStyle name="SAPBEXheaderText 13 3" xfId="39501"/>
    <cellStyle name="SAPBEXheaderText 14" xfId="39502"/>
    <cellStyle name="SAPBEXheaderText 14 2" xfId="39503"/>
    <cellStyle name="SAPBEXheaderText 14 3" xfId="39504"/>
    <cellStyle name="SAPBEXheaderText 15" xfId="39505"/>
    <cellStyle name="SAPBEXheaderText 15 2" xfId="39506"/>
    <cellStyle name="SAPBEXheaderText 15 3" xfId="39507"/>
    <cellStyle name="SAPBEXheaderText 16" xfId="39508"/>
    <cellStyle name="SAPBEXheaderText 16 2" xfId="39509"/>
    <cellStyle name="SAPBEXheaderText 16 3" xfId="39510"/>
    <cellStyle name="SAPBEXheaderText 17" xfId="39511"/>
    <cellStyle name="SAPBEXheaderText 18" xfId="39512"/>
    <cellStyle name="SAPBEXheaderText 2" xfId="39513"/>
    <cellStyle name="SAPBEXheaderText 2 2" xfId="39514"/>
    <cellStyle name="SAPBEXheaderText 2 3" xfId="39515"/>
    <cellStyle name="SAPBEXheaderText 3" xfId="39516"/>
    <cellStyle name="SAPBEXheaderText 3 2" xfId="39517"/>
    <cellStyle name="SAPBEXheaderText 3 3" xfId="39518"/>
    <cellStyle name="SAPBEXheaderText 4" xfId="39519"/>
    <cellStyle name="SAPBEXheaderText 4 2" xfId="39520"/>
    <cellStyle name="SAPBEXheaderText 4 3" xfId="39521"/>
    <cellStyle name="SAPBEXheaderText 5" xfId="39522"/>
    <cellStyle name="SAPBEXheaderText 5 2" xfId="39523"/>
    <cellStyle name="SAPBEXheaderText 5 3" xfId="39524"/>
    <cellStyle name="SAPBEXheaderText 6" xfId="39525"/>
    <cellStyle name="SAPBEXheaderText 6 2" xfId="39526"/>
    <cellStyle name="SAPBEXheaderText 6 3" xfId="39527"/>
    <cellStyle name="SAPBEXheaderText 7" xfId="39528"/>
    <cellStyle name="SAPBEXheaderText 7 2" xfId="39529"/>
    <cellStyle name="SAPBEXheaderText 7 3" xfId="39530"/>
    <cellStyle name="SAPBEXheaderText 8" xfId="39531"/>
    <cellStyle name="SAPBEXheaderText 8 2" xfId="39532"/>
    <cellStyle name="SAPBEXheaderText 8 3" xfId="39533"/>
    <cellStyle name="SAPBEXheaderText 9" xfId="39534"/>
    <cellStyle name="SAPBEXheaderText 9 2" xfId="39535"/>
    <cellStyle name="SAPBEXheaderText 9 3" xfId="39536"/>
    <cellStyle name="SAPBEXHLevel0" xfId="39537"/>
    <cellStyle name="SAPBEXHLevel0 10" xfId="39538"/>
    <cellStyle name="SAPBEXHLevel0 10 2" xfId="39539"/>
    <cellStyle name="SAPBEXHLevel0 10 3" xfId="39540"/>
    <cellStyle name="SAPBEXHLevel0 10 4" xfId="39541"/>
    <cellStyle name="SAPBEXHLevel0 11" xfId="39542"/>
    <cellStyle name="SAPBEXHLevel0 11 2" xfId="39543"/>
    <cellStyle name="SAPBEXHLevel0 11 3" xfId="39544"/>
    <cellStyle name="SAPBEXHLevel0 11 4" xfId="39545"/>
    <cellStyle name="SAPBEXHLevel0 12" xfId="39546"/>
    <cellStyle name="SAPBEXHLevel0 12 2" xfId="39547"/>
    <cellStyle name="SAPBEXHLevel0 12 3" xfId="39548"/>
    <cellStyle name="SAPBEXHLevel0 12 4" xfId="39549"/>
    <cellStyle name="SAPBEXHLevel0 13" xfId="39550"/>
    <cellStyle name="SAPBEXHLevel0 13 2" xfId="39551"/>
    <cellStyle name="SAPBEXHLevel0 13 3" xfId="39552"/>
    <cellStyle name="SAPBEXHLevel0 13 4" xfId="39553"/>
    <cellStyle name="SAPBEXHLevel0 14" xfId="39554"/>
    <cellStyle name="SAPBEXHLevel0 14 2" xfId="39555"/>
    <cellStyle name="SAPBEXHLevel0 14 3" xfId="39556"/>
    <cellStyle name="SAPBEXHLevel0 14 4" xfId="39557"/>
    <cellStyle name="SAPBEXHLevel0 15" xfId="39558"/>
    <cellStyle name="SAPBEXHLevel0 15 2" xfId="39559"/>
    <cellStyle name="SAPBEXHLevel0 15 3" xfId="39560"/>
    <cellStyle name="SAPBEXHLevel0 15 4" xfId="39561"/>
    <cellStyle name="SAPBEXHLevel0 16" xfId="39562"/>
    <cellStyle name="SAPBEXHLevel0 16 2" xfId="39563"/>
    <cellStyle name="SAPBEXHLevel0 16 3" xfId="39564"/>
    <cellStyle name="SAPBEXHLevel0 16 4" xfId="39565"/>
    <cellStyle name="SAPBEXHLevel0 17" xfId="39566"/>
    <cellStyle name="SAPBEXHLevel0 18" xfId="39567"/>
    <cellStyle name="SAPBEXHLevel0 19" xfId="39568"/>
    <cellStyle name="SAPBEXHLevel0 2" xfId="39569"/>
    <cellStyle name="SAPBEXHLevel0 2 2" xfId="39570"/>
    <cellStyle name="SAPBEXHLevel0 2 3" xfId="39571"/>
    <cellStyle name="SAPBEXHLevel0 2 4" xfId="39572"/>
    <cellStyle name="SAPBEXHLevel0 3" xfId="39573"/>
    <cellStyle name="SAPBEXHLevel0 3 2" xfId="39574"/>
    <cellStyle name="SAPBEXHLevel0 3 3" xfId="39575"/>
    <cellStyle name="SAPBEXHLevel0 3 4" xfId="39576"/>
    <cellStyle name="SAPBEXHLevel0 4" xfId="39577"/>
    <cellStyle name="SAPBEXHLevel0 4 2" xfId="39578"/>
    <cellStyle name="SAPBEXHLevel0 4 3" xfId="39579"/>
    <cellStyle name="SAPBEXHLevel0 4 4" xfId="39580"/>
    <cellStyle name="SAPBEXHLevel0 5" xfId="39581"/>
    <cellStyle name="SAPBEXHLevel0 5 2" xfId="39582"/>
    <cellStyle name="SAPBEXHLevel0 5 3" xfId="39583"/>
    <cellStyle name="SAPBEXHLevel0 5 4" xfId="39584"/>
    <cellStyle name="SAPBEXHLevel0 6" xfId="39585"/>
    <cellStyle name="SAPBEXHLevel0 6 2" xfId="39586"/>
    <cellStyle name="SAPBEXHLevel0 6 3" xfId="39587"/>
    <cellStyle name="SAPBEXHLevel0 6 4" xfId="39588"/>
    <cellStyle name="SAPBEXHLevel0 7" xfId="39589"/>
    <cellStyle name="SAPBEXHLevel0 7 2" xfId="39590"/>
    <cellStyle name="SAPBEXHLevel0 7 3" xfId="39591"/>
    <cellStyle name="SAPBEXHLevel0 7 4" xfId="39592"/>
    <cellStyle name="SAPBEXHLevel0 8" xfId="39593"/>
    <cellStyle name="SAPBEXHLevel0 8 2" xfId="39594"/>
    <cellStyle name="SAPBEXHLevel0 8 3" xfId="39595"/>
    <cellStyle name="SAPBEXHLevel0 8 4" xfId="39596"/>
    <cellStyle name="SAPBEXHLevel0 9" xfId="39597"/>
    <cellStyle name="SAPBEXHLevel0 9 2" xfId="39598"/>
    <cellStyle name="SAPBEXHLevel0 9 3" xfId="39599"/>
    <cellStyle name="SAPBEXHLevel0 9 4" xfId="39600"/>
    <cellStyle name="SAPBEXHLevel0X" xfId="39601"/>
    <cellStyle name="SAPBEXHLevel0X 10" xfId="39602"/>
    <cellStyle name="SAPBEXHLevel0X 10 2" xfId="39603"/>
    <cellStyle name="SAPBEXHLevel0X 10 3" xfId="39604"/>
    <cellStyle name="SAPBEXHLevel0X 11" xfId="39605"/>
    <cellStyle name="SAPBEXHLevel0X 11 2" xfId="39606"/>
    <cellStyle name="SAPBEXHLevel0X 11 3" xfId="39607"/>
    <cellStyle name="SAPBEXHLevel0X 12" xfId="39608"/>
    <cellStyle name="SAPBEXHLevel0X 12 2" xfId="39609"/>
    <cellStyle name="SAPBEXHLevel0X 12 3" xfId="39610"/>
    <cellStyle name="SAPBEXHLevel0X 13" xfId="39611"/>
    <cellStyle name="SAPBEXHLevel0X 13 2" xfId="39612"/>
    <cellStyle name="SAPBEXHLevel0X 13 3" xfId="39613"/>
    <cellStyle name="SAPBEXHLevel0X 14" xfId="39614"/>
    <cellStyle name="SAPBEXHLevel0X 14 2" xfId="39615"/>
    <cellStyle name="SAPBEXHLevel0X 14 3" xfId="39616"/>
    <cellStyle name="SAPBEXHLevel0X 15" xfId="39617"/>
    <cellStyle name="SAPBEXHLevel0X 15 2" xfId="39618"/>
    <cellStyle name="SAPBEXHLevel0X 15 3" xfId="39619"/>
    <cellStyle name="SAPBEXHLevel0X 16" xfId="39620"/>
    <cellStyle name="SAPBEXHLevel0X 16 2" xfId="39621"/>
    <cellStyle name="SAPBEXHLevel0X 16 3" xfId="39622"/>
    <cellStyle name="SAPBEXHLevel0X 17" xfId="39623"/>
    <cellStyle name="SAPBEXHLevel0X 18" xfId="39624"/>
    <cellStyle name="SAPBEXHLevel0X 2" xfId="39625"/>
    <cellStyle name="SAPBEXHLevel0X 2 2" xfId="39626"/>
    <cellStyle name="SAPBEXHLevel0X 2 3" xfId="39627"/>
    <cellStyle name="SAPBEXHLevel0X 3" xfId="39628"/>
    <cellStyle name="SAPBEXHLevel0X 3 2" xfId="39629"/>
    <cellStyle name="SAPBEXHLevel0X 3 3" xfId="39630"/>
    <cellStyle name="SAPBEXHLevel0X 4" xfId="39631"/>
    <cellStyle name="SAPBEXHLevel0X 4 2" xfId="39632"/>
    <cellStyle name="SAPBEXHLevel0X 4 3" xfId="39633"/>
    <cellStyle name="SAPBEXHLevel0X 5" xfId="39634"/>
    <cellStyle name="SAPBEXHLevel0X 5 2" xfId="39635"/>
    <cellStyle name="SAPBEXHLevel0X 5 3" xfId="39636"/>
    <cellStyle name="SAPBEXHLevel0X 6" xfId="39637"/>
    <cellStyle name="SAPBEXHLevel0X 6 2" xfId="39638"/>
    <cellStyle name="SAPBEXHLevel0X 6 3" xfId="39639"/>
    <cellStyle name="SAPBEXHLevel0X 7" xfId="39640"/>
    <cellStyle name="SAPBEXHLevel0X 7 2" xfId="39641"/>
    <cellStyle name="SAPBEXHLevel0X 7 3" xfId="39642"/>
    <cellStyle name="SAPBEXHLevel0X 8" xfId="39643"/>
    <cellStyle name="SAPBEXHLevel0X 8 2" xfId="39644"/>
    <cellStyle name="SAPBEXHLevel0X 8 3" xfId="39645"/>
    <cellStyle name="SAPBEXHLevel0X 9" xfId="39646"/>
    <cellStyle name="SAPBEXHLevel0X 9 2" xfId="39647"/>
    <cellStyle name="SAPBEXHLevel0X 9 3" xfId="39648"/>
    <cellStyle name="SAPBEXHLevel1" xfId="39649"/>
    <cellStyle name="SAPBEXHLevel1 10" xfId="39650"/>
    <cellStyle name="SAPBEXHLevel1 10 2" xfId="39651"/>
    <cellStyle name="SAPBEXHLevel1 10 3" xfId="39652"/>
    <cellStyle name="SAPBEXHLevel1 10 4" xfId="39653"/>
    <cellStyle name="SAPBEXHLevel1 11" xfId="39654"/>
    <cellStyle name="SAPBEXHLevel1 11 2" xfId="39655"/>
    <cellStyle name="SAPBEXHLevel1 11 3" xfId="39656"/>
    <cellStyle name="SAPBEXHLevel1 11 4" xfId="39657"/>
    <cellStyle name="SAPBEXHLevel1 12" xfId="39658"/>
    <cellStyle name="SAPBEXHLevel1 12 2" xfId="39659"/>
    <cellStyle name="SAPBEXHLevel1 12 3" xfId="39660"/>
    <cellStyle name="SAPBEXHLevel1 12 4" xfId="39661"/>
    <cellStyle name="SAPBEXHLevel1 13" xfId="39662"/>
    <cellStyle name="SAPBEXHLevel1 13 2" xfId="39663"/>
    <cellStyle name="SAPBEXHLevel1 13 3" xfId="39664"/>
    <cellStyle name="SAPBEXHLevel1 13 4" xfId="39665"/>
    <cellStyle name="SAPBEXHLevel1 14" xfId="39666"/>
    <cellStyle name="SAPBEXHLevel1 14 2" xfId="39667"/>
    <cellStyle name="SAPBEXHLevel1 14 3" xfId="39668"/>
    <cellStyle name="SAPBEXHLevel1 14 4" xfId="39669"/>
    <cellStyle name="SAPBEXHLevel1 15" xfId="39670"/>
    <cellStyle name="SAPBEXHLevel1 15 2" xfId="39671"/>
    <cellStyle name="SAPBEXHLevel1 15 3" xfId="39672"/>
    <cellStyle name="SAPBEXHLevel1 15 4" xfId="39673"/>
    <cellStyle name="SAPBEXHLevel1 16" xfId="39674"/>
    <cellStyle name="SAPBEXHLevel1 16 2" xfId="39675"/>
    <cellStyle name="SAPBEXHLevel1 16 3" xfId="39676"/>
    <cellStyle name="SAPBEXHLevel1 16 4" xfId="39677"/>
    <cellStyle name="SAPBEXHLevel1 17" xfId="39678"/>
    <cellStyle name="SAPBEXHLevel1 18" xfId="39679"/>
    <cellStyle name="SAPBEXHLevel1 19" xfId="39680"/>
    <cellStyle name="SAPBEXHLevel1 2" xfId="39681"/>
    <cellStyle name="SAPBEXHLevel1 2 2" xfId="39682"/>
    <cellStyle name="SAPBEXHLevel1 2 3" xfId="39683"/>
    <cellStyle name="SAPBEXHLevel1 2 4" xfId="39684"/>
    <cellStyle name="SAPBEXHLevel1 3" xfId="39685"/>
    <cellStyle name="SAPBEXHLevel1 3 2" xfId="39686"/>
    <cellStyle name="SAPBEXHLevel1 3 3" xfId="39687"/>
    <cellStyle name="SAPBEXHLevel1 3 4" xfId="39688"/>
    <cellStyle name="SAPBEXHLevel1 4" xfId="39689"/>
    <cellStyle name="SAPBEXHLevel1 4 2" xfId="39690"/>
    <cellStyle name="SAPBEXHLevel1 4 3" xfId="39691"/>
    <cellStyle name="SAPBEXHLevel1 4 4" xfId="39692"/>
    <cellStyle name="SAPBEXHLevel1 5" xfId="39693"/>
    <cellStyle name="SAPBEXHLevel1 5 2" xfId="39694"/>
    <cellStyle name="SAPBEXHLevel1 5 3" xfId="39695"/>
    <cellStyle name="SAPBEXHLevel1 5 4" xfId="39696"/>
    <cellStyle name="SAPBEXHLevel1 6" xfId="39697"/>
    <cellStyle name="SAPBEXHLevel1 6 2" xfId="39698"/>
    <cellStyle name="SAPBEXHLevel1 6 3" xfId="39699"/>
    <cellStyle name="SAPBEXHLevel1 6 4" xfId="39700"/>
    <cellStyle name="SAPBEXHLevel1 7" xfId="39701"/>
    <cellStyle name="SAPBEXHLevel1 7 2" xfId="39702"/>
    <cellStyle name="SAPBEXHLevel1 7 3" xfId="39703"/>
    <cellStyle name="SAPBEXHLevel1 7 4" xfId="39704"/>
    <cellStyle name="SAPBEXHLevel1 8" xfId="39705"/>
    <cellStyle name="SAPBEXHLevel1 8 2" xfId="39706"/>
    <cellStyle name="SAPBEXHLevel1 8 3" xfId="39707"/>
    <cellStyle name="SAPBEXHLevel1 8 4" xfId="39708"/>
    <cellStyle name="SAPBEXHLevel1 9" xfId="39709"/>
    <cellStyle name="SAPBEXHLevel1 9 2" xfId="39710"/>
    <cellStyle name="SAPBEXHLevel1 9 3" xfId="39711"/>
    <cellStyle name="SAPBEXHLevel1 9 4" xfId="39712"/>
    <cellStyle name="SAPBEXHLevel1X" xfId="39713"/>
    <cellStyle name="SAPBEXHLevel1X 10" xfId="39714"/>
    <cellStyle name="SAPBEXHLevel1X 10 2" xfId="39715"/>
    <cellStyle name="SAPBEXHLevel1X 10 3" xfId="39716"/>
    <cellStyle name="SAPBEXHLevel1X 11" xfId="39717"/>
    <cellStyle name="SAPBEXHLevel1X 11 2" xfId="39718"/>
    <cellStyle name="SAPBEXHLevel1X 11 3" xfId="39719"/>
    <cellStyle name="SAPBEXHLevel1X 12" xfId="39720"/>
    <cellStyle name="SAPBEXHLevel1X 12 2" xfId="39721"/>
    <cellStyle name="SAPBEXHLevel1X 12 3" xfId="39722"/>
    <cellStyle name="SAPBEXHLevel1X 13" xfId="39723"/>
    <cellStyle name="SAPBEXHLevel1X 13 2" xfId="39724"/>
    <cellStyle name="SAPBEXHLevel1X 13 3" xfId="39725"/>
    <cellStyle name="SAPBEXHLevel1X 14" xfId="39726"/>
    <cellStyle name="SAPBEXHLevel1X 14 2" xfId="39727"/>
    <cellStyle name="SAPBEXHLevel1X 14 3" xfId="39728"/>
    <cellStyle name="SAPBEXHLevel1X 15" xfId="39729"/>
    <cellStyle name="SAPBEXHLevel1X 15 2" xfId="39730"/>
    <cellStyle name="SAPBEXHLevel1X 15 3" xfId="39731"/>
    <cellStyle name="SAPBEXHLevel1X 16" xfId="39732"/>
    <cellStyle name="SAPBEXHLevel1X 16 2" xfId="39733"/>
    <cellStyle name="SAPBEXHLevel1X 16 3" xfId="39734"/>
    <cellStyle name="SAPBEXHLevel1X 17" xfId="39735"/>
    <cellStyle name="SAPBEXHLevel1X 18" xfId="39736"/>
    <cellStyle name="SAPBEXHLevel1X 2" xfId="39737"/>
    <cellStyle name="SAPBEXHLevel1X 2 2" xfId="39738"/>
    <cellStyle name="SAPBEXHLevel1X 2 3" xfId="39739"/>
    <cellStyle name="SAPBEXHLevel1X 3" xfId="39740"/>
    <cellStyle name="SAPBEXHLevel1X 3 2" xfId="39741"/>
    <cellStyle name="SAPBEXHLevel1X 3 3" xfId="39742"/>
    <cellStyle name="SAPBEXHLevel1X 4" xfId="39743"/>
    <cellStyle name="SAPBEXHLevel1X 4 2" xfId="39744"/>
    <cellStyle name="SAPBEXHLevel1X 4 3" xfId="39745"/>
    <cellStyle name="SAPBEXHLevel1X 5" xfId="39746"/>
    <cellStyle name="SAPBEXHLevel1X 5 2" xfId="39747"/>
    <cellStyle name="SAPBEXHLevel1X 5 3" xfId="39748"/>
    <cellStyle name="SAPBEXHLevel1X 6" xfId="39749"/>
    <cellStyle name="SAPBEXHLevel1X 6 2" xfId="39750"/>
    <cellStyle name="SAPBEXHLevel1X 6 3" xfId="39751"/>
    <cellStyle name="SAPBEXHLevel1X 7" xfId="39752"/>
    <cellStyle name="SAPBEXHLevel1X 7 2" xfId="39753"/>
    <cellStyle name="SAPBEXHLevel1X 7 3" xfId="39754"/>
    <cellStyle name="SAPBEXHLevel1X 8" xfId="39755"/>
    <cellStyle name="SAPBEXHLevel1X 8 2" xfId="39756"/>
    <cellStyle name="SAPBEXHLevel1X 8 3" xfId="39757"/>
    <cellStyle name="SAPBEXHLevel1X 9" xfId="39758"/>
    <cellStyle name="SAPBEXHLevel1X 9 2" xfId="39759"/>
    <cellStyle name="SAPBEXHLevel1X 9 3" xfId="39760"/>
    <cellStyle name="SAPBEXHLevel2" xfId="39761"/>
    <cellStyle name="SAPBEXHLevel2 10" xfId="39762"/>
    <cellStyle name="SAPBEXHLevel2 10 2" xfId="39763"/>
    <cellStyle name="SAPBEXHLevel2 10 3" xfId="39764"/>
    <cellStyle name="SAPBEXHLevel2 10 4" xfId="39765"/>
    <cellStyle name="SAPBEXHLevel2 11" xfId="39766"/>
    <cellStyle name="SAPBEXHLevel2 11 2" xfId="39767"/>
    <cellStyle name="SAPBEXHLevel2 11 3" xfId="39768"/>
    <cellStyle name="SAPBEXHLevel2 11 4" xfId="39769"/>
    <cellStyle name="SAPBEXHLevel2 12" xfId="39770"/>
    <cellStyle name="SAPBEXHLevel2 12 2" xfId="39771"/>
    <cellStyle name="SAPBEXHLevel2 12 3" xfId="39772"/>
    <cellStyle name="SAPBEXHLevel2 12 4" xfId="39773"/>
    <cellStyle name="SAPBEXHLevel2 13" xfId="39774"/>
    <cellStyle name="SAPBEXHLevel2 13 2" xfId="39775"/>
    <cellStyle name="SAPBEXHLevel2 13 3" xfId="39776"/>
    <cellStyle name="SAPBEXHLevel2 13 4" xfId="39777"/>
    <cellStyle name="SAPBEXHLevel2 14" xfId="39778"/>
    <cellStyle name="SAPBEXHLevel2 14 2" xfId="39779"/>
    <cellStyle name="SAPBEXHLevel2 14 3" xfId="39780"/>
    <cellStyle name="SAPBEXHLevel2 14 4" xfId="39781"/>
    <cellStyle name="SAPBEXHLevel2 15" xfId="39782"/>
    <cellStyle name="SAPBEXHLevel2 15 2" xfId="39783"/>
    <cellStyle name="SAPBEXHLevel2 15 3" xfId="39784"/>
    <cellStyle name="SAPBEXHLevel2 15 4" xfId="39785"/>
    <cellStyle name="SAPBEXHLevel2 16" xfId="39786"/>
    <cellStyle name="SAPBEXHLevel2 16 2" xfId="39787"/>
    <cellStyle name="SAPBEXHLevel2 16 3" xfId="39788"/>
    <cellStyle name="SAPBEXHLevel2 16 4" xfId="39789"/>
    <cellStyle name="SAPBEXHLevel2 17" xfId="39790"/>
    <cellStyle name="SAPBEXHLevel2 18" xfId="39791"/>
    <cellStyle name="SAPBEXHLevel2 19" xfId="39792"/>
    <cellStyle name="SAPBEXHLevel2 2" xfId="39793"/>
    <cellStyle name="SAPBEXHLevel2 2 2" xfId="39794"/>
    <cellStyle name="SAPBEXHLevel2 2 3" xfId="39795"/>
    <cellStyle name="SAPBEXHLevel2 2 4" xfId="39796"/>
    <cellStyle name="SAPBEXHLevel2 3" xfId="39797"/>
    <cellStyle name="SAPBEXHLevel2 3 2" xfId="39798"/>
    <cellStyle name="SAPBEXHLevel2 3 3" xfId="39799"/>
    <cellStyle name="SAPBEXHLevel2 3 4" xfId="39800"/>
    <cellStyle name="SAPBEXHLevel2 4" xfId="39801"/>
    <cellStyle name="SAPBEXHLevel2 4 2" xfId="39802"/>
    <cellStyle name="SAPBEXHLevel2 4 3" xfId="39803"/>
    <cellStyle name="SAPBEXHLevel2 4 4" xfId="39804"/>
    <cellStyle name="SAPBEXHLevel2 5" xfId="39805"/>
    <cellStyle name="SAPBEXHLevel2 5 2" xfId="39806"/>
    <cellStyle name="SAPBEXHLevel2 5 3" xfId="39807"/>
    <cellStyle name="SAPBEXHLevel2 5 4" xfId="39808"/>
    <cellStyle name="SAPBEXHLevel2 6" xfId="39809"/>
    <cellStyle name="SAPBEXHLevel2 6 2" xfId="39810"/>
    <cellStyle name="SAPBEXHLevel2 6 3" xfId="39811"/>
    <cellStyle name="SAPBEXHLevel2 6 4" xfId="39812"/>
    <cellStyle name="SAPBEXHLevel2 7" xfId="39813"/>
    <cellStyle name="SAPBEXHLevel2 7 2" xfId="39814"/>
    <cellStyle name="SAPBEXHLevel2 7 3" xfId="39815"/>
    <cellStyle name="SAPBEXHLevel2 7 4" xfId="39816"/>
    <cellStyle name="SAPBEXHLevel2 8" xfId="39817"/>
    <cellStyle name="SAPBEXHLevel2 8 2" xfId="39818"/>
    <cellStyle name="SAPBEXHLevel2 8 3" xfId="39819"/>
    <cellStyle name="SAPBEXHLevel2 8 4" xfId="39820"/>
    <cellStyle name="SAPBEXHLevel2 9" xfId="39821"/>
    <cellStyle name="SAPBEXHLevel2 9 2" xfId="39822"/>
    <cellStyle name="SAPBEXHLevel2 9 3" xfId="39823"/>
    <cellStyle name="SAPBEXHLevel2 9 4" xfId="39824"/>
    <cellStyle name="SAPBEXHLevel2X" xfId="39825"/>
    <cellStyle name="SAPBEXHLevel2X 10" xfId="39826"/>
    <cellStyle name="SAPBEXHLevel2X 10 2" xfId="39827"/>
    <cellStyle name="SAPBEXHLevel2X 10 3" xfId="39828"/>
    <cellStyle name="SAPBEXHLevel2X 11" xfId="39829"/>
    <cellStyle name="SAPBEXHLevel2X 11 2" xfId="39830"/>
    <cellStyle name="SAPBEXHLevel2X 11 3" xfId="39831"/>
    <cellStyle name="SAPBEXHLevel2X 12" xfId="39832"/>
    <cellStyle name="SAPBEXHLevel2X 12 2" xfId="39833"/>
    <cellStyle name="SAPBEXHLevel2X 12 3" xfId="39834"/>
    <cellStyle name="SAPBEXHLevel2X 13" xfId="39835"/>
    <cellStyle name="SAPBEXHLevel2X 13 2" xfId="39836"/>
    <cellStyle name="SAPBEXHLevel2X 13 3" xfId="39837"/>
    <cellStyle name="SAPBEXHLevel2X 14" xfId="39838"/>
    <cellStyle name="SAPBEXHLevel2X 14 2" xfId="39839"/>
    <cellStyle name="SAPBEXHLevel2X 14 3" xfId="39840"/>
    <cellStyle name="SAPBEXHLevel2X 15" xfId="39841"/>
    <cellStyle name="SAPBEXHLevel2X 15 2" xfId="39842"/>
    <cellStyle name="SAPBEXHLevel2X 15 3" xfId="39843"/>
    <cellStyle name="SAPBEXHLevel2X 16" xfId="39844"/>
    <cellStyle name="SAPBEXHLevel2X 16 2" xfId="39845"/>
    <cellStyle name="SAPBEXHLevel2X 16 3" xfId="39846"/>
    <cellStyle name="SAPBEXHLevel2X 17" xfId="39847"/>
    <cellStyle name="SAPBEXHLevel2X 18" xfId="39848"/>
    <cellStyle name="SAPBEXHLevel2X 2" xfId="39849"/>
    <cellStyle name="SAPBEXHLevel2X 2 2" xfId="39850"/>
    <cellStyle name="SAPBEXHLevel2X 2 3" xfId="39851"/>
    <cellStyle name="SAPBEXHLevel2X 3" xfId="39852"/>
    <cellStyle name="SAPBEXHLevel2X 3 2" xfId="39853"/>
    <cellStyle name="SAPBEXHLevel2X 3 3" xfId="39854"/>
    <cellStyle name="SAPBEXHLevel2X 4" xfId="39855"/>
    <cellStyle name="SAPBEXHLevel2X 4 2" xfId="39856"/>
    <cellStyle name="SAPBEXHLevel2X 4 3" xfId="39857"/>
    <cellStyle name="SAPBEXHLevel2X 5" xfId="39858"/>
    <cellStyle name="SAPBEXHLevel2X 5 2" xfId="39859"/>
    <cellStyle name="SAPBEXHLevel2X 5 3" xfId="39860"/>
    <cellStyle name="SAPBEXHLevel2X 6" xfId="39861"/>
    <cellStyle name="SAPBEXHLevel2X 6 2" xfId="39862"/>
    <cellStyle name="SAPBEXHLevel2X 6 3" xfId="39863"/>
    <cellStyle name="SAPBEXHLevel2X 7" xfId="39864"/>
    <cellStyle name="SAPBEXHLevel2X 7 2" xfId="39865"/>
    <cellStyle name="SAPBEXHLevel2X 7 3" xfId="39866"/>
    <cellStyle name="SAPBEXHLevel2X 8" xfId="39867"/>
    <cellStyle name="SAPBEXHLevel2X 8 2" xfId="39868"/>
    <cellStyle name="SAPBEXHLevel2X 8 3" xfId="39869"/>
    <cellStyle name="SAPBEXHLevel2X 9" xfId="39870"/>
    <cellStyle name="SAPBEXHLevel2X 9 2" xfId="39871"/>
    <cellStyle name="SAPBEXHLevel2X 9 3" xfId="39872"/>
    <cellStyle name="SAPBEXHLevel3" xfId="39873"/>
    <cellStyle name="SAPBEXHLevel3 10" xfId="39874"/>
    <cellStyle name="SAPBEXHLevel3 10 2" xfId="39875"/>
    <cellStyle name="SAPBEXHLevel3 10 3" xfId="39876"/>
    <cellStyle name="SAPBEXHLevel3 10 4" xfId="39877"/>
    <cellStyle name="SAPBEXHLevel3 11" xfId="39878"/>
    <cellStyle name="SAPBEXHLevel3 11 2" xfId="39879"/>
    <cellStyle name="SAPBEXHLevel3 11 3" xfId="39880"/>
    <cellStyle name="SAPBEXHLevel3 11 4" xfId="39881"/>
    <cellStyle name="SAPBEXHLevel3 12" xfId="39882"/>
    <cellStyle name="SAPBEXHLevel3 12 2" xfId="39883"/>
    <cellStyle name="SAPBEXHLevel3 12 3" xfId="39884"/>
    <cellStyle name="SAPBEXHLevel3 12 4" xfId="39885"/>
    <cellStyle name="SAPBEXHLevel3 13" xfId="39886"/>
    <cellStyle name="SAPBEXHLevel3 13 2" xfId="39887"/>
    <cellStyle name="SAPBEXHLevel3 13 3" xfId="39888"/>
    <cellStyle name="SAPBEXHLevel3 13 4" xfId="39889"/>
    <cellStyle name="SAPBEXHLevel3 14" xfId="39890"/>
    <cellStyle name="SAPBEXHLevel3 14 2" xfId="39891"/>
    <cellStyle name="SAPBEXHLevel3 14 3" xfId="39892"/>
    <cellStyle name="SAPBEXHLevel3 14 4" xfId="39893"/>
    <cellStyle name="SAPBEXHLevel3 15" xfId="39894"/>
    <cellStyle name="SAPBEXHLevel3 15 2" xfId="39895"/>
    <cellStyle name="SAPBEXHLevel3 15 3" xfId="39896"/>
    <cellStyle name="SAPBEXHLevel3 15 4" xfId="39897"/>
    <cellStyle name="SAPBEXHLevel3 16" xfId="39898"/>
    <cellStyle name="SAPBEXHLevel3 16 2" xfId="39899"/>
    <cellStyle name="SAPBEXHLevel3 16 3" xfId="39900"/>
    <cellStyle name="SAPBEXHLevel3 16 4" xfId="39901"/>
    <cellStyle name="SAPBEXHLevel3 17" xfId="39902"/>
    <cellStyle name="SAPBEXHLevel3 18" xfId="39903"/>
    <cellStyle name="SAPBEXHLevel3 19" xfId="39904"/>
    <cellStyle name="SAPBEXHLevel3 2" xfId="39905"/>
    <cellStyle name="SAPBEXHLevel3 2 2" xfId="39906"/>
    <cellStyle name="SAPBEXHLevel3 2 3" xfId="39907"/>
    <cellStyle name="SAPBEXHLevel3 2 4" xfId="39908"/>
    <cellStyle name="SAPBEXHLevel3 3" xfId="39909"/>
    <cellStyle name="SAPBEXHLevel3 3 2" xfId="39910"/>
    <cellStyle name="SAPBEXHLevel3 3 3" xfId="39911"/>
    <cellStyle name="SAPBEXHLevel3 3 4" xfId="39912"/>
    <cellStyle name="SAPBEXHLevel3 4" xfId="39913"/>
    <cellStyle name="SAPBEXHLevel3 4 2" xfId="39914"/>
    <cellStyle name="SAPBEXHLevel3 4 3" xfId="39915"/>
    <cellStyle name="SAPBEXHLevel3 4 4" xfId="39916"/>
    <cellStyle name="SAPBEXHLevel3 5" xfId="39917"/>
    <cellStyle name="SAPBEXHLevel3 5 2" xfId="39918"/>
    <cellStyle name="SAPBEXHLevel3 5 3" xfId="39919"/>
    <cellStyle name="SAPBEXHLevel3 5 4" xfId="39920"/>
    <cellStyle name="SAPBEXHLevel3 6" xfId="39921"/>
    <cellStyle name="SAPBEXHLevel3 6 2" xfId="39922"/>
    <cellStyle name="SAPBEXHLevel3 6 3" xfId="39923"/>
    <cellStyle name="SAPBEXHLevel3 6 4" xfId="39924"/>
    <cellStyle name="SAPBEXHLevel3 7" xfId="39925"/>
    <cellStyle name="SAPBEXHLevel3 7 2" xfId="39926"/>
    <cellStyle name="SAPBEXHLevel3 7 3" xfId="39927"/>
    <cellStyle name="SAPBEXHLevel3 7 4" xfId="39928"/>
    <cellStyle name="SAPBEXHLevel3 8" xfId="39929"/>
    <cellStyle name="SAPBEXHLevel3 8 2" xfId="39930"/>
    <cellStyle name="SAPBEXHLevel3 8 3" xfId="39931"/>
    <cellStyle name="SAPBEXHLevel3 8 4" xfId="39932"/>
    <cellStyle name="SAPBEXHLevel3 9" xfId="39933"/>
    <cellStyle name="SAPBEXHLevel3 9 2" xfId="39934"/>
    <cellStyle name="SAPBEXHLevel3 9 3" xfId="39935"/>
    <cellStyle name="SAPBEXHLevel3 9 4" xfId="39936"/>
    <cellStyle name="SAPBEXHLevel3X" xfId="39937"/>
    <cellStyle name="SAPBEXHLevel3X 10" xfId="39938"/>
    <cellStyle name="SAPBEXHLevel3X 10 2" xfId="39939"/>
    <cellStyle name="SAPBEXHLevel3X 10 3" xfId="39940"/>
    <cellStyle name="SAPBEXHLevel3X 11" xfId="39941"/>
    <cellStyle name="SAPBEXHLevel3X 11 2" xfId="39942"/>
    <cellStyle name="SAPBEXHLevel3X 11 3" xfId="39943"/>
    <cellStyle name="SAPBEXHLevel3X 12" xfId="39944"/>
    <cellStyle name="SAPBEXHLevel3X 12 2" xfId="39945"/>
    <cellStyle name="SAPBEXHLevel3X 12 3" xfId="39946"/>
    <cellStyle name="SAPBEXHLevel3X 13" xfId="39947"/>
    <cellStyle name="SAPBEXHLevel3X 13 2" xfId="39948"/>
    <cellStyle name="SAPBEXHLevel3X 13 3" xfId="39949"/>
    <cellStyle name="SAPBEXHLevel3X 14" xfId="39950"/>
    <cellStyle name="SAPBEXHLevel3X 14 2" xfId="39951"/>
    <cellStyle name="SAPBEXHLevel3X 14 3" xfId="39952"/>
    <cellStyle name="SAPBEXHLevel3X 15" xfId="39953"/>
    <cellStyle name="SAPBEXHLevel3X 15 2" xfId="39954"/>
    <cellStyle name="SAPBEXHLevel3X 15 3" xfId="39955"/>
    <cellStyle name="SAPBEXHLevel3X 16" xfId="39956"/>
    <cellStyle name="SAPBEXHLevel3X 16 2" xfId="39957"/>
    <cellStyle name="SAPBEXHLevel3X 16 3" xfId="39958"/>
    <cellStyle name="SAPBEXHLevel3X 17" xfId="39959"/>
    <cellStyle name="SAPBEXHLevel3X 18" xfId="39960"/>
    <cellStyle name="SAPBEXHLevel3X 2" xfId="39961"/>
    <cellStyle name="SAPBEXHLevel3X 2 2" xfId="39962"/>
    <cellStyle name="SAPBEXHLevel3X 2 3" xfId="39963"/>
    <cellStyle name="SAPBEXHLevel3X 3" xfId="39964"/>
    <cellStyle name="SAPBEXHLevel3X 3 2" xfId="39965"/>
    <cellStyle name="SAPBEXHLevel3X 3 3" xfId="39966"/>
    <cellStyle name="SAPBEXHLevel3X 4" xfId="39967"/>
    <cellStyle name="SAPBEXHLevel3X 4 2" xfId="39968"/>
    <cellStyle name="SAPBEXHLevel3X 4 3" xfId="39969"/>
    <cellStyle name="SAPBEXHLevel3X 5" xfId="39970"/>
    <cellStyle name="SAPBEXHLevel3X 5 2" xfId="39971"/>
    <cellStyle name="SAPBEXHLevel3X 5 3" xfId="39972"/>
    <cellStyle name="SAPBEXHLevel3X 6" xfId="39973"/>
    <cellStyle name="SAPBEXHLevel3X 6 2" xfId="39974"/>
    <cellStyle name="SAPBEXHLevel3X 6 3" xfId="39975"/>
    <cellStyle name="SAPBEXHLevel3X 7" xfId="39976"/>
    <cellStyle name="SAPBEXHLevel3X 7 2" xfId="39977"/>
    <cellStyle name="SAPBEXHLevel3X 7 3" xfId="39978"/>
    <cellStyle name="SAPBEXHLevel3X 8" xfId="39979"/>
    <cellStyle name="SAPBEXHLevel3X 8 2" xfId="39980"/>
    <cellStyle name="SAPBEXHLevel3X 8 3" xfId="39981"/>
    <cellStyle name="SAPBEXHLevel3X 9" xfId="39982"/>
    <cellStyle name="SAPBEXHLevel3X 9 2" xfId="39983"/>
    <cellStyle name="SAPBEXHLevel3X 9 3" xfId="39984"/>
    <cellStyle name="SAPBEXinputData" xfId="39985"/>
    <cellStyle name="SAPBEXinputData 2" xfId="39986"/>
    <cellStyle name="SAPBEXItemHeader" xfId="39987"/>
    <cellStyle name="SAPBEXItemHeader 10" xfId="39988"/>
    <cellStyle name="SAPBEXItemHeader 10 2" xfId="39989"/>
    <cellStyle name="SAPBEXItemHeader 10 3" xfId="39990"/>
    <cellStyle name="SAPBEXItemHeader 11" xfId="39991"/>
    <cellStyle name="SAPBEXItemHeader 11 2" xfId="39992"/>
    <cellStyle name="SAPBEXItemHeader 11 3" xfId="39993"/>
    <cellStyle name="SAPBEXItemHeader 12" xfId="39994"/>
    <cellStyle name="SAPBEXItemHeader 12 2" xfId="39995"/>
    <cellStyle name="SAPBEXItemHeader 12 3" xfId="39996"/>
    <cellStyle name="SAPBEXItemHeader 13" xfId="39997"/>
    <cellStyle name="SAPBEXItemHeader 13 2" xfId="39998"/>
    <cellStyle name="SAPBEXItemHeader 13 3" xfId="39999"/>
    <cellStyle name="SAPBEXItemHeader 14" xfId="40000"/>
    <cellStyle name="SAPBEXItemHeader 14 2" xfId="40001"/>
    <cellStyle name="SAPBEXItemHeader 14 3" xfId="40002"/>
    <cellStyle name="SAPBEXItemHeader 15" xfId="40003"/>
    <cellStyle name="SAPBEXItemHeader 15 2" xfId="40004"/>
    <cellStyle name="SAPBEXItemHeader 15 3" xfId="40005"/>
    <cellStyle name="SAPBEXItemHeader 16" xfId="40006"/>
    <cellStyle name="SAPBEXItemHeader 16 2" xfId="40007"/>
    <cellStyle name="SAPBEXItemHeader 16 3" xfId="40008"/>
    <cellStyle name="SAPBEXItemHeader 17" xfId="40009"/>
    <cellStyle name="SAPBEXItemHeader 18" xfId="40010"/>
    <cellStyle name="SAPBEXItemHeader 2" xfId="40011"/>
    <cellStyle name="SAPBEXItemHeader 2 2" xfId="40012"/>
    <cellStyle name="SAPBEXItemHeader 2 3" xfId="40013"/>
    <cellStyle name="SAPBEXItemHeader 3" xfId="40014"/>
    <cellStyle name="SAPBEXItemHeader 3 2" xfId="40015"/>
    <cellStyle name="SAPBEXItemHeader 3 3" xfId="40016"/>
    <cellStyle name="SAPBEXItemHeader 4" xfId="40017"/>
    <cellStyle name="SAPBEXItemHeader 4 2" xfId="40018"/>
    <cellStyle name="SAPBEXItemHeader 4 3" xfId="40019"/>
    <cellStyle name="SAPBEXItemHeader 5" xfId="40020"/>
    <cellStyle name="SAPBEXItemHeader 5 2" xfId="40021"/>
    <cellStyle name="SAPBEXItemHeader 5 3" xfId="40022"/>
    <cellStyle name="SAPBEXItemHeader 6" xfId="40023"/>
    <cellStyle name="SAPBEXItemHeader 6 2" xfId="40024"/>
    <cellStyle name="SAPBEXItemHeader 6 3" xfId="40025"/>
    <cellStyle name="SAPBEXItemHeader 7" xfId="40026"/>
    <cellStyle name="SAPBEXItemHeader 7 2" xfId="40027"/>
    <cellStyle name="SAPBEXItemHeader 7 3" xfId="40028"/>
    <cellStyle name="SAPBEXItemHeader 8" xfId="40029"/>
    <cellStyle name="SAPBEXItemHeader 8 2" xfId="40030"/>
    <cellStyle name="SAPBEXItemHeader 8 3" xfId="40031"/>
    <cellStyle name="SAPBEXItemHeader 9" xfId="40032"/>
    <cellStyle name="SAPBEXItemHeader 9 2" xfId="40033"/>
    <cellStyle name="SAPBEXItemHeader 9 3" xfId="40034"/>
    <cellStyle name="SAPBEXresData" xfId="40035"/>
    <cellStyle name="SAPBEXresData 10" xfId="40036"/>
    <cellStyle name="SAPBEXresData 10 2" xfId="40037"/>
    <cellStyle name="SAPBEXresData 10 3" xfId="40038"/>
    <cellStyle name="SAPBEXresData 11" xfId="40039"/>
    <cellStyle name="SAPBEXresData 11 2" xfId="40040"/>
    <cellStyle name="SAPBEXresData 11 3" xfId="40041"/>
    <cellStyle name="SAPBEXresData 12" xfId="40042"/>
    <cellStyle name="SAPBEXresData 12 2" xfId="40043"/>
    <cellStyle name="SAPBEXresData 12 3" xfId="40044"/>
    <cellStyle name="SAPBEXresData 13" xfId="40045"/>
    <cellStyle name="SAPBEXresData 13 2" xfId="40046"/>
    <cellStyle name="SAPBEXresData 13 3" xfId="40047"/>
    <cellStyle name="SAPBEXresData 14" xfId="40048"/>
    <cellStyle name="SAPBEXresData 14 2" xfId="40049"/>
    <cellStyle name="SAPBEXresData 14 3" xfId="40050"/>
    <cellStyle name="SAPBEXresData 15" xfId="40051"/>
    <cellStyle name="SAPBEXresData 15 2" xfId="40052"/>
    <cellStyle name="SAPBEXresData 15 3" xfId="40053"/>
    <cellStyle name="SAPBEXresData 16" xfId="40054"/>
    <cellStyle name="SAPBEXresData 16 2" xfId="40055"/>
    <cellStyle name="SAPBEXresData 16 3" xfId="40056"/>
    <cellStyle name="SAPBEXresData 17" xfId="40057"/>
    <cellStyle name="SAPBEXresData 18" xfId="40058"/>
    <cellStyle name="SAPBEXresData 2" xfId="40059"/>
    <cellStyle name="SAPBEXresData 2 2" xfId="40060"/>
    <cellStyle name="SAPBEXresData 2 3" xfId="40061"/>
    <cellStyle name="SAPBEXresData 3" xfId="40062"/>
    <cellStyle name="SAPBEXresData 3 2" xfId="40063"/>
    <cellStyle name="SAPBEXresData 3 3" xfId="40064"/>
    <cellStyle name="SAPBEXresData 4" xfId="40065"/>
    <cellStyle name="SAPBEXresData 4 2" xfId="40066"/>
    <cellStyle name="SAPBEXresData 4 3" xfId="40067"/>
    <cellStyle name="SAPBEXresData 5" xfId="40068"/>
    <cellStyle name="SAPBEXresData 5 2" xfId="40069"/>
    <cellStyle name="SAPBEXresData 5 3" xfId="40070"/>
    <cellStyle name="SAPBEXresData 6" xfId="40071"/>
    <cellStyle name="SAPBEXresData 6 2" xfId="40072"/>
    <cellStyle name="SAPBEXresData 6 3" xfId="40073"/>
    <cellStyle name="SAPBEXresData 7" xfId="40074"/>
    <cellStyle name="SAPBEXresData 7 2" xfId="40075"/>
    <cellStyle name="SAPBEXresData 7 3" xfId="40076"/>
    <cellStyle name="SAPBEXresData 8" xfId="40077"/>
    <cellStyle name="SAPBEXresData 8 2" xfId="40078"/>
    <cellStyle name="SAPBEXresData 8 3" xfId="40079"/>
    <cellStyle name="SAPBEXresData 9" xfId="40080"/>
    <cellStyle name="SAPBEXresData 9 2" xfId="40081"/>
    <cellStyle name="SAPBEXresData 9 3" xfId="40082"/>
    <cellStyle name="SAPBEXresDataEmph" xfId="40083"/>
    <cellStyle name="SAPBEXresDataEmph 10" xfId="40084"/>
    <cellStyle name="SAPBEXresDataEmph 10 2" xfId="40085"/>
    <cellStyle name="SAPBEXresDataEmph 10 3" xfId="40086"/>
    <cellStyle name="SAPBEXresDataEmph 11" xfId="40087"/>
    <cellStyle name="SAPBEXresDataEmph 11 2" xfId="40088"/>
    <cellStyle name="SAPBEXresDataEmph 11 3" xfId="40089"/>
    <cellStyle name="SAPBEXresDataEmph 12" xfId="40090"/>
    <cellStyle name="SAPBEXresDataEmph 12 2" xfId="40091"/>
    <cellStyle name="SAPBEXresDataEmph 12 3" xfId="40092"/>
    <cellStyle name="SAPBEXresDataEmph 13" xfId="40093"/>
    <cellStyle name="SAPBEXresDataEmph 13 2" xfId="40094"/>
    <cellStyle name="SAPBEXresDataEmph 13 3" xfId="40095"/>
    <cellStyle name="SAPBEXresDataEmph 14" xfId="40096"/>
    <cellStyle name="SAPBEXresDataEmph 14 2" xfId="40097"/>
    <cellStyle name="SAPBEXresDataEmph 14 3" xfId="40098"/>
    <cellStyle name="SAPBEXresDataEmph 15" xfId="40099"/>
    <cellStyle name="SAPBEXresDataEmph 15 2" xfId="40100"/>
    <cellStyle name="SAPBEXresDataEmph 15 3" xfId="40101"/>
    <cellStyle name="SAPBEXresDataEmph 16" xfId="40102"/>
    <cellStyle name="SAPBEXresDataEmph 17" xfId="40103"/>
    <cellStyle name="SAPBEXresDataEmph 2" xfId="40104"/>
    <cellStyle name="SAPBEXresDataEmph 2 2" xfId="40105"/>
    <cellStyle name="SAPBEXresDataEmph 2 3" xfId="40106"/>
    <cellStyle name="SAPBEXresDataEmph 3" xfId="40107"/>
    <cellStyle name="SAPBEXresDataEmph 3 2" xfId="40108"/>
    <cellStyle name="SAPBEXresDataEmph 3 3" xfId="40109"/>
    <cellStyle name="SAPBEXresDataEmph 4" xfId="40110"/>
    <cellStyle name="SAPBEXresDataEmph 4 2" xfId="40111"/>
    <cellStyle name="SAPBEXresDataEmph 4 3" xfId="40112"/>
    <cellStyle name="SAPBEXresDataEmph 5" xfId="40113"/>
    <cellStyle name="SAPBEXresDataEmph 5 2" xfId="40114"/>
    <cellStyle name="SAPBEXresDataEmph 5 3" xfId="40115"/>
    <cellStyle name="SAPBEXresDataEmph 6" xfId="40116"/>
    <cellStyle name="SAPBEXresDataEmph 6 2" xfId="40117"/>
    <cellStyle name="SAPBEXresDataEmph 6 3" xfId="40118"/>
    <cellStyle name="SAPBEXresDataEmph 7" xfId="40119"/>
    <cellStyle name="SAPBEXresDataEmph 7 2" xfId="40120"/>
    <cellStyle name="SAPBEXresDataEmph 7 3" xfId="40121"/>
    <cellStyle name="SAPBEXresDataEmph 8" xfId="40122"/>
    <cellStyle name="SAPBEXresDataEmph 8 2" xfId="40123"/>
    <cellStyle name="SAPBEXresDataEmph 8 3" xfId="40124"/>
    <cellStyle name="SAPBEXresDataEmph 9" xfId="40125"/>
    <cellStyle name="SAPBEXresDataEmph 9 2" xfId="40126"/>
    <cellStyle name="SAPBEXresDataEmph 9 3" xfId="40127"/>
    <cellStyle name="SAPBEXresItem" xfId="40128"/>
    <cellStyle name="SAPBEXresItem 10" xfId="40129"/>
    <cellStyle name="SAPBEXresItem 10 2" xfId="40130"/>
    <cellStyle name="SAPBEXresItem 10 3" xfId="40131"/>
    <cellStyle name="SAPBEXresItem 11" xfId="40132"/>
    <cellStyle name="SAPBEXresItem 11 2" xfId="40133"/>
    <cellStyle name="SAPBEXresItem 11 3" xfId="40134"/>
    <cellStyle name="SAPBEXresItem 12" xfId="40135"/>
    <cellStyle name="SAPBEXresItem 12 2" xfId="40136"/>
    <cellStyle name="SAPBEXresItem 12 3" xfId="40137"/>
    <cellStyle name="SAPBEXresItem 13" xfId="40138"/>
    <cellStyle name="SAPBEXresItem 13 2" xfId="40139"/>
    <cellStyle name="SAPBEXresItem 13 3" xfId="40140"/>
    <cellStyle name="SAPBEXresItem 14" xfId="40141"/>
    <cellStyle name="SAPBEXresItem 14 2" xfId="40142"/>
    <cellStyle name="SAPBEXresItem 14 3" xfId="40143"/>
    <cellStyle name="SAPBEXresItem 15" xfId="40144"/>
    <cellStyle name="SAPBEXresItem 15 2" xfId="40145"/>
    <cellStyle name="SAPBEXresItem 15 3" xfId="40146"/>
    <cellStyle name="SAPBEXresItem 16" xfId="40147"/>
    <cellStyle name="SAPBEXresItem 16 2" xfId="40148"/>
    <cellStyle name="SAPBEXresItem 16 3" xfId="40149"/>
    <cellStyle name="SAPBEXresItem 17" xfId="40150"/>
    <cellStyle name="SAPBEXresItem 18" xfId="40151"/>
    <cellStyle name="SAPBEXresItem 2" xfId="40152"/>
    <cellStyle name="SAPBEXresItem 2 2" xfId="40153"/>
    <cellStyle name="SAPBEXresItem 2 3" xfId="40154"/>
    <cellStyle name="SAPBEXresItem 3" xfId="40155"/>
    <cellStyle name="SAPBEXresItem 3 2" xfId="40156"/>
    <cellStyle name="SAPBEXresItem 3 3" xfId="40157"/>
    <cellStyle name="SAPBEXresItem 4" xfId="40158"/>
    <cellStyle name="SAPBEXresItem 4 2" xfId="40159"/>
    <cellStyle name="SAPBEXresItem 4 3" xfId="40160"/>
    <cellStyle name="SAPBEXresItem 5" xfId="40161"/>
    <cellStyle name="SAPBEXresItem 5 2" xfId="40162"/>
    <cellStyle name="SAPBEXresItem 5 3" xfId="40163"/>
    <cellStyle name="SAPBEXresItem 6" xfId="40164"/>
    <cellStyle name="SAPBEXresItem 6 2" xfId="40165"/>
    <cellStyle name="SAPBEXresItem 6 3" xfId="40166"/>
    <cellStyle name="SAPBEXresItem 7" xfId="40167"/>
    <cellStyle name="SAPBEXresItem 7 2" xfId="40168"/>
    <cellStyle name="SAPBEXresItem 7 3" xfId="40169"/>
    <cellStyle name="SAPBEXresItem 8" xfId="40170"/>
    <cellStyle name="SAPBEXresItem 8 2" xfId="40171"/>
    <cellStyle name="SAPBEXresItem 8 3" xfId="40172"/>
    <cellStyle name="SAPBEXresItem 9" xfId="40173"/>
    <cellStyle name="SAPBEXresItem 9 2" xfId="40174"/>
    <cellStyle name="SAPBEXresItem 9 3" xfId="40175"/>
    <cellStyle name="SAPBEXresItemX" xfId="40176"/>
    <cellStyle name="SAPBEXresItemX 10" xfId="40177"/>
    <cellStyle name="SAPBEXresItemX 10 2" xfId="40178"/>
    <cellStyle name="SAPBEXresItemX 10 3" xfId="40179"/>
    <cellStyle name="SAPBEXresItemX 11" xfId="40180"/>
    <cellStyle name="SAPBEXresItemX 11 2" xfId="40181"/>
    <cellStyle name="SAPBEXresItemX 11 3" xfId="40182"/>
    <cellStyle name="SAPBEXresItemX 12" xfId="40183"/>
    <cellStyle name="SAPBEXresItemX 12 2" xfId="40184"/>
    <cellStyle name="SAPBEXresItemX 12 3" xfId="40185"/>
    <cellStyle name="SAPBEXresItemX 13" xfId="40186"/>
    <cellStyle name="SAPBEXresItemX 13 2" xfId="40187"/>
    <cellStyle name="SAPBEXresItemX 13 3" xfId="40188"/>
    <cellStyle name="SAPBEXresItemX 14" xfId="40189"/>
    <cellStyle name="SAPBEXresItemX 14 2" xfId="40190"/>
    <cellStyle name="SAPBEXresItemX 14 3" xfId="40191"/>
    <cellStyle name="SAPBEXresItemX 15" xfId="40192"/>
    <cellStyle name="SAPBEXresItemX 15 2" xfId="40193"/>
    <cellStyle name="SAPBEXresItemX 15 3" xfId="40194"/>
    <cellStyle name="SAPBEXresItemX 16" xfId="40195"/>
    <cellStyle name="SAPBEXresItemX 16 2" xfId="40196"/>
    <cellStyle name="SAPBEXresItemX 16 3" xfId="40197"/>
    <cellStyle name="SAPBEXresItemX 17" xfId="40198"/>
    <cellStyle name="SAPBEXresItemX 18" xfId="40199"/>
    <cellStyle name="SAPBEXresItemX 2" xfId="40200"/>
    <cellStyle name="SAPBEXresItemX 2 2" xfId="40201"/>
    <cellStyle name="SAPBEXresItemX 2 3" xfId="40202"/>
    <cellStyle name="SAPBEXresItemX 3" xfId="40203"/>
    <cellStyle name="SAPBEXresItemX 3 2" xfId="40204"/>
    <cellStyle name="SAPBEXresItemX 3 3" xfId="40205"/>
    <cellStyle name="SAPBEXresItemX 4" xfId="40206"/>
    <cellStyle name="SAPBEXresItemX 4 2" xfId="40207"/>
    <cellStyle name="SAPBEXresItemX 4 3" xfId="40208"/>
    <cellStyle name="SAPBEXresItemX 5" xfId="40209"/>
    <cellStyle name="SAPBEXresItemX 5 2" xfId="40210"/>
    <cellStyle name="SAPBEXresItemX 5 3" xfId="40211"/>
    <cellStyle name="SAPBEXresItemX 6" xfId="40212"/>
    <cellStyle name="SAPBEXresItemX 6 2" xfId="40213"/>
    <cellStyle name="SAPBEXresItemX 6 3" xfId="40214"/>
    <cellStyle name="SAPBEXresItemX 7" xfId="40215"/>
    <cellStyle name="SAPBEXresItemX 7 2" xfId="40216"/>
    <cellStyle name="SAPBEXresItemX 7 3" xfId="40217"/>
    <cellStyle name="SAPBEXresItemX 8" xfId="40218"/>
    <cellStyle name="SAPBEXresItemX 8 2" xfId="40219"/>
    <cellStyle name="SAPBEXresItemX 8 3" xfId="40220"/>
    <cellStyle name="SAPBEXresItemX 9" xfId="40221"/>
    <cellStyle name="SAPBEXresItemX 9 2" xfId="40222"/>
    <cellStyle name="SAPBEXresItemX 9 3" xfId="40223"/>
    <cellStyle name="SAPBEXstdData" xfId="40224"/>
    <cellStyle name="SAPBEXstdData 10" xfId="40225"/>
    <cellStyle name="SAPBEXstdData 10 2" xfId="40226"/>
    <cellStyle name="SAPBEXstdData 10 3" xfId="40227"/>
    <cellStyle name="SAPBEXstdData 10 4" xfId="40228"/>
    <cellStyle name="SAPBEXstdData 11" xfId="40229"/>
    <cellStyle name="SAPBEXstdData 11 2" xfId="40230"/>
    <cellStyle name="SAPBEXstdData 11 3" xfId="40231"/>
    <cellStyle name="SAPBEXstdData 11 4" xfId="40232"/>
    <cellStyle name="SAPBEXstdData 12" xfId="40233"/>
    <cellStyle name="SAPBEXstdData 12 2" xfId="40234"/>
    <cellStyle name="SAPBEXstdData 12 3" xfId="40235"/>
    <cellStyle name="SAPBEXstdData 12 4" xfId="40236"/>
    <cellStyle name="SAPBEXstdData 13" xfId="40237"/>
    <cellStyle name="SAPBEXstdData 13 2" xfId="40238"/>
    <cellStyle name="SAPBEXstdData 13 3" xfId="40239"/>
    <cellStyle name="SAPBEXstdData 13 4" xfId="40240"/>
    <cellStyle name="SAPBEXstdData 14" xfId="40241"/>
    <cellStyle name="SAPBEXstdData 14 2" xfId="40242"/>
    <cellStyle name="SAPBEXstdData 14 3" xfId="40243"/>
    <cellStyle name="SAPBEXstdData 14 4" xfId="40244"/>
    <cellStyle name="SAPBEXstdData 15" xfId="40245"/>
    <cellStyle name="SAPBEXstdData 15 2" xfId="40246"/>
    <cellStyle name="SAPBEXstdData 15 3" xfId="40247"/>
    <cellStyle name="SAPBEXstdData 15 4" xfId="40248"/>
    <cellStyle name="SAPBEXstdData 16" xfId="40249"/>
    <cellStyle name="SAPBEXstdData 16 2" xfId="40250"/>
    <cellStyle name="SAPBEXstdData 16 3" xfId="40251"/>
    <cellStyle name="SAPBEXstdData 16 4" xfId="40252"/>
    <cellStyle name="SAPBEXstdData 17" xfId="40253"/>
    <cellStyle name="SAPBEXstdData 18" xfId="40254"/>
    <cellStyle name="SAPBEXstdData 19" xfId="40255"/>
    <cellStyle name="SAPBEXstdData 2" xfId="40256"/>
    <cellStyle name="SAPBEXstdData 2 2" xfId="40257"/>
    <cellStyle name="SAPBEXstdData 2 3" xfId="40258"/>
    <cellStyle name="SAPBEXstdData 2 4" xfId="40259"/>
    <cellStyle name="SAPBEXstdData 3" xfId="40260"/>
    <cellStyle name="SAPBEXstdData 3 2" xfId="40261"/>
    <cellStyle name="SAPBEXstdData 3 3" xfId="40262"/>
    <cellStyle name="SAPBEXstdData 3 4" xfId="40263"/>
    <cellStyle name="SAPBEXstdData 4" xfId="40264"/>
    <cellStyle name="SAPBEXstdData 4 2" xfId="40265"/>
    <cellStyle name="SAPBEXstdData 4 3" xfId="40266"/>
    <cellStyle name="SAPBEXstdData 4 4" xfId="40267"/>
    <cellStyle name="SAPBEXstdData 5" xfId="40268"/>
    <cellStyle name="SAPBEXstdData 5 2" xfId="40269"/>
    <cellStyle name="SAPBEXstdData 5 3" xfId="40270"/>
    <cellStyle name="SAPBEXstdData 5 4" xfId="40271"/>
    <cellStyle name="SAPBEXstdData 6" xfId="40272"/>
    <cellStyle name="SAPBEXstdData 6 2" xfId="40273"/>
    <cellStyle name="SAPBEXstdData 6 3" xfId="40274"/>
    <cellStyle name="SAPBEXstdData 6 4" xfId="40275"/>
    <cellStyle name="SAPBEXstdData 7" xfId="40276"/>
    <cellStyle name="SAPBEXstdData 7 2" xfId="40277"/>
    <cellStyle name="SAPBEXstdData 7 3" xfId="40278"/>
    <cellStyle name="SAPBEXstdData 7 4" xfId="40279"/>
    <cellStyle name="SAPBEXstdData 8" xfId="40280"/>
    <cellStyle name="SAPBEXstdData 8 2" xfId="40281"/>
    <cellStyle name="SAPBEXstdData 8 3" xfId="40282"/>
    <cellStyle name="SAPBEXstdData 8 4" xfId="40283"/>
    <cellStyle name="SAPBEXstdData 9" xfId="40284"/>
    <cellStyle name="SAPBEXstdData 9 2" xfId="40285"/>
    <cellStyle name="SAPBEXstdData 9 3" xfId="40286"/>
    <cellStyle name="SAPBEXstdData 9 4" xfId="40287"/>
    <cellStyle name="SAPBEXstdDataEmph" xfId="40288"/>
    <cellStyle name="SAPBEXstdDataEmph 10" xfId="40289"/>
    <cellStyle name="SAPBEXstdDataEmph 10 2" xfId="40290"/>
    <cellStyle name="SAPBEXstdDataEmph 10 3" xfId="40291"/>
    <cellStyle name="SAPBEXstdDataEmph 10 4" xfId="40292"/>
    <cellStyle name="SAPBEXstdDataEmph 11" xfId="40293"/>
    <cellStyle name="SAPBEXstdDataEmph 11 2" xfId="40294"/>
    <cellStyle name="SAPBEXstdDataEmph 11 3" xfId="40295"/>
    <cellStyle name="SAPBEXstdDataEmph 11 4" xfId="40296"/>
    <cellStyle name="SAPBEXstdDataEmph 12" xfId="40297"/>
    <cellStyle name="SAPBEXstdDataEmph 12 2" xfId="40298"/>
    <cellStyle name="SAPBEXstdDataEmph 12 3" xfId="40299"/>
    <cellStyle name="SAPBEXstdDataEmph 12 4" xfId="40300"/>
    <cellStyle name="SAPBEXstdDataEmph 13" xfId="40301"/>
    <cellStyle name="SAPBEXstdDataEmph 13 2" xfId="40302"/>
    <cellStyle name="SAPBEXstdDataEmph 13 3" xfId="40303"/>
    <cellStyle name="SAPBEXstdDataEmph 13 4" xfId="40304"/>
    <cellStyle name="SAPBEXstdDataEmph 14" xfId="40305"/>
    <cellStyle name="SAPBEXstdDataEmph 14 2" xfId="40306"/>
    <cellStyle name="SAPBEXstdDataEmph 14 3" xfId="40307"/>
    <cellStyle name="SAPBEXstdDataEmph 14 4" xfId="40308"/>
    <cellStyle name="SAPBEXstdDataEmph 15" xfId="40309"/>
    <cellStyle name="SAPBEXstdDataEmph 15 2" xfId="40310"/>
    <cellStyle name="SAPBEXstdDataEmph 15 3" xfId="40311"/>
    <cellStyle name="SAPBEXstdDataEmph 15 4" xfId="40312"/>
    <cellStyle name="SAPBEXstdDataEmph 16" xfId="40313"/>
    <cellStyle name="SAPBEXstdDataEmph 16 2" xfId="40314"/>
    <cellStyle name="SAPBEXstdDataEmph 16 3" xfId="40315"/>
    <cellStyle name="SAPBEXstdDataEmph 16 4" xfId="40316"/>
    <cellStyle name="SAPBEXstdDataEmph 17" xfId="40317"/>
    <cellStyle name="SAPBEXstdDataEmph 18" xfId="40318"/>
    <cellStyle name="SAPBEXstdDataEmph 19" xfId="40319"/>
    <cellStyle name="SAPBEXstdDataEmph 2" xfId="40320"/>
    <cellStyle name="SAPBEXstdDataEmph 2 2" xfId="40321"/>
    <cellStyle name="SAPBEXstdDataEmph 2 3" xfId="40322"/>
    <cellStyle name="SAPBEXstdDataEmph 2 4" xfId="40323"/>
    <cellStyle name="SAPBEXstdDataEmph 3" xfId="40324"/>
    <cellStyle name="SAPBEXstdDataEmph 3 2" xfId="40325"/>
    <cellStyle name="SAPBEXstdDataEmph 3 3" xfId="40326"/>
    <cellStyle name="SAPBEXstdDataEmph 3 4" xfId="40327"/>
    <cellStyle name="SAPBEXstdDataEmph 4" xfId="40328"/>
    <cellStyle name="SAPBEXstdDataEmph 4 2" xfId="40329"/>
    <cellStyle name="SAPBEXstdDataEmph 4 3" xfId="40330"/>
    <cellStyle name="SAPBEXstdDataEmph 4 4" xfId="40331"/>
    <cellStyle name="SAPBEXstdDataEmph 5" xfId="40332"/>
    <cellStyle name="SAPBEXstdDataEmph 5 2" xfId="40333"/>
    <cellStyle name="SAPBEXstdDataEmph 5 3" xfId="40334"/>
    <cellStyle name="SAPBEXstdDataEmph 5 4" xfId="40335"/>
    <cellStyle name="SAPBEXstdDataEmph 6" xfId="40336"/>
    <cellStyle name="SAPBEXstdDataEmph 6 2" xfId="40337"/>
    <cellStyle name="SAPBEXstdDataEmph 6 3" xfId="40338"/>
    <cellStyle name="SAPBEXstdDataEmph 6 4" xfId="40339"/>
    <cellStyle name="SAPBEXstdDataEmph 7" xfId="40340"/>
    <cellStyle name="SAPBEXstdDataEmph 7 2" xfId="40341"/>
    <cellStyle name="SAPBEXstdDataEmph 7 3" xfId="40342"/>
    <cellStyle name="SAPBEXstdDataEmph 7 4" xfId="40343"/>
    <cellStyle name="SAPBEXstdDataEmph 8" xfId="40344"/>
    <cellStyle name="SAPBEXstdDataEmph 8 2" xfId="40345"/>
    <cellStyle name="SAPBEXstdDataEmph 8 3" xfId="40346"/>
    <cellStyle name="SAPBEXstdDataEmph 8 4" xfId="40347"/>
    <cellStyle name="SAPBEXstdDataEmph 9" xfId="40348"/>
    <cellStyle name="SAPBEXstdDataEmph 9 2" xfId="40349"/>
    <cellStyle name="SAPBEXstdDataEmph 9 3" xfId="40350"/>
    <cellStyle name="SAPBEXstdDataEmph 9 4" xfId="40351"/>
    <cellStyle name="SAPBEXstdItem" xfId="40352"/>
    <cellStyle name="SAPBEXstdItem 10" xfId="40353"/>
    <cellStyle name="SAPBEXstdItem 10 2" xfId="40354"/>
    <cellStyle name="SAPBEXstdItem 10 3" xfId="40355"/>
    <cellStyle name="SAPBEXstdItem 10 4" xfId="40356"/>
    <cellStyle name="SAPBEXstdItem 11" xfId="40357"/>
    <cellStyle name="SAPBEXstdItem 11 2" xfId="40358"/>
    <cellStyle name="SAPBEXstdItem 11 3" xfId="40359"/>
    <cellStyle name="SAPBEXstdItem 11 4" xfId="40360"/>
    <cellStyle name="SAPBEXstdItem 12" xfId="40361"/>
    <cellStyle name="SAPBEXstdItem 12 2" xfId="40362"/>
    <cellStyle name="SAPBEXstdItem 12 3" xfId="40363"/>
    <cellStyle name="SAPBEXstdItem 12 4" xfId="40364"/>
    <cellStyle name="SAPBEXstdItem 13" xfId="40365"/>
    <cellStyle name="SAPBEXstdItem 13 2" xfId="40366"/>
    <cellStyle name="SAPBEXstdItem 13 3" xfId="40367"/>
    <cellStyle name="SAPBEXstdItem 13 4" xfId="40368"/>
    <cellStyle name="SAPBEXstdItem 14" xfId="40369"/>
    <cellStyle name="SAPBEXstdItem 14 2" xfId="40370"/>
    <cellStyle name="SAPBEXstdItem 14 3" xfId="40371"/>
    <cellStyle name="SAPBEXstdItem 14 4" xfId="40372"/>
    <cellStyle name="SAPBEXstdItem 15" xfId="40373"/>
    <cellStyle name="SAPBEXstdItem 15 2" xfId="40374"/>
    <cellStyle name="SAPBEXstdItem 15 3" xfId="40375"/>
    <cellStyle name="SAPBEXstdItem 15 4" xfId="40376"/>
    <cellStyle name="SAPBEXstdItem 16" xfId="40377"/>
    <cellStyle name="SAPBEXstdItem 16 2" xfId="40378"/>
    <cellStyle name="SAPBEXstdItem 16 3" xfId="40379"/>
    <cellStyle name="SAPBEXstdItem 16 4" xfId="40380"/>
    <cellStyle name="SAPBEXstdItem 17" xfId="40381"/>
    <cellStyle name="SAPBEXstdItem 18" xfId="40382"/>
    <cellStyle name="SAPBEXstdItem 19" xfId="40383"/>
    <cellStyle name="SAPBEXstdItem 2" xfId="40384"/>
    <cellStyle name="SAPBEXstdItem 2 2" xfId="40385"/>
    <cellStyle name="SAPBEXstdItem 2 3" xfId="40386"/>
    <cellStyle name="SAPBEXstdItem 2 4" xfId="40387"/>
    <cellStyle name="SAPBEXstdItem 3" xfId="40388"/>
    <cellStyle name="SAPBEXstdItem 3 2" xfId="40389"/>
    <cellStyle name="SAPBEXstdItem 3 3" xfId="40390"/>
    <cellStyle name="SAPBEXstdItem 3 4" xfId="40391"/>
    <cellStyle name="SAPBEXstdItem 4" xfId="40392"/>
    <cellStyle name="SAPBEXstdItem 4 2" xfId="40393"/>
    <cellStyle name="SAPBEXstdItem 4 3" xfId="40394"/>
    <cellStyle name="SAPBEXstdItem 4 4" xfId="40395"/>
    <cellStyle name="SAPBEXstdItem 5" xfId="40396"/>
    <cellStyle name="SAPBEXstdItem 5 2" xfId="40397"/>
    <cellStyle name="SAPBEXstdItem 5 3" xfId="40398"/>
    <cellStyle name="SAPBEXstdItem 5 4" xfId="40399"/>
    <cellStyle name="SAPBEXstdItem 6" xfId="40400"/>
    <cellStyle name="SAPBEXstdItem 6 2" xfId="40401"/>
    <cellStyle name="SAPBEXstdItem 6 3" xfId="40402"/>
    <cellStyle name="SAPBEXstdItem 6 4" xfId="40403"/>
    <cellStyle name="SAPBEXstdItem 7" xfId="40404"/>
    <cellStyle name="SAPBEXstdItem 7 2" xfId="40405"/>
    <cellStyle name="SAPBEXstdItem 7 3" xfId="40406"/>
    <cellStyle name="SAPBEXstdItem 7 4" xfId="40407"/>
    <cellStyle name="SAPBEXstdItem 8" xfId="40408"/>
    <cellStyle name="SAPBEXstdItem 8 2" xfId="40409"/>
    <cellStyle name="SAPBEXstdItem 8 3" xfId="40410"/>
    <cellStyle name="SAPBEXstdItem 8 4" xfId="40411"/>
    <cellStyle name="SAPBEXstdItem 9" xfId="40412"/>
    <cellStyle name="SAPBEXstdItem 9 2" xfId="40413"/>
    <cellStyle name="SAPBEXstdItem 9 3" xfId="40414"/>
    <cellStyle name="SAPBEXstdItem 9 4" xfId="40415"/>
    <cellStyle name="SAPBEXstdItemX" xfId="40416"/>
    <cellStyle name="SAPBEXstdItemX 10" xfId="40417"/>
    <cellStyle name="SAPBEXstdItemX 10 2" xfId="40418"/>
    <cellStyle name="SAPBEXstdItemX 10 3" xfId="40419"/>
    <cellStyle name="SAPBEXstdItemX 11" xfId="40420"/>
    <cellStyle name="SAPBEXstdItemX 11 2" xfId="40421"/>
    <cellStyle name="SAPBEXstdItemX 11 3" xfId="40422"/>
    <cellStyle name="SAPBEXstdItemX 12" xfId="40423"/>
    <cellStyle name="SAPBEXstdItemX 12 2" xfId="40424"/>
    <cellStyle name="SAPBEXstdItemX 12 3" xfId="40425"/>
    <cellStyle name="SAPBEXstdItemX 13" xfId="40426"/>
    <cellStyle name="SAPBEXstdItemX 13 2" xfId="40427"/>
    <cellStyle name="SAPBEXstdItemX 13 3" xfId="40428"/>
    <cellStyle name="SAPBEXstdItemX 14" xfId="40429"/>
    <cellStyle name="SAPBEXstdItemX 14 2" xfId="40430"/>
    <cellStyle name="SAPBEXstdItemX 14 3" xfId="40431"/>
    <cellStyle name="SAPBEXstdItemX 15" xfId="40432"/>
    <cellStyle name="SAPBEXstdItemX 15 2" xfId="40433"/>
    <cellStyle name="SAPBEXstdItemX 15 3" xfId="40434"/>
    <cellStyle name="SAPBEXstdItemX 16" xfId="40435"/>
    <cellStyle name="SAPBEXstdItemX 16 2" xfId="40436"/>
    <cellStyle name="SAPBEXstdItemX 16 3" xfId="40437"/>
    <cellStyle name="SAPBEXstdItemX 17" xfId="40438"/>
    <cellStyle name="SAPBEXstdItemX 18" xfId="40439"/>
    <cellStyle name="SAPBEXstdItemX 2" xfId="40440"/>
    <cellStyle name="SAPBEXstdItemX 2 2" xfId="40441"/>
    <cellStyle name="SAPBEXstdItemX 2 3" xfId="40442"/>
    <cellStyle name="SAPBEXstdItemX 3" xfId="40443"/>
    <cellStyle name="SAPBEXstdItemX 3 2" xfId="40444"/>
    <cellStyle name="SAPBEXstdItemX 3 3" xfId="40445"/>
    <cellStyle name="SAPBEXstdItemX 4" xfId="40446"/>
    <cellStyle name="SAPBEXstdItemX 4 2" xfId="40447"/>
    <cellStyle name="SAPBEXstdItemX 4 3" xfId="40448"/>
    <cellStyle name="SAPBEXstdItemX 5" xfId="40449"/>
    <cellStyle name="SAPBEXstdItemX 5 2" xfId="40450"/>
    <cellStyle name="SAPBEXstdItemX 5 3" xfId="40451"/>
    <cellStyle name="SAPBEXstdItemX 6" xfId="40452"/>
    <cellStyle name="SAPBEXstdItemX 6 2" xfId="40453"/>
    <cellStyle name="SAPBEXstdItemX 6 3" xfId="40454"/>
    <cellStyle name="SAPBEXstdItemX 7" xfId="40455"/>
    <cellStyle name="SAPBEXstdItemX 7 2" xfId="40456"/>
    <cellStyle name="SAPBEXstdItemX 7 3" xfId="40457"/>
    <cellStyle name="SAPBEXstdItemX 8" xfId="40458"/>
    <cellStyle name="SAPBEXstdItemX 8 2" xfId="40459"/>
    <cellStyle name="SAPBEXstdItemX 8 3" xfId="40460"/>
    <cellStyle name="SAPBEXstdItemX 9" xfId="40461"/>
    <cellStyle name="SAPBEXstdItemX 9 2" xfId="40462"/>
    <cellStyle name="SAPBEXstdItemX 9 3" xfId="40463"/>
    <cellStyle name="SAPBEXtitle" xfId="40464"/>
    <cellStyle name="SAPBEXtitle 10" xfId="40465"/>
    <cellStyle name="SAPBEXtitle 10 2" xfId="40466"/>
    <cellStyle name="SAPBEXtitle 10 3" xfId="40467"/>
    <cellStyle name="SAPBEXtitle 11" xfId="40468"/>
    <cellStyle name="SAPBEXtitle 11 2" xfId="40469"/>
    <cellStyle name="SAPBEXtitle 11 3" xfId="40470"/>
    <cellStyle name="SAPBEXtitle 12" xfId="40471"/>
    <cellStyle name="SAPBEXtitle 12 2" xfId="40472"/>
    <cellStyle name="SAPBEXtitle 12 3" xfId="40473"/>
    <cellStyle name="SAPBEXtitle 13" xfId="40474"/>
    <cellStyle name="SAPBEXtitle 13 2" xfId="40475"/>
    <cellStyle name="SAPBEXtitle 13 3" xfId="40476"/>
    <cellStyle name="SAPBEXtitle 14" xfId="40477"/>
    <cellStyle name="SAPBEXtitle 14 2" xfId="40478"/>
    <cellStyle name="SAPBEXtitle 14 3" xfId="40479"/>
    <cellStyle name="SAPBEXtitle 15" xfId="40480"/>
    <cellStyle name="SAPBEXtitle 15 2" xfId="40481"/>
    <cellStyle name="SAPBEXtitle 15 3" xfId="40482"/>
    <cellStyle name="SAPBEXtitle 16" xfId="40483"/>
    <cellStyle name="SAPBEXtitle 16 2" xfId="40484"/>
    <cellStyle name="SAPBEXtitle 16 3" xfId="40485"/>
    <cellStyle name="SAPBEXtitle 17" xfId="40486"/>
    <cellStyle name="SAPBEXtitle 18" xfId="40487"/>
    <cellStyle name="SAPBEXtitle 2" xfId="40488"/>
    <cellStyle name="SAPBEXtitle 2 2" xfId="40489"/>
    <cellStyle name="SAPBEXtitle 2 3" xfId="40490"/>
    <cellStyle name="SAPBEXtitle 3" xfId="40491"/>
    <cellStyle name="SAPBEXtitle 3 2" xfId="40492"/>
    <cellStyle name="SAPBEXtitle 3 3" xfId="40493"/>
    <cellStyle name="SAPBEXtitle 4" xfId="40494"/>
    <cellStyle name="SAPBEXtitle 4 2" xfId="40495"/>
    <cellStyle name="SAPBEXtitle 4 3" xfId="40496"/>
    <cellStyle name="SAPBEXtitle 5" xfId="40497"/>
    <cellStyle name="SAPBEXtitle 5 2" xfId="40498"/>
    <cellStyle name="SAPBEXtitle 5 3" xfId="40499"/>
    <cellStyle name="SAPBEXtitle 6" xfId="40500"/>
    <cellStyle name="SAPBEXtitle 6 2" xfId="40501"/>
    <cellStyle name="SAPBEXtitle 6 3" xfId="40502"/>
    <cellStyle name="SAPBEXtitle 7" xfId="40503"/>
    <cellStyle name="SAPBEXtitle 7 2" xfId="40504"/>
    <cellStyle name="SAPBEXtitle 7 3" xfId="40505"/>
    <cellStyle name="SAPBEXtitle 8" xfId="40506"/>
    <cellStyle name="SAPBEXtitle 8 2" xfId="40507"/>
    <cellStyle name="SAPBEXtitle 8 3" xfId="40508"/>
    <cellStyle name="SAPBEXtitle 9" xfId="40509"/>
    <cellStyle name="SAPBEXtitle 9 2" xfId="40510"/>
    <cellStyle name="SAPBEXtitle 9 3" xfId="40511"/>
    <cellStyle name="SAPBEXunassignedItem" xfId="40512"/>
    <cellStyle name="SAPBEXunassignedItem 10" xfId="40513"/>
    <cellStyle name="SAPBEXunassignedItem 10 2" xfId="40514"/>
    <cellStyle name="SAPBEXunassignedItem 10 3" xfId="40515"/>
    <cellStyle name="SAPBEXunassignedItem 11" xfId="40516"/>
    <cellStyle name="SAPBEXunassignedItem 11 2" xfId="40517"/>
    <cellStyle name="SAPBEXunassignedItem 11 3" xfId="40518"/>
    <cellStyle name="SAPBEXunassignedItem 12" xfId="40519"/>
    <cellStyle name="SAPBEXunassignedItem 12 2" xfId="40520"/>
    <cellStyle name="SAPBEXunassignedItem 12 3" xfId="40521"/>
    <cellStyle name="SAPBEXunassignedItem 13" xfId="40522"/>
    <cellStyle name="SAPBEXunassignedItem 13 2" xfId="40523"/>
    <cellStyle name="SAPBEXunassignedItem 13 3" xfId="40524"/>
    <cellStyle name="SAPBEXunassignedItem 14" xfId="40525"/>
    <cellStyle name="SAPBEXunassignedItem 14 2" xfId="40526"/>
    <cellStyle name="SAPBEXunassignedItem 14 3" xfId="40527"/>
    <cellStyle name="SAPBEXunassignedItem 15" xfId="40528"/>
    <cellStyle name="SAPBEXunassignedItem 15 2" xfId="40529"/>
    <cellStyle name="SAPBEXunassignedItem 15 3" xfId="40530"/>
    <cellStyle name="SAPBEXunassignedItem 16" xfId="40531"/>
    <cellStyle name="SAPBEXunassignedItem 17" xfId="40532"/>
    <cellStyle name="SAPBEXunassignedItem 2" xfId="40533"/>
    <cellStyle name="SAPBEXunassignedItem 2 2" xfId="40534"/>
    <cellStyle name="SAPBEXunassignedItem 2 3" xfId="40535"/>
    <cellStyle name="SAPBEXunassignedItem 3" xfId="40536"/>
    <cellStyle name="SAPBEXunassignedItem 3 2" xfId="40537"/>
    <cellStyle name="SAPBEXunassignedItem 3 3" xfId="40538"/>
    <cellStyle name="SAPBEXunassignedItem 4" xfId="40539"/>
    <cellStyle name="SAPBEXunassignedItem 4 2" xfId="40540"/>
    <cellStyle name="SAPBEXunassignedItem 4 3" xfId="40541"/>
    <cellStyle name="SAPBEXunassignedItem 5" xfId="40542"/>
    <cellStyle name="SAPBEXunassignedItem 5 2" xfId="40543"/>
    <cellStyle name="SAPBEXunassignedItem 5 3" xfId="40544"/>
    <cellStyle name="SAPBEXunassignedItem 6" xfId="40545"/>
    <cellStyle name="SAPBEXunassignedItem 6 2" xfId="40546"/>
    <cellStyle name="SAPBEXunassignedItem 6 3" xfId="40547"/>
    <cellStyle name="SAPBEXunassignedItem 7" xfId="40548"/>
    <cellStyle name="SAPBEXunassignedItem 7 2" xfId="40549"/>
    <cellStyle name="SAPBEXunassignedItem 7 3" xfId="40550"/>
    <cellStyle name="SAPBEXunassignedItem 8" xfId="40551"/>
    <cellStyle name="SAPBEXunassignedItem 8 2" xfId="40552"/>
    <cellStyle name="SAPBEXunassignedItem 8 3" xfId="40553"/>
    <cellStyle name="SAPBEXunassignedItem 9" xfId="40554"/>
    <cellStyle name="SAPBEXunassignedItem 9 2" xfId="40555"/>
    <cellStyle name="SAPBEXunassignedItem 9 3" xfId="40556"/>
    <cellStyle name="SAPBEXundefined" xfId="40557"/>
    <cellStyle name="SAPBEXundefined 10" xfId="40558"/>
    <cellStyle name="SAPBEXundefined 10 2" xfId="40559"/>
    <cellStyle name="SAPBEXundefined 10 3" xfId="40560"/>
    <cellStyle name="SAPBEXundefined 11" xfId="40561"/>
    <cellStyle name="SAPBEXundefined 11 2" xfId="40562"/>
    <cellStyle name="SAPBEXundefined 11 3" xfId="40563"/>
    <cellStyle name="SAPBEXundefined 12" xfId="40564"/>
    <cellStyle name="SAPBEXundefined 12 2" xfId="40565"/>
    <cellStyle name="SAPBEXundefined 12 3" xfId="40566"/>
    <cellStyle name="SAPBEXundefined 13" xfId="40567"/>
    <cellStyle name="SAPBEXundefined 13 2" xfId="40568"/>
    <cellStyle name="SAPBEXundefined 13 3" xfId="40569"/>
    <cellStyle name="SAPBEXundefined 14" xfId="40570"/>
    <cellStyle name="SAPBEXundefined 14 2" xfId="40571"/>
    <cellStyle name="SAPBEXundefined 14 3" xfId="40572"/>
    <cellStyle name="SAPBEXundefined 15" xfId="40573"/>
    <cellStyle name="SAPBEXundefined 15 2" xfId="40574"/>
    <cellStyle name="SAPBEXundefined 15 3" xfId="40575"/>
    <cellStyle name="SAPBEXundefined 16" xfId="40576"/>
    <cellStyle name="SAPBEXundefined 16 2" xfId="40577"/>
    <cellStyle name="SAPBEXundefined 16 3" xfId="40578"/>
    <cellStyle name="SAPBEXundefined 17" xfId="40579"/>
    <cellStyle name="SAPBEXundefined 18" xfId="40580"/>
    <cellStyle name="SAPBEXundefined 2" xfId="40581"/>
    <cellStyle name="SAPBEXundefined 2 2" xfId="40582"/>
    <cellStyle name="SAPBEXundefined 2 3" xfId="40583"/>
    <cellStyle name="SAPBEXundefined 3" xfId="40584"/>
    <cellStyle name="SAPBEXundefined 3 2" xfId="40585"/>
    <cellStyle name="SAPBEXundefined 3 3" xfId="40586"/>
    <cellStyle name="SAPBEXundefined 4" xfId="40587"/>
    <cellStyle name="SAPBEXundefined 4 2" xfId="40588"/>
    <cellStyle name="SAPBEXundefined 4 3" xfId="40589"/>
    <cellStyle name="SAPBEXundefined 5" xfId="40590"/>
    <cellStyle name="SAPBEXundefined 5 2" xfId="40591"/>
    <cellStyle name="SAPBEXundefined 5 3" xfId="40592"/>
    <cellStyle name="SAPBEXundefined 6" xfId="40593"/>
    <cellStyle name="SAPBEXundefined 6 2" xfId="40594"/>
    <cellStyle name="SAPBEXundefined 6 3" xfId="40595"/>
    <cellStyle name="SAPBEXundefined 7" xfId="40596"/>
    <cellStyle name="SAPBEXundefined 7 2" xfId="40597"/>
    <cellStyle name="SAPBEXundefined 7 3" xfId="40598"/>
    <cellStyle name="SAPBEXundefined 8" xfId="40599"/>
    <cellStyle name="SAPBEXundefined 8 2" xfId="40600"/>
    <cellStyle name="SAPBEXundefined 8 3" xfId="40601"/>
    <cellStyle name="SAPBEXundefined 9" xfId="40602"/>
    <cellStyle name="SAPBEXundefined 9 2" xfId="40603"/>
    <cellStyle name="SAPBEXundefined 9 3" xfId="40604"/>
    <cellStyle name="SAS FM Client calculated data cell (data entry table)" xfId="40605"/>
    <cellStyle name="SAS FM Client calculated data cell (read only table)" xfId="40606"/>
    <cellStyle name="SAS FM Column drillable header" xfId="40607"/>
    <cellStyle name="SAS FM Column header" xfId="40608"/>
    <cellStyle name="SAS FM Drill path" xfId="40609"/>
    <cellStyle name="SAS FM Held member data cell" xfId="40610"/>
    <cellStyle name="SAS FM Invalid data cell" xfId="40611"/>
    <cellStyle name="SAS FM No query data cell" xfId="40612"/>
    <cellStyle name="SAS FM Protected Holdable member data cell" xfId="40613"/>
    <cellStyle name="SAS FM Protected member data cell" xfId="40614"/>
    <cellStyle name="SAS FM Read-only data cell (data entry table)" xfId="40615"/>
    <cellStyle name="SAS FM Read-only data cell (read-only table)" xfId="40616"/>
    <cellStyle name="SAS FM Row drillable header" xfId="40617"/>
    <cellStyle name="SAS FM Row header" xfId="40618"/>
    <cellStyle name="SAS FM Slicers" xfId="40619"/>
    <cellStyle name="SAS FM Supplemented member data cell" xfId="40620"/>
    <cellStyle name="SAS FM Visibility Protected member data cell" xfId="40621"/>
    <cellStyle name="SAS FM Writeable data cell" xfId="40622"/>
    <cellStyle name="Shares" xfId="40623"/>
    <cellStyle name="Sheet Title" xfId="40624"/>
    <cellStyle name="Standard_Erloese" xfId="40625"/>
    <cellStyle name="Styl 1" xfId="40626"/>
    <cellStyle name="Styl 1 2" xfId="40627"/>
    <cellStyle name="Styl 1 2 2" xfId="40628"/>
    <cellStyle name="Styl 1 2 3" xfId="40629"/>
    <cellStyle name="Styl 1 3" xfId="40630"/>
    <cellStyle name="Styl 1 3 2" xfId="40631"/>
    <cellStyle name="Styl 1 4" xfId="40632"/>
    <cellStyle name="Styl 1 5" xfId="40633"/>
    <cellStyle name="Styl 1_Kluczowe wielkości oper" xfId="40634"/>
    <cellStyle name="Style 1" xfId="40635"/>
    <cellStyle name="Subtitle" xfId="40636"/>
    <cellStyle name="Suma 10" xfId="40637"/>
    <cellStyle name="Suma 10 2" xfId="40638"/>
    <cellStyle name="Suma 10 2 2" xfId="40639"/>
    <cellStyle name="Suma 10 3" xfId="40640"/>
    <cellStyle name="Suma 11" xfId="40641"/>
    <cellStyle name="Suma 11 2" xfId="40642"/>
    <cellStyle name="Suma 11 3" xfId="40643"/>
    <cellStyle name="Suma 12" xfId="40644"/>
    <cellStyle name="Suma 12 2" xfId="40645"/>
    <cellStyle name="Suma 12 3" xfId="40646"/>
    <cellStyle name="Suma 13" xfId="40647"/>
    <cellStyle name="Suma 13 2" xfId="40648"/>
    <cellStyle name="Suma 13 3" xfId="40649"/>
    <cellStyle name="Suma 14" xfId="40650"/>
    <cellStyle name="Suma 14 2" xfId="40651"/>
    <cellStyle name="Suma 14 3" xfId="40652"/>
    <cellStyle name="Suma 15" xfId="40653"/>
    <cellStyle name="Suma 15 2" xfId="40654"/>
    <cellStyle name="Suma 15 3" xfId="40655"/>
    <cellStyle name="Suma 16" xfId="40656"/>
    <cellStyle name="Suma 16 2" xfId="40657"/>
    <cellStyle name="Suma 16 3" xfId="40658"/>
    <cellStyle name="Suma 17" xfId="40659"/>
    <cellStyle name="Suma 17 2" xfId="40660"/>
    <cellStyle name="Suma 17 3" xfId="40661"/>
    <cellStyle name="Suma 18" xfId="40662"/>
    <cellStyle name="Suma 18 2" xfId="40663"/>
    <cellStyle name="Suma 18 3" xfId="40664"/>
    <cellStyle name="Suma 19" xfId="40665"/>
    <cellStyle name="Suma 19 2" xfId="40666"/>
    <cellStyle name="Suma 19 3" xfId="40667"/>
    <cellStyle name="Suma 2" xfId="40668"/>
    <cellStyle name="Suma 2 10" xfId="40669"/>
    <cellStyle name="Suma 2 10 2" xfId="40670"/>
    <cellStyle name="Suma 2 10 3" xfId="40671"/>
    <cellStyle name="Suma 2 11" xfId="40672"/>
    <cellStyle name="Suma 2 11 2" xfId="40673"/>
    <cellStyle name="Suma 2 11 3" xfId="40674"/>
    <cellStyle name="Suma 2 12" xfId="40675"/>
    <cellStyle name="Suma 2 12 2" xfId="40676"/>
    <cellStyle name="Suma 2 12 3" xfId="40677"/>
    <cellStyle name="Suma 2 13" xfId="40678"/>
    <cellStyle name="Suma 2 13 2" xfId="40679"/>
    <cellStyle name="Suma 2 13 3" xfId="40680"/>
    <cellStyle name="Suma 2 14" xfId="40681"/>
    <cellStyle name="Suma 2 14 2" xfId="40682"/>
    <cellStyle name="Suma 2 14 3" xfId="40683"/>
    <cellStyle name="Suma 2 15" xfId="40684"/>
    <cellStyle name="Suma 2 15 2" xfId="40685"/>
    <cellStyle name="Suma 2 15 3" xfId="40686"/>
    <cellStyle name="Suma 2 16" xfId="40687"/>
    <cellStyle name="Suma 2 16 2" xfId="40688"/>
    <cellStyle name="Suma 2 16 3" xfId="40689"/>
    <cellStyle name="Suma 2 17" xfId="40690"/>
    <cellStyle name="Suma 2 17 2" xfId="40691"/>
    <cellStyle name="Suma 2 17 3" xfId="40692"/>
    <cellStyle name="Suma 2 18" xfId="40693"/>
    <cellStyle name="Suma 2 18 2" xfId="40694"/>
    <cellStyle name="Suma 2 18 3" xfId="40695"/>
    <cellStyle name="Suma 2 19" xfId="40696"/>
    <cellStyle name="Suma 2 19 2" xfId="40697"/>
    <cellStyle name="Suma 2 19 3" xfId="40698"/>
    <cellStyle name="Suma 2 2" xfId="40699"/>
    <cellStyle name="Suma 2 2 10" xfId="40700"/>
    <cellStyle name="Suma 2 2 10 2" xfId="40701"/>
    <cellStyle name="Suma 2 2 10 3" xfId="40702"/>
    <cellStyle name="Suma 2 2 11" xfId="40703"/>
    <cellStyle name="Suma 2 2 11 2" xfId="40704"/>
    <cellStyle name="Suma 2 2 11 3" xfId="40705"/>
    <cellStyle name="Suma 2 2 12" xfId="40706"/>
    <cellStyle name="Suma 2 2 12 2" xfId="40707"/>
    <cellStyle name="Suma 2 2 12 3" xfId="40708"/>
    <cellStyle name="Suma 2 2 13" xfId="40709"/>
    <cellStyle name="Suma 2 2 13 2" xfId="40710"/>
    <cellStyle name="Suma 2 2 13 3" xfId="40711"/>
    <cellStyle name="Suma 2 2 14" xfId="40712"/>
    <cellStyle name="Suma 2 2 14 2" xfId="40713"/>
    <cellStyle name="Suma 2 2 14 3" xfId="40714"/>
    <cellStyle name="Suma 2 2 15" xfId="40715"/>
    <cellStyle name="Suma 2 2 15 2" xfId="40716"/>
    <cellStyle name="Suma 2 2 15 3" xfId="40717"/>
    <cellStyle name="Suma 2 2 16" xfId="40718"/>
    <cellStyle name="Suma 2 2 16 2" xfId="40719"/>
    <cellStyle name="Suma 2 2 16 3" xfId="40720"/>
    <cellStyle name="Suma 2 2 17" xfId="40721"/>
    <cellStyle name="Suma 2 2 17 2" xfId="40722"/>
    <cellStyle name="Suma 2 2 17 3" xfId="40723"/>
    <cellStyle name="Suma 2 2 18" xfId="40724"/>
    <cellStyle name="Suma 2 2 18 2" xfId="40725"/>
    <cellStyle name="Suma 2 2 18 3" xfId="40726"/>
    <cellStyle name="Suma 2 2 19" xfId="40727"/>
    <cellStyle name="Suma 2 2 19 2" xfId="40728"/>
    <cellStyle name="Suma 2 2 19 3" xfId="40729"/>
    <cellStyle name="Suma 2 2 2" xfId="40730"/>
    <cellStyle name="Suma 2 2 2 2" xfId="40731"/>
    <cellStyle name="Suma 2 2 2 3" xfId="40732"/>
    <cellStyle name="Suma 2 2 3" xfId="40733"/>
    <cellStyle name="Suma 2 2 3 2" xfId="40734"/>
    <cellStyle name="Suma 2 2 3 3" xfId="40735"/>
    <cellStyle name="Suma 2 2 4" xfId="40736"/>
    <cellStyle name="Suma 2 2 4 2" xfId="40737"/>
    <cellStyle name="Suma 2 2 4 3" xfId="40738"/>
    <cellStyle name="Suma 2 2 5" xfId="40739"/>
    <cellStyle name="Suma 2 2 5 2" xfId="40740"/>
    <cellStyle name="Suma 2 2 5 3" xfId="40741"/>
    <cellStyle name="Suma 2 2 6" xfId="40742"/>
    <cellStyle name="Suma 2 2 6 2" xfId="40743"/>
    <cellStyle name="Suma 2 2 6 3" xfId="40744"/>
    <cellStyle name="Suma 2 2 7" xfId="40745"/>
    <cellStyle name="Suma 2 2 7 2" xfId="40746"/>
    <cellStyle name="Suma 2 2 7 3" xfId="40747"/>
    <cellStyle name="Suma 2 2 8" xfId="40748"/>
    <cellStyle name="Suma 2 2 8 2" xfId="40749"/>
    <cellStyle name="Suma 2 2 8 3" xfId="40750"/>
    <cellStyle name="Suma 2 2 9" xfId="40751"/>
    <cellStyle name="Suma 2 2 9 2" xfId="40752"/>
    <cellStyle name="Suma 2 2 9 3" xfId="40753"/>
    <cellStyle name="Suma 2 20" xfId="40754"/>
    <cellStyle name="Suma 2 20 2" xfId="40755"/>
    <cellStyle name="Suma 2 20 3" xfId="40756"/>
    <cellStyle name="Suma 2 21" xfId="40757"/>
    <cellStyle name="Suma 2 21 2" xfId="40758"/>
    <cellStyle name="Suma 2 21 3" xfId="40759"/>
    <cellStyle name="Suma 2 22" xfId="40760"/>
    <cellStyle name="Suma 2 22 2" xfId="40761"/>
    <cellStyle name="Suma 2 22 3" xfId="40762"/>
    <cellStyle name="Suma 2 23" xfId="40763"/>
    <cellStyle name="Suma 2 23 2" xfId="40764"/>
    <cellStyle name="Suma 2 23 3" xfId="40765"/>
    <cellStyle name="Suma 2 24" xfId="40766"/>
    <cellStyle name="Suma 2 24 2" xfId="40767"/>
    <cellStyle name="Suma 2 24 3" xfId="40768"/>
    <cellStyle name="Suma 2 25" xfId="40769"/>
    <cellStyle name="Suma 2 25 2" xfId="40770"/>
    <cellStyle name="Suma 2 25 3" xfId="40771"/>
    <cellStyle name="Suma 2 26" xfId="40772"/>
    <cellStyle name="Suma 2 26 2" xfId="40773"/>
    <cellStyle name="Suma 2 26 3" xfId="40774"/>
    <cellStyle name="Suma 2 3" xfId="40775"/>
    <cellStyle name="Suma 2 3 10" xfId="40776"/>
    <cellStyle name="Suma 2 3 10 2" xfId="40777"/>
    <cellStyle name="Suma 2 3 10 3" xfId="40778"/>
    <cellStyle name="Suma 2 3 11" xfId="40779"/>
    <cellStyle name="Suma 2 3 11 2" xfId="40780"/>
    <cellStyle name="Suma 2 3 11 3" xfId="40781"/>
    <cellStyle name="Suma 2 3 12" xfId="40782"/>
    <cellStyle name="Suma 2 3 12 2" xfId="40783"/>
    <cellStyle name="Suma 2 3 12 3" xfId="40784"/>
    <cellStyle name="Suma 2 3 13" xfId="40785"/>
    <cellStyle name="Suma 2 3 13 2" xfId="40786"/>
    <cellStyle name="Suma 2 3 13 3" xfId="40787"/>
    <cellStyle name="Suma 2 3 14" xfId="40788"/>
    <cellStyle name="Suma 2 3 14 2" xfId="40789"/>
    <cellStyle name="Suma 2 3 14 3" xfId="40790"/>
    <cellStyle name="Suma 2 3 15" xfId="40791"/>
    <cellStyle name="Suma 2 3 15 2" xfId="40792"/>
    <cellStyle name="Suma 2 3 15 3" xfId="40793"/>
    <cellStyle name="Suma 2 3 16" xfId="40794"/>
    <cellStyle name="Suma 2 3 16 2" xfId="40795"/>
    <cellStyle name="Suma 2 3 16 3" xfId="40796"/>
    <cellStyle name="Suma 2 3 17" xfId="40797"/>
    <cellStyle name="Suma 2 3 17 2" xfId="40798"/>
    <cellStyle name="Suma 2 3 17 3" xfId="40799"/>
    <cellStyle name="Suma 2 3 18" xfId="40800"/>
    <cellStyle name="Suma 2 3 18 2" xfId="40801"/>
    <cellStyle name="Suma 2 3 18 3" xfId="40802"/>
    <cellStyle name="Suma 2 3 19" xfId="40803"/>
    <cellStyle name="Suma 2 3 19 2" xfId="40804"/>
    <cellStyle name="Suma 2 3 19 3" xfId="40805"/>
    <cellStyle name="Suma 2 3 2" xfId="40806"/>
    <cellStyle name="Suma 2 3 2 2" xfId="40807"/>
    <cellStyle name="Suma 2 3 2 3" xfId="40808"/>
    <cellStyle name="Suma 2 3 3" xfId="40809"/>
    <cellStyle name="Suma 2 3 3 2" xfId="40810"/>
    <cellStyle name="Suma 2 3 3 3" xfId="40811"/>
    <cellStyle name="Suma 2 3 4" xfId="40812"/>
    <cellStyle name="Suma 2 3 4 2" xfId="40813"/>
    <cellStyle name="Suma 2 3 4 3" xfId="40814"/>
    <cellStyle name="Suma 2 3 5" xfId="40815"/>
    <cellStyle name="Suma 2 3 5 2" xfId="40816"/>
    <cellStyle name="Suma 2 3 5 3" xfId="40817"/>
    <cellStyle name="Suma 2 3 6" xfId="40818"/>
    <cellStyle name="Suma 2 3 6 2" xfId="40819"/>
    <cellStyle name="Suma 2 3 6 3" xfId="40820"/>
    <cellStyle name="Suma 2 3 7" xfId="40821"/>
    <cellStyle name="Suma 2 3 7 2" xfId="40822"/>
    <cellStyle name="Suma 2 3 7 3" xfId="40823"/>
    <cellStyle name="Suma 2 3 8" xfId="40824"/>
    <cellStyle name="Suma 2 3 8 2" xfId="40825"/>
    <cellStyle name="Suma 2 3 8 3" xfId="40826"/>
    <cellStyle name="Suma 2 3 9" xfId="40827"/>
    <cellStyle name="Suma 2 3 9 2" xfId="40828"/>
    <cellStyle name="Suma 2 3 9 3" xfId="40829"/>
    <cellStyle name="Suma 2 4" xfId="40830"/>
    <cellStyle name="Suma 2 4 10" xfId="40831"/>
    <cellStyle name="Suma 2 4 10 2" xfId="40832"/>
    <cellStyle name="Suma 2 4 10 3" xfId="40833"/>
    <cellStyle name="Suma 2 4 11" xfId="40834"/>
    <cellStyle name="Suma 2 4 11 2" xfId="40835"/>
    <cellStyle name="Suma 2 4 11 3" xfId="40836"/>
    <cellStyle name="Suma 2 4 12" xfId="40837"/>
    <cellStyle name="Suma 2 4 12 2" xfId="40838"/>
    <cellStyle name="Suma 2 4 12 3" xfId="40839"/>
    <cellStyle name="Suma 2 4 13" xfId="40840"/>
    <cellStyle name="Suma 2 4 13 2" xfId="40841"/>
    <cellStyle name="Suma 2 4 13 3" xfId="40842"/>
    <cellStyle name="Suma 2 4 14" xfId="40843"/>
    <cellStyle name="Suma 2 4 14 2" xfId="40844"/>
    <cellStyle name="Suma 2 4 14 3" xfId="40845"/>
    <cellStyle name="Suma 2 4 15" xfId="40846"/>
    <cellStyle name="Suma 2 4 15 2" xfId="40847"/>
    <cellStyle name="Suma 2 4 15 3" xfId="40848"/>
    <cellStyle name="Suma 2 4 16" xfId="40849"/>
    <cellStyle name="Suma 2 4 16 2" xfId="40850"/>
    <cellStyle name="Suma 2 4 16 3" xfId="40851"/>
    <cellStyle name="Suma 2 4 17" xfId="40852"/>
    <cellStyle name="Suma 2 4 17 2" xfId="40853"/>
    <cellStyle name="Suma 2 4 17 3" xfId="40854"/>
    <cellStyle name="Suma 2 4 18" xfId="40855"/>
    <cellStyle name="Suma 2 4 18 2" xfId="40856"/>
    <cellStyle name="Suma 2 4 18 3" xfId="40857"/>
    <cellStyle name="Suma 2 4 19" xfId="40858"/>
    <cellStyle name="Suma 2 4 19 2" xfId="40859"/>
    <cellStyle name="Suma 2 4 19 3" xfId="40860"/>
    <cellStyle name="Suma 2 4 2" xfId="40861"/>
    <cellStyle name="Suma 2 4 2 2" xfId="40862"/>
    <cellStyle name="Suma 2 4 2 3" xfId="40863"/>
    <cellStyle name="Suma 2 4 3" xfId="40864"/>
    <cellStyle name="Suma 2 4 3 2" xfId="40865"/>
    <cellStyle name="Suma 2 4 3 3" xfId="40866"/>
    <cellStyle name="Suma 2 4 4" xfId="40867"/>
    <cellStyle name="Suma 2 4 4 2" xfId="40868"/>
    <cellStyle name="Suma 2 4 4 3" xfId="40869"/>
    <cellStyle name="Suma 2 4 5" xfId="40870"/>
    <cellStyle name="Suma 2 4 5 2" xfId="40871"/>
    <cellStyle name="Suma 2 4 5 3" xfId="40872"/>
    <cellStyle name="Suma 2 4 6" xfId="40873"/>
    <cellStyle name="Suma 2 4 6 2" xfId="40874"/>
    <cellStyle name="Suma 2 4 6 3" xfId="40875"/>
    <cellStyle name="Suma 2 4 7" xfId="40876"/>
    <cellStyle name="Suma 2 4 7 2" xfId="40877"/>
    <cellStyle name="Suma 2 4 7 3" xfId="40878"/>
    <cellStyle name="Suma 2 4 8" xfId="40879"/>
    <cellStyle name="Suma 2 4 8 2" xfId="40880"/>
    <cellStyle name="Suma 2 4 8 3" xfId="40881"/>
    <cellStyle name="Suma 2 4 9" xfId="40882"/>
    <cellStyle name="Suma 2 4 9 2" xfId="40883"/>
    <cellStyle name="Suma 2 4 9 3" xfId="40884"/>
    <cellStyle name="Suma 2 5" xfId="40885"/>
    <cellStyle name="Suma 2 5 10" xfId="40886"/>
    <cellStyle name="Suma 2 5 10 2" xfId="40887"/>
    <cellStyle name="Suma 2 5 10 3" xfId="40888"/>
    <cellStyle name="Suma 2 5 11" xfId="40889"/>
    <cellStyle name="Suma 2 5 11 2" xfId="40890"/>
    <cellStyle name="Suma 2 5 11 3" xfId="40891"/>
    <cellStyle name="Suma 2 5 12" xfId="40892"/>
    <cellStyle name="Suma 2 5 12 2" xfId="40893"/>
    <cellStyle name="Suma 2 5 12 3" xfId="40894"/>
    <cellStyle name="Suma 2 5 13" xfId="40895"/>
    <cellStyle name="Suma 2 5 13 2" xfId="40896"/>
    <cellStyle name="Suma 2 5 13 3" xfId="40897"/>
    <cellStyle name="Suma 2 5 14" xfId="40898"/>
    <cellStyle name="Suma 2 5 14 2" xfId="40899"/>
    <cellStyle name="Suma 2 5 14 3" xfId="40900"/>
    <cellStyle name="Suma 2 5 15" xfId="40901"/>
    <cellStyle name="Suma 2 5 15 2" xfId="40902"/>
    <cellStyle name="Suma 2 5 15 3" xfId="40903"/>
    <cellStyle name="Suma 2 5 16" xfId="40904"/>
    <cellStyle name="Suma 2 5 16 2" xfId="40905"/>
    <cellStyle name="Suma 2 5 16 3" xfId="40906"/>
    <cellStyle name="Suma 2 5 17" xfId="40907"/>
    <cellStyle name="Suma 2 5 17 2" xfId="40908"/>
    <cellStyle name="Suma 2 5 17 3" xfId="40909"/>
    <cellStyle name="Suma 2 5 18" xfId="40910"/>
    <cellStyle name="Suma 2 5 18 2" xfId="40911"/>
    <cellStyle name="Suma 2 5 18 3" xfId="40912"/>
    <cellStyle name="Suma 2 5 19" xfId="40913"/>
    <cellStyle name="Suma 2 5 19 2" xfId="40914"/>
    <cellStyle name="Suma 2 5 19 3" xfId="40915"/>
    <cellStyle name="Suma 2 5 2" xfId="40916"/>
    <cellStyle name="Suma 2 5 2 2" xfId="40917"/>
    <cellStyle name="Suma 2 5 2 3" xfId="40918"/>
    <cellStyle name="Suma 2 5 3" xfId="40919"/>
    <cellStyle name="Suma 2 5 3 2" xfId="40920"/>
    <cellStyle name="Suma 2 5 3 3" xfId="40921"/>
    <cellStyle name="Suma 2 5 4" xfId="40922"/>
    <cellStyle name="Suma 2 5 4 2" xfId="40923"/>
    <cellStyle name="Suma 2 5 4 3" xfId="40924"/>
    <cellStyle name="Suma 2 5 5" xfId="40925"/>
    <cellStyle name="Suma 2 5 5 2" xfId="40926"/>
    <cellStyle name="Suma 2 5 5 3" xfId="40927"/>
    <cellStyle name="Suma 2 5 6" xfId="40928"/>
    <cellStyle name="Suma 2 5 6 2" xfId="40929"/>
    <cellStyle name="Suma 2 5 6 3" xfId="40930"/>
    <cellStyle name="Suma 2 5 7" xfId="40931"/>
    <cellStyle name="Suma 2 5 7 2" xfId="40932"/>
    <cellStyle name="Suma 2 5 7 3" xfId="40933"/>
    <cellStyle name="Suma 2 5 8" xfId="40934"/>
    <cellStyle name="Suma 2 5 8 2" xfId="40935"/>
    <cellStyle name="Suma 2 5 8 3" xfId="40936"/>
    <cellStyle name="Suma 2 5 9" xfId="40937"/>
    <cellStyle name="Suma 2 5 9 2" xfId="40938"/>
    <cellStyle name="Suma 2 5 9 3" xfId="40939"/>
    <cellStyle name="Suma 2 6" xfId="40940"/>
    <cellStyle name="Suma 2 6 10" xfId="40941"/>
    <cellStyle name="Suma 2 6 10 2" xfId="40942"/>
    <cellStyle name="Suma 2 6 10 3" xfId="40943"/>
    <cellStyle name="Suma 2 6 11" xfId="40944"/>
    <cellStyle name="Suma 2 6 11 2" xfId="40945"/>
    <cellStyle name="Suma 2 6 11 3" xfId="40946"/>
    <cellStyle name="Suma 2 6 12" xfId="40947"/>
    <cellStyle name="Suma 2 6 12 2" xfId="40948"/>
    <cellStyle name="Suma 2 6 12 3" xfId="40949"/>
    <cellStyle name="Suma 2 6 13" xfId="40950"/>
    <cellStyle name="Suma 2 6 13 2" xfId="40951"/>
    <cellStyle name="Suma 2 6 13 3" xfId="40952"/>
    <cellStyle name="Suma 2 6 14" xfId="40953"/>
    <cellStyle name="Suma 2 6 14 2" xfId="40954"/>
    <cellStyle name="Suma 2 6 14 3" xfId="40955"/>
    <cellStyle name="Suma 2 6 15" xfId="40956"/>
    <cellStyle name="Suma 2 6 15 2" xfId="40957"/>
    <cellStyle name="Suma 2 6 15 3" xfId="40958"/>
    <cellStyle name="Suma 2 6 16" xfId="40959"/>
    <cellStyle name="Suma 2 6 16 2" xfId="40960"/>
    <cellStyle name="Suma 2 6 16 3" xfId="40961"/>
    <cellStyle name="Suma 2 6 17" xfId="40962"/>
    <cellStyle name="Suma 2 6 17 2" xfId="40963"/>
    <cellStyle name="Suma 2 6 17 3" xfId="40964"/>
    <cellStyle name="Suma 2 6 18" xfId="40965"/>
    <cellStyle name="Suma 2 6 18 2" xfId="40966"/>
    <cellStyle name="Suma 2 6 18 3" xfId="40967"/>
    <cellStyle name="Suma 2 6 19" xfId="40968"/>
    <cellStyle name="Suma 2 6 19 2" xfId="40969"/>
    <cellStyle name="Suma 2 6 19 3" xfId="40970"/>
    <cellStyle name="Suma 2 6 2" xfId="40971"/>
    <cellStyle name="Suma 2 6 2 2" xfId="40972"/>
    <cellStyle name="Suma 2 6 2 3" xfId="40973"/>
    <cellStyle name="Suma 2 6 3" xfId="40974"/>
    <cellStyle name="Suma 2 6 3 2" xfId="40975"/>
    <cellStyle name="Suma 2 6 3 3" xfId="40976"/>
    <cellStyle name="Suma 2 6 4" xfId="40977"/>
    <cellStyle name="Suma 2 6 4 2" xfId="40978"/>
    <cellStyle name="Suma 2 6 4 3" xfId="40979"/>
    <cellStyle name="Suma 2 6 5" xfId="40980"/>
    <cellStyle name="Suma 2 6 5 2" xfId="40981"/>
    <cellStyle name="Suma 2 6 5 3" xfId="40982"/>
    <cellStyle name="Suma 2 6 6" xfId="40983"/>
    <cellStyle name="Suma 2 6 6 2" xfId="40984"/>
    <cellStyle name="Suma 2 6 6 3" xfId="40985"/>
    <cellStyle name="Suma 2 6 7" xfId="40986"/>
    <cellStyle name="Suma 2 6 7 2" xfId="40987"/>
    <cellStyle name="Suma 2 6 7 3" xfId="40988"/>
    <cellStyle name="Suma 2 6 8" xfId="40989"/>
    <cellStyle name="Suma 2 6 8 2" xfId="40990"/>
    <cellStyle name="Suma 2 6 8 3" xfId="40991"/>
    <cellStyle name="Suma 2 6 9" xfId="40992"/>
    <cellStyle name="Suma 2 6 9 2" xfId="40993"/>
    <cellStyle name="Suma 2 6 9 3" xfId="40994"/>
    <cellStyle name="Suma 2 7" xfId="40995"/>
    <cellStyle name="Suma 2 7 10" xfId="40996"/>
    <cellStyle name="Suma 2 7 10 2" xfId="40997"/>
    <cellStyle name="Suma 2 7 10 3" xfId="40998"/>
    <cellStyle name="Suma 2 7 11" xfId="40999"/>
    <cellStyle name="Suma 2 7 11 2" xfId="41000"/>
    <cellStyle name="Suma 2 7 11 3" xfId="41001"/>
    <cellStyle name="Suma 2 7 12" xfId="41002"/>
    <cellStyle name="Suma 2 7 12 2" xfId="41003"/>
    <cellStyle name="Suma 2 7 12 3" xfId="41004"/>
    <cellStyle name="Suma 2 7 13" xfId="41005"/>
    <cellStyle name="Suma 2 7 13 2" xfId="41006"/>
    <cellStyle name="Suma 2 7 13 3" xfId="41007"/>
    <cellStyle name="Suma 2 7 14" xfId="41008"/>
    <cellStyle name="Suma 2 7 14 2" xfId="41009"/>
    <cellStyle name="Suma 2 7 14 3" xfId="41010"/>
    <cellStyle name="Suma 2 7 15" xfId="41011"/>
    <cellStyle name="Suma 2 7 15 2" xfId="41012"/>
    <cellStyle name="Suma 2 7 15 3" xfId="41013"/>
    <cellStyle name="Suma 2 7 16" xfId="41014"/>
    <cellStyle name="Suma 2 7 16 2" xfId="41015"/>
    <cellStyle name="Suma 2 7 16 3" xfId="41016"/>
    <cellStyle name="Suma 2 7 17" xfId="41017"/>
    <cellStyle name="Suma 2 7 17 2" xfId="41018"/>
    <cellStyle name="Suma 2 7 17 3" xfId="41019"/>
    <cellStyle name="Suma 2 7 18" xfId="41020"/>
    <cellStyle name="Suma 2 7 18 2" xfId="41021"/>
    <cellStyle name="Suma 2 7 18 3" xfId="41022"/>
    <cellStyle name="Suma 2 7 19" xfId="41023"/>
    <cellStyle name="Suma 2 7 19 2" xfId="41024"/>
    <cellStyle name="Suma 2 7 19 3" xfId="41025"/>
    <cellStyle name="Suma 2 7 2" xfId="41026"/>
    <cellStyle name="Suma 2 7 2 2" xfId="41027"/>
    <cellStyle name="Suma 2 7 2 3" xfId="41028"/>
    <cellStyle name="Suma 2 7 3" xfId="41029"/>
    <cellStyle name="Suma 2 7 3 2" xfId="41030"/>
    <cellStyle name="Suma 2 7 3 3" xfId="41031"/>
    <cellStyle name="Suma 2 7 4" xfId="41032"/>
    <cellStyle name="Suma 2 7 4 2" xfId="41033"/>
    <cellStyle name="Suma 2 7 4 3" xfId="41034"/>
    <cellStyle name="Suma 2 7 5" xfId="41035"/>
    <cellStyle name="Suma 2 7 5 2" xfId="41036"/>
    <cellStyle name="Suma 2 7 5 3" xfId="41037"/>
    <cellStyle name="Suma 2 7 6" xfId="41038"/>
    <cellStyle name="Suma 2 7 6 2" xfId="41039"/>
    <cellStyle name="Suma 2 7 6 3" xfId="41040"/>
    <cellStyle name="Suma 2 7 7" xfId="41041"/>
    <cellStyle name="Suma 2 7 7 2" xfId="41042"/>
    <cellStyle name="Suma 2 7 7 3" xfId="41043"/>
    <cellStyle name="Suma 2 7 8" xfId="41044"/>
    <cellStyle name="Suma 2 7 8 2" xfId="41045"/>
    <cellStyle name="Suma 2 7 8 3" xfId="41046"/>
    <cellStyle name="Suma 2 7 9" xfId="41047"/>
    <cellStyle name="Suma 2 7 9 2" xfId="41048"/>
    <cellStyle name="Suma 2 7 9 3" xfId="41049"/>
    <cellStyle name="Suma 2 8" xfId="41050"/>
    <cellStyle name="Suma 2 8 10" xfId="41051"/>
    <cellStyle name="Suma 2 8 10 2" xfId="41052"/>
    <cellStyle name="Suma 2 8 10 3" xfId="41053"/>
    <cellStyle name="Suma 2 8 11" xfId="41054"/>
    <cellStyle name="Suma 2 8 11 2" xfId="41055"/>
    <cellStyle name="Suma 2 8 11 3" xfId="41056"/>
    <cellStyle name="Suma 2 8 12" xfId="41057"/>
    <cellStyle name="Suma 2 8 12 2" xfId="41058"/>
    <cellStyle name="Suma 2 8 12 3" xfId="41059"/>
    <cellStyle name="Suma 2 8 13" xfId="41060"/>
    <cellStyle name="Suma 2 8 13 2" xfId="41061"/>
    <cellStyle name="Suma 2 8 13 3" xfId="41062"/>
    <cellStyle name="Suma 2 8 14" xfId="41063"/>
    <cellStyle name="Suma 2 8 14 2" xfId="41064"/>
    <cellStyle name="Suma 2 8 14 3" xfId="41065"/>
    <cellStyle name="Suma 2 8 15" xfId="41066"/>
    <cellStyle name="Suma 2 8 15 2" xfId="41067"/>
    <cellStyle name="Suma 2 8 15 3" xfId="41068"/>
    <cellStyle name="Suma 2 8 16" xfId="41069"/>
    <cellStyle name="Suma 2 8 16 2" xfId="41070"/>
    <cellStyle name="Suma 2 8 16 3" xfId="41071"/>
    <cellStyle name="Suma 2 8 17" xfId="41072"/>
    <cellStyle name="Suma 2 8 17 2" xfId="41073"/>
    <cellStyle name="Suma 2 8 17 3" xfId="41074"/>
    <cellStyle name="Suma 2 8 18" xfId="41075"/>
    <cellStyle name="Suma 2 8 18 2" xfId="41076"/>
    <cellStyle name="Suma 2 8 18 3" xfId="41077"/>
    <cellStyle name="Suma 2 8 19" xfId="41078"/>
    <cellStyle name="Suma 2 8 19 2" xfId="41079"/>
    <cellStyle name="Suma 2 8 19 3" xfId="41080"/>
    <cellStyle name="Suma 2 8 2" xfId="41081"/>
    <cellStyle name="Suma 2 8 2 2" xfId="41082"/>
    <cellStyle name="Suma 2 8 2 3" xfId="41083"/>
    <cellStyle name="Suma 2 8 3" xfId="41084"/>
    <cellStyle name="Suma 2 8 3 2" xfId="41085"/>
    <cellStyle name="Suma 2 8 3 3" xfId="41086"/>
    <cellStyle name="Suma 2 8 4" xfId="41087"/>
    <cellStyle name="Suma 2 8 4 2" xfId="41088"/>
    <cellStyle name="Suma 2 8 4 3" xfId="41089"/>
    <cellStyle name="Suma 2 8 5" xfId="41090"/>
    <cellStyle name="Suma 2 8 5 2" xfId="41091"/>
    <cellStyle name="Suma 2 8 5 3" xfId="41092"/>
    <cellStyle name="Suma 2 8 6" xfId="41093"/>
    <cellStyle name="Suma 2 8 6 2" xfId="41094"/>
    <cellStyle name="Suma 2 8 6 3" xfId="41095"/>
    <cellStyle name="Suma 2 8 7" xfId="41096"/>
    <cellStyle name="Suma 2 8 7 2" xfId="41097"/>
    <cellStyle name="Suma 2 8 7 3" xfId="41098"/>
    <cellStyle name="Suma 2 8 8" xfId="41099"/>
    <cellStyle name="Suma 2 8 8 2" xfId="41100"/>
    <cellStyle name="Suma 2 8 8 3" xfId="41101"/>
    <cellStyle name="Suma 2 8 9" xfId="41102"/>
    <cellStyle name="Suma 2 8 9 2" xfId="41103"/>
    <cellStyle name="Suma 2 8 9 3" xfId="41104"/>
    <cellStyle name="Suma 2 9" xfId="41105"/>
    <cellStyle name="Suma 2 9 2" xfId="41106"/>
    <cellStyle name="Suma 2 9 3" xfId="41107"/>
    <cellStyle name="Suma 20" xfId="41108"/>
    <cellStyle name="Suma 20 2" xfId="41109"/>
    <cellStyle name="Suma 20 3" xfId="41110"/>
    <cellStyle name="Suma 21" xfId="41111"/>
    <cellStyle name="Suma 21 2" xfId="41112"/>
    <cellStyle name="Suma 21 3" xfId="41113"/>
    <cellStyle name="Suma 22" xfId="41114"/>
    <cellStyle name="Suma 22 2" xfId="41115"/>
    <cellStyle name="Suma 22 3" xfId="41116"/>
    <cellStyle name="Suma 23" xfId="41117"/>
    <cellStyle name="Suma 23 2" xfId="41118"/>
    <cellStyle name="Suma 23 3" xfId="41119"/>
    <cellStyle name="Suma 24" xfId="41120"/>
    <cellStyle name="Suma 24 2" xfId="41121"/>
    <cellStyle name="Suma 24 3" xfId="41122"/>
    <cellStyle name="Suma 25" xfId="41123"/>
    <cellStyle name="Suma 25 2" xfId="41124"/>
    <cellStyle name="Suma 25 3" xfId="41125"/>
    <cellStyle name="Suma 26" xfId="41126"/>
    <cellStyle name="Suma 27" xfId="41127"/>
    <cellStyle name="Suma 3" xfId="41128"/>
    <cellStyle name="Suma 3 10" xfId="41129"/>
    <cellStyle name="Suma 3 10 2" xfId="41130"/>
    <cellStyle name="Suma 3 10 3" xfId="41131"/>
    <cellStyle name="Suma 3 11" xfId="41132"/>
    <cellStyle name="Suma 3 11 2" xfId="41133"/>
    <cellStyle name="Suma 3 11 3" xfId="41134"/>
    <cellStyle name="Suma 3 12" xfId="41135"/>
    <cellStyle name="Suma 3 12 2" xfId="41136"/>
    <cellStyle name="Suma 3 12 3" xfId="41137"/>
    <cellStyle name="Suma 3 13" xfId="41138"/>
    <cellStyle name="Suma 3 13 2" xfId="41139"/>
    <cellStyle name="Suma 3 13 3" xfId="41140"/>
    <cellStyle name="Suma 3 14" xfId="41141"/>
    <cellStyle name="Suma 3 14 2" xfId="41142"/>
    <cellStyle name="Suma 3 14 3" xfId="41143"/>
    <cellStyle name="Suma 3 15" xfId="41144"/>
    <cellStyle name="Suma 3 15 2" xfId="41145"/>
    <cellStyle name="Suma 3 15 3" xfId="41146"/>
    <cellStyle name="Suma 3 16" xfId="41147"/>
    <cellStyle name="Suma 3 16 2" xfId="41148"/>
    <cellStyle name="Suma 3 16 3" xfId="41149"/>
    <cellStyle name="Suma 3 17" xfId="41150"/>
    <cellStyle name="Suma 3 17 2" xfId="41151"/>
    <cellStyle name="Suma 3 17 3" xfId="41152"/>
    <cellStyle name="Suma 3 18" xfId="41153"/>
    <cellStyle name="Suma 3 18 2" xfId="41154"/>
    <cellStyle name="Suma 3 18 3" xfId="41155"/>
    <cellStyle name="Suma 3 19" xfId="41156"/>
    <cellStyle name="Suma 3 19 2" xfId="41157"/>
    <cellStyle name="Suma 3 19 3" xfId="41158"/>
    <cellStyle name="Suma 3 2" xfId="41159"/>
    <cellStyle name="Suma 3 2 2" xfId="41160"/>
    <cellStyle name="Suma 3 2 3" xfId="41161"/>
    <cellStyle name="Suma 3 3" xfId="41162"/>
    <cellStyle name="Suma 3 3 2" xfId="41163"/>
    <cellStyle name="Suma 3 3 3" xfId="41164"/>
    <cellStyle name="Suma 3 4" xfId="41165"/>
    <cellStyle name="Suma 3 4 2" xfId="41166"/>
    <cellStyle name="Suma 3 4 3" xfId="41167"/>
    <cellStyle name="Suma 3 5" xfId="41168"/>
    <cellStyle name="Suma 3 5 2" xfId="41169"/>
    <cellStyle name="Suma 3 5 3" xfId="41170"/>
    <cellStyle name="Suma 3 6" xfId="41171"/>
    <cellStyle name="Suma 3 6 2" xfId="41172"/>
    <cellStyle name="Suma 3 6 3" xfId="41173"/>
    <cellStyle name="Suma 3 7" xfId="41174"/>
    <cellStyle name="Suma 3 7 2" xfId="41175"/>
    <cellStyle name="Suma 3 7 3" xfId="41176"/>
    <cellStyle name="Suma 3 8" xfId="41177"/>
    <cellStyle name="Suma 3 8 2" xfId="41178"/>
    <cellStyle name="Suma 3 8 3" xfId="41179"/>
    <cellStyle name="Suma 3 9" xfId="41180"/>
    <cellStyle name="Suma 3 9 2" xfId="41181"/>
    <cellStyle name="Suma 3 9 3" xfId="41182"/>
    <cellStyle name="Suma 4" xfId="41183"/>
    <cellStyle name="Suma 4 10" xfId="41184"/>
    <cellStyle name="Suma 4 10 2" xfId="41185"/>
    <cellStyle name="Suma 4 10 3" xfId="41186"/>
    <cellStyle name="Suma 4 11" xfId="41187"/>
    <cellStyle name="Suma 4 11 2" xfId="41188"/>
    <cellStyle name="Suma 4 11 3" xfId="41189"/>
    <cellStyle name="Suma 4 12" xfId="41190"/>
    <cellStyle name="Suma 4 12 2" xfId="41191"/>
    <cellStyle name="Suma 4 12 3" xfId="41192"/>
    <cellStyle name="Suma 4 13" xfId="41193"/>
    <cellStyle name="Suma 4 13 2" xfId="41194"/>
    <cellStyle name="Suma 4 13 3" xfId="41195"/>
    <cellStyle name="Suma 4 14" xfId="41196"/>
    <cellStyle name="Suma 4 14 2" xfId="41197"/>
    <cellStyle name="Suma 4 14 3" xfId="41198"/>
    <cellStyle name="Suma 4 15" xfId="41199"/>
    <cellStyle name="Suma 4 15 2" xfId="41200"/>
    <cellStyle name="Suma 4 15 3" xfId="41201"/>
    <cellStyle name="Suma 4 16" xfId="41202"/>
    <cellStyle name="Suma 4 16 2" xfId="41203"/>
    <cellStyle name="Suma 4 16 3" xfId="41204"/>
    <cellStyle name="Suma 4 17" xfId="41205"/>
    <cellStyle name="Suma 4 17 2" xfId="41206"/>
    <cellStyle name="Suma 4 17 3" xfId="41207"/>
    <cellStyle name="Suma 4 18" xfId="41208"/>
    <cellStyle name="Suma 4 18 2" xfId="41209"/>
    <cellStyle name="Suma 4 18 3" xfId="41210"/>
    <cellStyle name="Suma 4 19" xfId="41211"/>
    <cellStyle name="Suma 4 19 2" xfId="41212"/>
    <cellStyle name="Suma 4 19 3" xfId="41213"/>
    <cellStyle name="Suma 4 2" xfId="41214"/>
    <cellStyle name="Suma 4 2 10" xfId="41215"/>
    <cellStyle name="Suma 4 2 10 2" xfId="41216"/>
    <cellStyle name="Suma 4 2 10 3" xfId="41217"/>
    <cellStyle name="Suma 4 2 11" xfId="41218"/>
    <cellStyle name="Suma 4 2 11 2" xfId="41219"/>
    <cellStyle name="Suma 4 2 11 3" xfId="41220"/>
    <cellStyle name="Suma 4 2 12" xfId="41221"/>
    <cellStyle name="Suma 4 2 12 2" xfId="41222"/>
    <cellStyle name="Suma 4 2 12 3" xfId="41223"/>
    <cellStyle name="Suma 4 2 13" xfId="41224"/>
    <cellStyle name="Suma 4 2 13 2" xfId="41225"/>
    <cellStyle name="Suma 4 2 13 3" xfId="41226"/>
    <cellStyle name="Suma 4 2 14" xfId="41227"/>
    <cellStyle name="Suma 4 2 14 2" xfId="41228"/>
    <cellStyle name="Suma 4 2 14 3" xfId="41229"/>
    <cellStyle name="Suma 4 2 15" xfId="41230"/>
    <cellStyle name="Suma 4 2 15 2" xfId="41231"/>
    <cellStyle name="Suma 4 2 15 3" xfId="41232"/>
    <cellStyle name="Suma 4 2 16" xfId="41233"/>
    <cellStyle name="Suma 4 2 16 2" xfId="41234"/>
    <cellStyle name="Suma 4 2 16 3" xfId="41235"/>
    <cellStyle name="Suma 4 2 17" xfId="41236"/>
    <cellStyle name="Suma 4 2 17 2" xfId="41237"/>
    <cellStyle name="Suma 4 2 17 3" xfId="41238"/>
    <cellStyle name="Suma 4 2 18" xfId="41239"/>
    <cellStyle name="Suma 4 2 18 2" xfId="41240"/>
    <cellStyle name="Suma 4 2 18 3" xfId="41241"/>
    <cellStyle name="Suma 4 2 19" xfId="41242"/>
    <cellStyle name="Suma 4 2 19 2" xfId="41243"/>
    <cellStyle name="Suma 4 2 19 3" xfId="41244"/>
    <cellStyle name="Suma 4 2 2" xfId="41245"/>
    <cellStyle name="Suma 4 2 2 2" xfId="41246"/>
    <cellStyle name="Suma 4 2 2 3" xfId="41247"/>
    <cellStyle name="Suma 4 2 3" xfId="41248"/>
    <cellStyle name="Suma 4 2 3 2" xfId="41249"/>
    <cellStyle name="Suma 4 2 3 3" xfId="41250"/>
    <cellStyle name="Suma 4 2 4" xfId="41251"/>
    <cellStyle name="Suma 4 2 4 2" xfId="41252"/>
    <cellStyle name="Suma 4 2 4 3" xfId="41253"/>
    <cellStyle name="Suma 4 2 5" xfId="41254"/>
    <cellStyle name="Suma 4 2 5 2" xfId="41255"/>
    <cellStyle name="Suma 4 2 5 3" xfId="41256"/>
    <cellStyle name="Suma 4 2 6" xfId="41257"/>
    <cellStyle name="Suma 4 2 6 2" xfId="41258"/>
    <cellStyle name="Suma 4 2 6 3" xfId="41259"/>
    <cellStyle name="Suma 4 2 7" xfId="41260"/>
    <cellStyle name="Suma 4 2 7 2" xfId="41261"/>
    <cellStyle name="Suma 4 2 7 3" xfId="41262"/>
    <cellStyle name="Suma 4 2 8" xfId="41263"/>
    <cellStyle name="Suma 4 2 8 2" xfId="41264"/>
    <cellStyle name="Suma 4 2 8 3" xfId="41265"/>
    <cellStyle name="Suma 4 2 9" xfId="41266"/>
    <cellStyle name="Suma 4 2 9 2" xfId="41267"/>
    <cellStyle name="Suma 4 2 9 3" xfId="41268"/>
    <cellStyle name="Suma 4 20" xfId="41269"/>
    <cellStyle name="Suma 4 20 2" xfId="41270"/>
    <cellStyle name="Suma 4 20 3" xfId="41271"/>
    <cellStyle name="Suma 4 21" xfId="41272"/>
    <cellStyle name="Suma 4 21 2" xfId="41273"/>
    <cellStyle name="Suma 4 21 3" xfId="41274"/>
    <cellStyle name="Suma 4 3" xfId="41275"/>
    <cellStyle name="Suma 4 3 10" xfId="41276"/>
    <cellStyle name="Suma 4 3 10 2" xfId="41277"/>
    <cellStyle name="Suma 4 3 10 3" xfId="41278"/>
    <cellStyle name="Suma 4 3 11" xfId="41279"/>
    <cellStyle name="Suma 4 3 11 2" xfId="41280"/>
    <cellStyle name="Suma 4 3 11 3" xfId="41281"/>
    <cellStyle name="Suma 4 3 12" xfId="41282"/>
    <cellStyle name="Suma 4 3 12 2" xfId="41283"/>
    <cellStyle name="Suma 4 3 12 3" xfId="41284"/>
    <cellStyle name="Suma 4 3 13" xfId="41285"/>
    <cellStyle name="Suma 4 3 13 2" xfId="41286"/>
    <cellStyle name="Suma 4 3 13 3" xfId="41287"/>
    <cellStyle name="Suma 4 3 14" xfId="41288"/>
    <cellStyle name="Suma 4 3 14 2" xfId="41289"/>
    <cellStyle name="Suma 4 3 14 3" xfId="41290"/>
    <cellStyle name="Suma 4 3 15" xfId="41291"/>
    <cellStyle name="Suma 4 3 15 2" xfId="41292"/>
    <cellStyle name="Suma 4 3 15 3" xfId="41293"/>
    <cellStyle name="Suma 4 3 16" xfId="41294"/>
    <cellStyle name="Suma 4 3 16 2" xfId="41295"/>
    <cellStyle name="Suma 4 3 16 3" xfId="41296"/>
    <cellStyle name="Suma 4 3 17" xfId="41297"/>
    <cellStyle name="Suma 4 3 17 2" xfId="41298"/>
    <cellStyle name="Suma 4 3 17 3" xfId="41299"/>
    <cellStyle name="Suma 4 3 18" xfId="41300"/>
    <cellStyle name="Suma 4 3 18 2" xfId="41301"/>
    <cellStyle name="Suma 4 3 18 3" xfId="41302"/>
    <cellStyle name="Suma 4 3 19" xfId="41303"/>
    <cellStyle name="Suma 4 3 19 2" xfId="41304"/>
    <cellStyle name="Suma 4 3 19 3" xfId="41305"/>
    <cellStyle name="Suma 4 3 2" xfId="41306"/>
    <cellStyle name="Suma 4 3 2 2" xfId="41307"/>
    <cellStyle name="Suma 4 3 2 3" xfId="41308"/>
    <cellStyle name="Suma 4 3 3" xfId="41309"/>
    <cellStyle name="Suma 4 3 3 2" xfId="41310"/>
    <cellStyle name="Suma 4 3 3 3" xfId="41311"/>
    <cellStyle name="Suma 4 3 4" xfId="41312"/>
    <cellStyle name="Suma 4 3 4 2" xfId="41313"/>
    <cellStyle name="Suma 4 3 4 3" xfId="41314"/>
    <cellStyle name="Suma 4 3 5" xfId="41315"/>
    <cellStyle name="Suma 4 3 5 2" xfId="41316"/>
    <cellStyle name="Suma 4 3 5 3" xfId="41317"/>
    <cellStyle name="Suma 4 3 6" xfId="41318"/>
    <cellStyle name="Suma 4 3 6 2" xfId="41319"/>
    <cellStyle name="Suma 4 3 6 3" xfId="41320"/>
    <cellStyle name="Suma 4 3 7" xfId="41321"/>
    <cellStyle name="Suma 4 3 7 2" xfId="41322"/>
    <cellStyle name="Suma 4 3 7 3" xfId="41323"/>
    <cellStyle name="Suma 4 3 8" xfId="41324"/>
    <cellStyle name="Suma 4 3 8 2" xfId="41325"/>
    <cellStyle name="Suma 4 3 8 3" xfId="41326"/>
    <cellStyle name="Suma 4 3 9" xfId="41327"/>
    <cellStyle name="Suma 4 3 9 2" xfId="41328"/>
    <cellStyle name="Suma 4 3 9 3" xfId="41329"/>
    <cellStyle name="Suma 4 4" xfId="41330"/>
    <cellStyle name="Suma 4 4 2" xfId="41331"/>
    <cellStyle name="Suma 4 4 3" xfId="41332"/>
    <cellStyle name="Suma 4 5" xfId="41333"/>
    <cellStyle name="Suma 4 5 2" xfId="41334"/>
    <cellStyle name="Suma 4 5 3" xfId="41335"/>
    <cellStyle name="Suma 4 6" xfId="41336"/>
    <cellStyle name="Suma 4 6 2" xfId="41337"/>
    <cellStyle name="Suma 4 6 3" xfId="41338"/>
    <cellStyle name="Suma 4 7" xfId="41339"/>
    <cellStyle name="Suma 4 7 2" xfId="41340"/>
    <cellStyle name="Suma 4 7 3" xfId="41341"/>
    <cellStyle name="Suma 4 8" xfId="41342"/>
    <cellStyle name="Suma 4 8 2" xfId="41343"/>
    <cellStyle name="Suma 4 8 3" xfId="41344"/>
    <cellStyle name="Suma 4 9" xfId="41345"/>
    <cellStyle name="Suma 4 9 2" xfId="41346"/>
    <cellStyle name="Suma 4 9 3" xfId="41347"/>
    <cellStyle name="Suma 5" xfId="41348"/>
    <cellStyle name="Suma 5 10" xfId="41349"/>
    <cellStyle name="Suma 5 10 2" xfId="41350"/>
    <cellStyle name="Suma 5 10 3" xfId="41351"/>
    <cellStyle name="Suma 5 11" xfId="41352"/>
    <cellStyle name="Suma 5 11 2" xfId="41353"/>
    <cellStyle name="Suma 5 11 3" xfId="41354"/>
    <cellStyle name="Suma 5 12" xfId="41355"/>
    <cellStyle name="Suma 5 12 2" xfId="41356"/>
    <cellStyle name="Suma 5 12 3" xfId="41357"/>
    <cellStyle name="Suma 5 13" xfId="41358"/>
    <cellStyle name="Suma 5 13 2" xfId="41359"/>
    <cellStyle name="Suma 5 13 3" xfId="41360"/>
    <cellStyle name="Suma 5 14" xfId="41361"/>
    <cellStyle name="Suma 5 14 2" xfId="41362"/>
    <cellStyle name="Suma 5 14 3" xfId="41363"/>
    <cellStyle name="Suma 5 15" xfId="41364"/>
    <cellStyle name="Suma 5 15 2" xfId="41365"/>
    <cellStyle name="Suma 5 15 3" xfId="41366"/>
    <cellStyle name="Suma 5 16" xfId="41367"/>
    <cellStyle name="Suma 5 16 2" xfId="41368"/>
    <cellStyle name="Suma 5 16 3" xfId="41369"/>
    <cellStyle name="Suma 5 17" xfId="41370"/>
    <cellStyle name="Suma 5 17 2" xfId="41371"/>
    <cellStyle name="Suma 5 17 3" xfId="41372"/>
    <cellStyle name="Suma 5 18" xfId="41373"/>
    <cellStyle name="Suma 5 18 2" xfId="41374"/>
    <cellStyle name="Suma 5 18 3" xfId="41375"/>
    <cellStyle name="Suma 5 19" xfId="41376"/>
    <cellStyle name="Suma 5 19 2" xfId="41377"/>
    <cellStyle name="Suma 5 19 3" xfId="41378"/>
    <cellStyle name="Suma 5 2" xfId="41379"/>
    <cellStyle name="Suma 5 2 10" xfId="41380"/>
    <cellStyle name="Suma 5 2 10 2" xfId="41381"/>
    <cellStyle name="Suma 5 2 10 3" xfId="41382"/>
    <cellStyle name="Suma 5 2 11" xfId="41383"/>
    <cellStyle name="Suma 5 2 11 2" xfId="41384"/>
    <cellStyle name="Suma 5 2 11 3" xfId="41385"/>
    <cellStyle name="Suma 5 2 12" xfId="41386"/>
    <cellStyle name="Suma 5 2 12 2" xfId="41387"/>
    <cellStyle name="Suma 5 2 12 3" xfId="41388"/>
    <cellStyle name="Suma 5 2 13" xfId="41389"/>
    <cellStyle name="Suma 5 2 13 2" xfId="41390"/>
    <cellStyle name="Suma 5 2 13 3" xfId="41391"/>
    <cellStyle name="Suma 5 2 14" xfId="41392"/>
    <cellStyle name="Suma 5 2 14 2" xfId="41393"/>
    <cellStyle name="Suma 5 2 14 3" xfId="41394"/>
    <cellStyle name="Suma 5 2 15" xfId="41395"/>
    <cellStyle name="Suma 5 2 15 2" xfId="41396"/>
    <cellStyle name="Suma 5 2 15 3" xfId="41397"/>
    <cellStyle name="Suma 5 2 16" xfId="41398"/>
    <cellStyle name="Suma 5 2 16 2" xfId="41399"/>
    <cellStyle name="Suma 5 2 16 3" xfId="41400"/>
    <cellStyle name="Suma 5 2 17" xfId="41401"/>
    <cellStyle name="Suma 5 2 17 2" xfId="41402"/>
    <cellStyle name="Suma 5 2 17 3" xfId="41403"/>
    <cellStyle name="Suma 5 2 18" xfId="41404"/>
    <cellStyle name="Suma 5 2 18 2" xfId="41405"/>
    <cellStyle name="Suma 5 2 18 3" xfId="41406"/>
    <cellStyle name="Suma 5 2 19" xfId="41407"/>
    <cellStyle name="Suma 5 2 19 2" xfId="41408"/>
    <cellStyle name="Suma 5 2 19 3" xfId="41409"/>
    <cellStyle name="Suma 5 2 2" xfId="41410"/>
    <cellStyle name="Suma 5 2 2 2" xfId="41411"/>
    <cellStyle name="Suma 5 2 2 3" xfId="41412"/>
    <cellStyle name="Suma 5 2 3" xfId="41413"/>
    <cellStyle name="Suma 5 2 3 2" xfId="41414"/>
    <cellStyle name="Suma 5 2 3 3" xfId="41415"/>
    <cellStyle name="Suma 5 2 4" xfId="41416"/>
    <cellStyle name="Suma 5 2 4 2" xfId="41417"/>
    <cellStyle name="Suma 5 2 4 3" xfId="41418"/>
    <cellStyle name="Suma 5 2 5" xfId="41419"/>
    <cellStyle name="Suma 5 2 5 2" xfId="41420"/>
    <cellStyle name="Suma 5 2 5 3" xfId="41421"/>
    <cellStyle name="Suma 5 2 6" xfId="41422"/>
    <cellStyle name="Suma 5 2 6 2" xfId="41423"/>
    <cellStyle name="Suma 5 2 6 3" xfId="41424"/>
    <cellStyle name="Suma 5 2 7" xfId="41425"/>
    <cellStyle name="Suma 5 2 7 2" xfId="41426"/>
    <cellStyle name="Suma 5 2 7 3" xfId="41427"/>
    <cellStyle name="Suma 5 2 8" xfId="41428"/>
    <cellStyle name="Suma 5 2 8 2" xfId="41429"/>
    <cellStyle name="Suma 5 2 8 3" xfId="41430"/>
    <cellStyle name="Suma 5 2 9" xfId="41431"/>
    <cellStyle name="Suma 5 2 9 2" xfId="41432"/>
    <cellStyle name="Suma 5 2 9 3" xfId="41433"/>
    <cellStyle name="Suma 5 20" xfId="41434"/>
    <cellStyle name="Suma 5 20 2" xfId="41435"/>
    <cellStyle name="Suma 5 20 3" xfId="41436"/>
    <cellStyle name="Suma 5 3" xfId="41437"/>
    <cellStyle name="Suma 5 3 2" xfId="41438"/>
    <cellStyle name="Suma 5 3 3" xfId="41439"/>
    <cellStyle name="Suma 5 4" xfId="41440"/>
    <cellStyle name="Suma 5 4 2" xfId="41441"/>
    <cellStyle name="Suma 5 4 3" xfId="41442"/>
    <cellStyle name="Suma 5 5" xfId="41443"/>
    <cellStyle name="Suma 5 5 2" xfId="41444"/>
    <cellStyle name="Suma 5 5 3" xfId="41445"/>
    <cellStyle name="Suma 5 6" xfId="41446"/>
    <cellStyle name="Suma 5 6 2" xfId="41447"/>
    <cellStyle name="Suma 5 6 3" xfId="41448"/>
    <cellStyle name="Suma 5 7" xfId="41449"/>
    <cellStyle name="Suma 5 7 2" xfId="41450"/>
    <cellStyle name="Suma 5 7 3" xfId="41451"/>
    <cellStyle name="Suma 5 8" xfId="41452"/>
    <cellStyle name="Suma 5 8 2" xfId="41453"/>
    <cellStyle name="Suma 5 8 3" xfId="41454"/>
    <cellStyle name="Suma 5 9" xfId="41455"/>
    <cellStyle name="Suma 5 9 2" xfId="41456"/>
    <cellStyle name="Suma 5 9 3" xfId="41457"/>
    <cellStyle name="Suma 6" xfId="41458"/>
    <cellStyle name="Suma 6 10" xfId="41459"/>
    <cellStyle name="Suma 6 10 2" xfId="41460"/>
    <cellStyle name="Suma 6 10 3" xfId="41461"/>
    <cellStyle name="Suma 6 11" xfId="41462"/>
    <cellStyle name="Suma 6 11 2" xfId="41463"/>
    <cellStyle name="Suma 6 11 3" xfId="41464"/>
    <cellStyle name="Suma 6 12" xfId="41465"/>
    <cellStyle name="Suma 6 12 2" xfId="41466"/>
    <cellStyle name="Suma 6 12 3" xfId="41467"/>
    <cellStyle name="Suma 6 13" xfId="41468"/>
    <cellStyle name="Suma 6 13 2" xfId="41469"/>
    <cellStyle name="Suma 6 13 3" xfId="41470"/>
    <cellStyle name="Suma 6 14" xfId="41471"/>
    <cellStyle name="Suma 6 14 2" xfId="41472"/>
    <cellStyle name="Suma 6 14 3" xfId="41473"/>
    <cellStyle name="Suma 6 15" xfId="41474"/>
    <cellStyle name="Suma 6 15 2" xfId="41475"/>
    <cellStyle name="Suma 6 15 3" xfId="41476"/>
    <cellStyle name="Suma 6 16" xfId="41477"/>
    <cellStyle name="Suma 6 16 2" xfId="41478"/>
    <cellStyle name="Suma 6 16 3" xfId="41479"/>
    <cellStyle name="Suma 6 17" xfId="41480"/>
    <cellStyle name="Suma 6 17 2" xfId="41481"/>
    <cellStyle name="Suma 6 17 3" xfId="41482"/>
    <cellStyle name="Suma 6 18" xfId="41483"/>
    <cellStyle name="Suma 6 18 2" xfId="41484"/>
    <cellStyle name="Suma 6 18 3" xfId="41485"/>
    <cellStyle name="Suma 6 19" xfId="41486"/>
    <cellStyle name="Suma 6 19 2" xfId="41487"/>
    <cellStyle name="Suma 6 19 3" xfId="41488"/>
    <cellStyle name="Suma 6 2" xfId="41489"/>
    <cellStyle name="Suma 6 2 2" xfId="41490"/>
    <cellStyle name="Suma 6 2 3" xfId="41491"/>
    <cellStyle name="Suma 6 3" xfId="41492"/>
    <cellStyle name="Suma 6 3 2" xfId="41493"/>
    <cellStyle name="Suma 6 3 3" xfId="41494"/>
    <cellStyle name="Suma 6 4" xfId="41495"/>
    <cellStyle name="Suma 6 4 2" xfId="41496"/>
    <cellStyle name="Suma 6 4 3" xfId="41497"/>
    <cellStyle name="Suma 6 5" xfId="41498"/>
    <cellStyle name="Suma 6 5 2" xfId="41499"/>
    <cellStyle name="Suma 6 5 3" xfId="41500"/>
    <cellStyle name="Suma 6 6" xfId="41501"/>
    <cellStyle name="Suma 6 6 2" xfId="41502"/>
    <cellStyle name="Suma 6 6 3" xfId="41503"/>
    <cellStyle name="Suma 6 7" xfId="41504"/>
    <cellStyle name="Suma 6 7 2" xfId="41505"/>
    <cellStyle name="Suma 6 7 3" xfId="41506"/>
    <cellStyle name="Suma 6 8" xfId="41507"/>
    <cellStyle name="Suma 6 8 2" xfId="41508"/>
    <cellStyle name="Suma 6 8 3" xfId="41509"/>
    <cellStyle name="Suma 6 9" xfId="41510"/>
    <cellStyle name="Suma 6 9 2" xfId="41511"/>
    <cellStyle name="Suma 6 9 3" xfId="41512"/>
    <cellStyle name="Suma 7" xfId="41513"/>
    <cellStyle name="Suma 7 10" xfId="41514"/>
    <cellStyle name="Suma 7 10 2" xfId="41515"/>
    <cellStyle name="Suma 7 10 3" xfId="41516"/>
    <cellStyle name="Suma 7 11" xfId="41517"/>
    <cellStyle name="Suma 7 11 2" xfId="41518"/>
    <cellStyle name="Suma 7 11 3" xfId="41519"/>
    <cellStyle name="Suma 7 12" xfId="41520"/>
    <cellStyle name="Suma 7 12 2" xfId="41521"/>
    <cellStyle name="Suma 7 12 3" xfId="41522"/>
    <cellStyle name="Suma 7 13" xfId="41523"/>
    <cellStyle name="Suma 7 13 2" xfId="41524"/>
    <cellStyle name="Suma 7 13 3" xfId="41525"/>
    <cellStyle name="Suma 7 14" xfId="41526"/>
    <cellStyle name="Suma 7 14 2" xfId="41527"/>
    <cellStyle name="Suma 7 14 3" xfId="41528"/>
    <cellStyle name="Suma 7 15" xfId="41529"/>
    <cellStyle name="Suma 7 15 2" xfId="41530"/>
    <cellStyle name="Suma 7 15 3" xfId="41531"/>
    <cellStyle name="Suma 7 16" xfId="41532"/>
    <cellStyle name="Suma 7 16 2" xfId="41533"/>
    <cellStyle name="Suma 7 16 3" xfId="41534"/>
    <cellStyle name="Suma 7 17" xfId="41535"/>
    <cellStyle name="Suma 7 17 2" xfId="41536"/>
    <cellStyle name="Suma 7 17 3" xfId="41537"/>
    <cellStyle name="Suma 7 18" xfId="41538"/>
    <cellStyle name="Suma 7 18 2" xfId="41539"/>
    <cellStyle name="Suma 7 18 3" xfId="41540"/>
    <cellStyle name="Suma 7 19" xfId="41541"/>
    <cellStyle name="Suma 7 19 2" xfId="41542"/>
    <cellStyle name="Suma 7 19 3" xfId="41543"/>
    <cellStyle name="Suma 7 2" xfId="41544"/>
    <cellStyle name="Suma 7 2 2" xfId="41545"/>
    <cellStyle name="Suma 7 2 3" xfId="41546"/>
    <cellStyle name="Suma 7 3" xfId="41547"/>
    <cellStyle name="Suma 7 3 2" xfId="41548"/>
    <cellStyle name="Suma 7 3 3" xfId="41549"/>
    <cellStyle name="Suma 7 4" xfId="41550"/>
    <cellStyle name="Suma 7 4 2" xfId="41551"/>
    <cellStyle name="Suma 7 4 3" xfId="41552"/>
    <cellStyle name="Suma 7 5" xfId="41553"/>
    <cellStyle name="Suma 7 5 2" xfId="41554"/>
    <cellStyle name="Suma 7 5 3" xfId="41555"/>
    <cellStyle name="Suma 7 6" xfId="41556"/>
    <cellStyle name="Suma 7 6 2" xfId="41557"/>
    <cellStyle name="Suma 7 6 3" xfId="41558"/>
    <cellStyle name="Suma 7 7" xfId="41559"/>
    <cellStyle name="Suma 7 7 2" xfId="41560"/>
    <cellStyle name="Suma 7 7 3" xfId="41561"/>
    <cellStyle name="Suma 7 8" xfId="41562"/>
    <cellStyle name="Suma 7 8 2" xfId="41563"/>
    <cellStyle name="Suma 7 8 3" xfId="41564"/>
    <cellStyle name="Suma 7 9" xfId="41565"/>
    <cellStyle name="Suma 7 9 2" xfId="41566"/>
    <cellStyle name="Suma 7 9 3" xfId="41567"/>
    <cellStyle name="Suma 8" xfId="41568"/>
    <cellStyle name="Suma 8 10" xfId="41569"/>
    <cellStyle name="Suma 8 10 2" xfId="41570"/>
    <cellStyle name="Suma 8 10 3" xfId="41571"/>
    <cellStyle name="Suma 8 11" xfId="41572"/>
    <cellStyle name="Suma 8 11 2" xfId="41573"/>
    <cellStyle name="Suma 8 11 3" xfId="41574"/>
    <cellStyle name="Suma 8 12" xfId="41575"/>
    <cellStyle name="Suma 8 12 2" xfId="41576"/>
    <cellStyle name="Suma 8 12 3" xfId="41577"/>
    <cellStyle name="Suma 8 13" xfId="41578"/>
    <cellStyle name="Suma 8 13 2" xfId="41579"/>
    <cellStyle name="Suma 8 13 3" xfId="41580"/>
    <cellStyle name="Suma 8 14" xfId="41581"/>
    <cellStyle name="Suma 8 14 2" xfId="41582"/>
    <cellStyle name="Suma 8 14 3" xfId="41583"/>
    <cellStyle name="Suma 8 15" xfId="41584"/>
    <cellStyle name="Suma 8 15 2" xfId="41585"/>
    <cellStyle name="Suma 8 15 3" xfId="41586"/>
    <cellStyle name="Suma 8 16" xfId="41587"/>
    <cellStyle name="Suma 8 16 2" xfId="41588"/>
    <cellStyle name="Suma 8 16 3" xfId="41589"/>
    <cellStyle name="Suma 8 17" xfId="41590"/>
    <cellStyle name="Suma 8 17 2" xfId="41591"/>
    <cellStyle name="Suma 8 17 3" xfId="41592"/>
    <cellStyle name="Suma 8 18" xfId="41593"/>
    <cellStyle name="Suma 8 18 2" xfId="41594"/>
    <cellStyle name="Suma 8 18 3" xfId="41595"/>
    <cellStyle name="Suma 8 19" xfId="41596"/>
    <cellStyle name="Suma 8 19 2" xfId="41597"/>
    <cellStyle name="Suma 8 19 3" xfId="41598"/>
    <cellStyle name="Suma 8 2" xfId="41599"/>
    <cellStyle name="Suma 8 2 2" xfId="41600"/>
    <cellStyle name="Suma 8 2 3" xfId="41601"/>
    <cellStyle name="Suma 8 3" xfId="41602"/>
    <cellStyle name="Suma 8 3 2" xfId="41603"/>
    <cellStyle name="Suma 8 3 3" xfId="41604"/>
    <cellStyle name="Suma 8 4" xfId="41605"/>
    <cellStyle name="Suma 8 4 2" xfId="41606"/>
    <cellStyle name="Suma 8 4 3" xfId="41607"/>
    <cellStyle name="Suma 8 5" xfId="41608"/>
    <cellStyle name="Suma 8 5 2" xfId="41609"/>
    <cellStyle name="Suma 8 5 3" xfId="41610"/>
    <cellStyle name="Suma 8 6" xfId="41611"/>
    <cellStyle name="Suma 8 6 2" xfId="41612"/>
    <cellStyle name="Suma 8 6 3" xfId="41613"/>
    <cellStyle name="Suma 8 7" xfId="41614"/>
    <cellStyle name="Suma 8 7 2" xfId="41615"/>
    <cellStyle name="Suma 8 7 3" xfId="41616"/>
    <cellStyle name="Suma 8 8" xfId="41617"/>
    <cellStyle name="Suma 8 8 2" xfId="41618"/>
    <cellStyle name="Suma 8 8 3" xfId="41619"/>
    <cellStyle name="Suma 8 9" xfId="41620"/>
    <cellStyle name="Suma 8 9 2" xfId="41621"/>
    <cellStyle name="Suma 8 9 3" xfId="41622"/>
    <cellStyle name="Suma 9" xfId="41623"/>
    <cellStyle name="Suma 9 2" xfId="41624"/>
    <cellStyle name="Suma 9 2 2" xfId="41625"/>
    <cellStyle name="Suma 9 3" xfId="41626"/>
    <cellStyle name="TableStyleLight1" xfId="42985"/>
    <cellStyle name="ţ_x001d_đÇ%Uý—&amp;Hýx_x0001_‚Đ_x0012__x0013__x0007__x0001__x0001_" xfId="41627"/>
    <cellStyle name="ţ_x001d_đÇ%Uý—&amp;Hýx_x0001_‚Đ_x0012__x0013__x0007__x0001__x0001_ 2" xfId="41628"/>
    <cellStyle name="ţ_x001d_đÇ%Uý—&amp;Hýx_x0001_‚Đ_x0012__x0013__x0007__x0001__x0001_ 3" xfId="41629"/>
    <cellStyle name="ţ_x001d_đÇ%Uý—&amp;Hýx_x0001_‚Đ_x0012__x0013__x0007__x0001__x0001_ 4" xfId="41630"/>
    <cellStyle name="ţ_x001d_đÇ%Uý—&amp;Hýx_x0001_‚Đ_x0012__x0013__x0007__x0001__x0001_ 5" xfId="41631"/>
    <cellStyle name="ţ_x001d_đÇ%Uý—&amp;Hýx_x0001_‚Đ_x0012__x0013__x0007__x0001__x0001_ 6" xfId="41632"/>
    <cellStyle name="ţ_x001d_đÇ%Uý—&amp;Hýx_x0001_‚Đ_x0012__x0013__x0007__x0001__x0001_ 7" xfId="41633"/>
    <cellStyle name="ţ_x001d_đÇ%Uý—&amp;Hýx_x0001_‚Đ_x0012__x0013__x0007__x0001__x0001_ 8" xfId="41634"/>
    <cellStyle name="Tekst objaśnienia 10" xfId="41635"/>
    <cellStyle name="Tekst objaśnienia 2" xfId="41636"/>
    <cellStyle name="Tekst objaśnienia 2 2" xfId="41637"/>
    <cellStyle name="Tekst objaśnienia 2 2 2" xfId="41638"/>
    <cellStyle name="Tekst objaśnienia 2 3" xfId="41639"/>
    <cellStyle name="Tekst objaśnienia 2 4" xfId="41640"/>
    <cellStyle name="Tekst objaśnienia 2 5" xfId="41641"/>
    <cellStyle name="Tekst objaśnienia 2 6" xfId="41642"/>
    <cellStyle name="Tekst objaśnienia 2 7" xfId="41643"/>
    <cellStyle name="Tekst objaśnienia 2 8" xfId="41644"/>
    <cellStyle name="Tekst objaśnienia 3" xfId="41645"/>
    <cellStyle name="Tekst objaśnienia 4" xfId="41646"/>
    <cellStyle name="Tekst objaśnienia 4 2" xfId="41647"/>
    <cellStyle name="Tekst objaśnienia 4 3" xfId="41648"/>
    <cellStyle name="Tekst objaśnienia 5" xfId="41649"/>
    <cellStyle name="Tekst objaśnienia 5 2" xfId="41650"/>
    <cellStyle name="Tekst objaśnienia 6" xfId="41651"/>
    <cellStyle name="Tekst objaśnienia 7" xfId="41652"/>
    <cellStyle name="Tekst objaśnienia 8" xfId="41653"/>
    <cellStyle name="Tekst objaśnienia 8 2" xfId="41654"/>
    <cellStyle name="Tekst objaśnienia 9" xfId="41655"/>
    <cellStyle name="Tekst ostrzeżenia 10" xfId="41656"/>
    <cellStyle name="Tekst ostrzeżenia 2" xfId="41657"/>
    <cellStyle name="Tekst ostrzeżenia 2 2" xfId="41658"/>
    <cellStyle name="Tekst ostrzeżenia 2 2 2" xfId="41659"/>
    <cellStyle name="Tekst ostrzeżenia 2 3" xfId="41660"/>
    <cellStyle name="Tekst ostrzeżenia 2 4" xfId="41661"/>
    <cellStyle name="Tekst ostrzeżenia 2 5" xfId="41662"/>
    <cellStyle name="Tekst ostrzeżenia 2 6" xfId="41663"/>
    <cellStyle name="Tekst ostrzeżenia 2 7" xfId="41664"/>
    <cellStyle name="Tekst ostrzeżenia 2 8" xfId="41665"/>
    <cellStyle name="Tekst ostrzeżenia 3" xfId="41666"/>
    <cellStyle name="Tekst ostrzeżenia 4" xfId="41667"/>
    <cellStyle name="Tekst ostrzeżenia 4 2" xfId="41668"/>
    <cellStyle name="Tekst ostrzeżenia 4 3" xfId="41669"/>
    <cellStyle name="Tekst ostrzeżenia 5" xfId="41670"/>
    <cellStyle name="Tekst ostrzeżenia 5 2" xfId="41671"/>
    <cellStyle name="Tekst ostrzeżenia 6" xfId="41672"/>
    <cellStyle name="Tekst ostrzeżenia 7" xfId="41673"/>
    <cellStyle name="Tekst ostrzeżenia 8" xfId="41674"/>
    <cellStyle name="Tekst ostrzeżenia 8 2" xfId="41675"/>
    <cellStyle name="Tekst ostrzeżenia 9" xfId="41676"/>
    <cellStyle name="Text Indent A" xfId="41677"/>
    <cellStyle name="Text Indent B" xfId="41678"/>
    <cellStyle name="Text Indent C" xfId="41679"/>
    <cellStyle name="Tickmark" xfId="41680"/>
    <cellStyle name="Title" xfId="41681"/>
    <cellStyle name="Title 2" xfId="41682"/>
    <cellStyle name="Title 2 2" xfId="42986"/>
    <cellStyle name="Titre feuille" xfId="41683"/>
    <cellStyle name="Total" xfId="41684"/>
    <cellStyle name="Total 10" xfId="41685"/>
    <cellStyle name="Total 10 2" xfId="41686"/>
    <cellStyle name="Total 10 3" xfId="41687"/>
    <cellStyle name="Total 11" xfId="41688"/>
    <cellStyle name="Total 11 2" xfId="41689"/>
    <cellStyle name="Total 11 3" xfId="41690"/>
    <cellStyle name="Total 12" xfId="41691"/>
    <cellStyle name="Total 12 2" xfId="41692"/>
    <cellStyle name="Total 12 3" xfId="41693"/>
    <cellStyle name="Total 13" xfId="41694"/>
    <cellStyle name="Total 13 2" xfId="41695"/>
    <cellStyle name="Total 13 3" xfId="41696"/>
    <cellStyle name="Total 14" xfId="41697"/>
    <cellStyle name="Total 14 2" xfId="41698"/>
    <cellStyle name="Total 14 3" xfId="41699"/>
    <cellStyle name="Total 15" xfId="41700"/>
    <cellStyle name="Total 15 2" xfId="41701"/>
    <cellStyle name="Total 15 3" xfId="41702"/>
    <cellStyle name="Total 16" xfId="41703"/>
    <cellStyle name="Total 16 2" xfId="41704"/>
    <cellStyle name="Total 16 3" xfId="41705"/>
    <cellStyle name="Total 17" xfId="41706"/>
    <cellStyle name="Total 17 2" xfId="41707"/>
    <cellStyle name="Total 17 3" xfId="41708"/>
    <cellStyle name="Total 18" xfId="41709"/>
    <cellStyle name="Total 18 2" xfId="41710"/>
    <cellStyle name="Total 18 3" xfId="41711"/>
    <cellStyle name="Total 19" xfId="41712"/>
    <cellStyle name="Total 19 2" xfId="41713"/>
    <cellStyle name="Total 19 3" xfId="41714"/>
    <cellStyle name="Total 2" xfId="41715"/>
    <cellStyle name="Total 2 2" xfId="41716"/>
    <cellStyle name="Total 2 2 2" xfId="41717"/>
    <cellStyle name="Total 2 3" xfId="41718"/>
    <cellStyle name="Total 3" xfId="41719"/>
    <cellStyle name="Total 3 2" xfId="41720"/>
    <cellStyle name="Total 3 3" xfId="41721"/>
    <cellStyle name="Total 4" xfId="41722"/>
    <cellStyle name="Total 4 2" xfId="41723"/>
    <cellStyle name="Total 4 3" xfId="41724"/>
    <cellStyle name="Total 5" xfId="41725"/>
    <cellStyle name="Total 5 2" xfId="41726"/>
    <cellStyle name="Total 5 3" xfId="41727"/>
    <cellStyle name="Total 6" xfId="41728"/>
    <cellStyle name="Total 6 2" xfId="41729"/>
    <cellStyle name="Total 6 3" xfId="41730"/>
    <cellStyle name="Total 7" xfId="41731"/>
    <cellStyle name="Total 7 2" xfId="41732"/>
    <cellStyle name="Total 7 3" xfId="41733"/>
    <cellStyle name="Total 8" xfId="41734"/>
    <cellStyle name="Total 8 2" xfId="41735"/>
    <cellStyle name="Total 8 3" xfId="41736"/>
    <cellStyle name="Total 9" xfId="41737"/>
    <cellStyle name="Total 9 2" xfId="41738"/>
    <cellStyle name="Total 9 3" xfId="41739"/>
    <cellStyle name="Total_Kluczowe wielkości oper" xfId="41740"/>
    <cellStyle name="Tusen N" xfId="41741"/>
    <cellStyle name="Tusen N 2" xfId="41742"/>
    <cellStyle name="Tusental (0)_Acc judge 0204" xfId="41743"/>
    <cellStyle name="Tusental N" xfId="41744"/>
    <cellStyle name="Tusental_Årsredovisning" xfId="41745"/>
    <cellStyle name="Tytuł 10" xfId="41746"/>
    <cellStyle name="Tytuł 2" xfId="41747"/>
    <cellStyle name="Tytuł 2 2" xfId="41748"/>
    <cellStyle name="Tytuł 2 2 2" xfId="41749"/>
    <cellStyle name="Tytuł 2 3" xfId="41750"/>
    <cellStyle name="Tytuł 2 4" xfId="41751"/>
    <cellStyle name="Tytuł 2 5" xfId="41752"/>
    <cellStyle name="Tytuł 2 6" xfId="41753"/>
    <cellStyle name="Tytuł 2 7" xfId="41754"/>
    <cellStyle name="Tytuł 2 8" xfId="41755"/>
    <cellStyle name="Tytuł 2 9" xfId="41756"/>
    <cellStyle name="Tytuł 2 9 2" xfId="41757"/>
    <cellStyle name="Tytuł 3" xfId="41758"/>
    <cellStyle name="Tytuł 4" xfId="41759"/>
    <cellStyle name="Tytuł 4 2" xfId="41760"/>
    <cellStyle name="Tytuł 4 3" xfId="41761"/>
    <cellStyle name="Tytuł 5" xfId="41762"/>
    <cellStyle name="Tytuł 5 2" xfId="41763"/>
    <cellStyle name="Tytuł 5 3" xfId="41764"/>
    <cellStyle name="Tytuł 6" xfId="41765"/>
    <cellStyle name="Tytuł 7" xfId="41766"/>
    <cellStyle name="Tytuł 8" xfId="41767"/>
    <cellStyle name="Tytuł 9" xfId="41768"/>
    <cellStyle name="Tytuł tabeli przestawnej" xfId="42987"/>
    <cellStyle name="Uwaga 10" xfId="41769"/>
    <cellStyle name="Uwaga 10 2" xfId="41770"/>
    <cellStyle name="Uwaga 10 3" xfId="41771"/>
    <cellStyle name="Uwaga 11" xfId="41772"/>
    <cellStyle name="Uwaga 11 2" xfId="41773"/>
    <cellStyle name="Uwaga 11 3" xfId="41774"/>
    <cellStyle name="Uwaga 12" xfId="41775"/>
    <cellStyle name="Uwaga 12 2" xfId="41776"/>
    <cellStyle name="Uwaga 12 3" xfId="41777"/>
    <cellStyle name="Uwaga 13" xfId="41778"/>
    <cellStyle name="Uwaga 13 2" xfId="41779"/>
    <cellStyle name="Uwaga 13 3" xfId="41780"/>
    <cellStyle name="Uwaga 14" xfId="41781"/>
    <cellStyle name="Uwaga 14 2" xfId="41782"/>
    <cellStyle name="Uwaga 14 3" xfId="41783"/>
    <cellStyle name="Uwaga 15" xfId="41784"/>
    <cellStyle name="Uwaga 15 2" xfId="41785"/>
    <cellStyle name="Uwaga 15 3" xfId="41786"/>
    <cellStyle name="Uwaga 16" xfId="41787"/>
    <cellStyle name="Uwaga 16 2" xfId="41788"/>
    <cellStyle name="Uwaga 16 3" xfId="41789"/>
    <cellStyle name="Uwaga 17" xfId="41790"/>
    <cellStyle name="Uwaga 17 2" xfId="41791"/>
    <cellStyle name="Uwaga 17 3" xfId="41792"/>
    <cellStyle name="Uwaga 18" xfId="41793"/>
    <cellStyle name="Uwaga 18 2" xfId="41794"/>
    <cellStyle name="Uwaga 18 3" xfId="41795"/>
    <cellStyle name="Uwaga 19" xfId="41796"/>
    <cellStyle name="Uwaga 19 2" xfId="41797"/>
    <cellStyle name="Uwaga 19 3" xfId="41798"/>
    <cellStyle name="Uwaga 2" xfId="41799"/>
    <cellStyle name="Uwaga 2 10" xfId="41800"/>
    <cellStyle name="Uwaga 2 10 2" xfId="41801"/>
    <cellStyle name="Uwaga 2 10 2 2" xfId="41802"/>
    <cellStyle name="Uwaga 2 10 3" xfId="41803"/>
    <cellStyle name="Uwaga 2 11" xfId="41804"/>
    <cellStyle name="Uwaga 2 11 2" xfId="41805"/>
    <cellStyle name="Uwaga 2 11 3" xfId="41806"/>
    <cellStyle name="Uwaga 2 12" xfId="41807"/>
    <cellStyle name="Uwaga 2 12 2" xfId="41808"/>
    <cellStyle name="Uwaga 2 12 3" xfId="41809"/>
    <cellStyle name="Uwaga 2 13" xfId="41810"/>
    <cellStyle name="Uwaga 2 13 2" xfId="41811"/>
    <cellStyle name="Uwaga 2 13 3" xfId="41812"/>
    <cellStyle name="Uwaga 2 14" xfId="41813"/>
    <cellStyle name="Uwaga 2 14 2" xfId="41814"/>
    <cellStyle name="Uwaga 2 14 3" xfId="41815"/>
    <cellStyle name="Uwaga 2 15" xfId="41816"/>
    <cellStyle name="Uwaga 2 15 2" xfId="41817"/>
    <cellStyle name="Uwaga 2 15 3" xfId="41818"/>
    <cellStyle name="Uwaga 2 16" xfId="41819"/>
    <cellStyle name="Uwaga 2 16 2" xfId="41820"/>
    <cellStyle name="Uwaga 2 16 3" xfId="41821"/>
    <cellStyle name="Uwaga 2 17" xfId="41822"/>
    <cellStyle name="Uwaga 2 17 2" xfId="41823"/>
    <cellStyle name="Uwaga 2 17 3" xfId="41824"/>
    <cellStyle name="Uwaga 2 18" xfId="41825"/>
    <cellStyle name="Uwaga 2 18 2" xfId="41826"/>
    <cellStyle name="Uwaga 2 18 3" xfId="41827"/>
    <cellStyle name="Uwaga 2 19" xfId="41828"/>
    <cellStyle name="Uwaga 2 19 2" xfId="41829"/>
    <cellStyle name="Uwaga 2 19 3" xfId="41830"/>
    <cellStyle name="Uwaga 2 2" xfId="41831"/>
    <cellStyle name="Uwaga 2 2 10" xfId="41832"/>
    <cellStyle name="Uwaga 2 2 10 2" xfId="41833"/>
    <cellStyle name="Uwaga 2 2 10 3" xfId="41834"/>
    <cellStyle name="Uwaga 2 2 11" xfId="41835"/>
    <cellStyle name="Uwaga 2 2 11 2" xfId="41836"/>
    <cellStyle name="Uwaga 2 2 11 3" xfId="41837"/>
    <cellStyle name="Uwaga 2 2 12" xfId="41838"/>
    <cellStyle name="Uwaga 2 2 12 2" xfId="41839"/>
    <cellStyle name="Uwaga 2 2 12 3" xfId="41840"/>
    <cellStyle name="Uwaga 2 2 13" xfId="41841"/>
    <cellStyle name="Uwaga 2 2 13 2" xfId="41842"/>
    <cellStyle name="Uwaga 2 2 13 3" xfId="41843"/>
    <cellStyle name="Uwaga 2 2 14" xfId="41844"/>
    <cellStyle name="Uwaga 2 2 14 2" xfId="41845"/>
    <cellStyle name="Uwaga 2 2 14 3" xfId="41846"/>
    <cellStyle name="Uwaga 2 2 15" xfId="41847"/>
    <cellStyle name="Uwaga 2 2 15 2" xfId="41848"/>
    <cellStyle name="Uwaga 2 2 15 3" xfId="41849"/>
    <cellStyle name="Uwaga 2 2 16" xfId="41850"/>
    <cellStyle name="Uwaga 2 2 16 2" xfId="41851"/>
    <cellStyle name="Uwaga 2 2 16 3" xfId="41852"/>
    <cellStyle name="Uwaga 2 2 17" xfId="41853"/>
    <cellStyle name="Uwaga 2 2 17 2" xfId="41854"/>
    <cellStyle name="Uwaga 2 2 17 3" xfId="41855"/>
    <cellStyle name="Uwaga 2 2 18" xfId="41856"/>
    <cellStyle name="Uwaga 2 2 18 2" xfId="41857"/>
    <cellStyle name="Uwaga 2 2 18 3" xfId="41858"/>
    <cellStyle name="Uwaga 2 2 19" xfId="41859"/>
    <cellStyle name="Uwaga 2 2 19 2" xfId="41860"/>
    <cellStyle name="Uwaga 2 2 19 3" xfId="41861"/>
    <cellStyle name="Uwaga 2 2 2" xfId="41862"/>
    <cellStyle name="Uwaga 2 2 2 2" xfId="41863"/>
    <cellStyle name="Uwaga 2 2 2 2 2" xfId="41864"/>
    <cellStyle name="Uwaga 2 2 2 2 3" xfId="41865"/>
    <cellStyle name="Uwaga 2 2 2 3" xfId="41866"/>
    <cellStyle name="Uwaga 2 2 2 3 2" xfId="41867"/>
    <cellStyle name="Uwaga 2 2 2 4" xfId="41868"/>
    <cellStyle name="Uwaga 2 2 2 5" xfId="41869"/>
    <cellStyle name="Uwaga 2 2 20" xfId="41870"/>
    <cellStyle name="Uwaga 2 2 20 2" xfId="41871"/>
    <cellStyle name="Uwaga 2 2 20 3" xfId="41872"/>
    <cellStyle name="Uwaga 2 2 21" xfId="41873"/>
    <cellStyle name="Uwaga 2 2 21 2" xfId="41874"/>
    <cellStyle name="Uwaga 2 2 21 3" xfId="41875"/>
    <cellStyle name="Uwaga 2 2 3" xfId="41876"/>
    <cellStyle name="Uwaga 2 2 3 2" xfId="41877"/>
    <cellStyle name="Uwaga 2 2 3 3" xfId="41878"/>
    <cellStyle name="Uwaga 2 2 4" xfId="41879"/>
    <cellStyle name="Uwaga 2 2 4 2" xfId="41880"/>
    <cellStyle name="Uwaga 2 2 4 3" xfId="41881"/>
    <cellStyle name="Uwaga 2 2 5" xfId="41882"/>
    <cellStyle name="Uwaga 2 2 5 2" xfId="41883"/>
    <cellStyle name="Uwaga 2 2 5 3" xfId="41884"/>
    <cellStyle name="Uwaga 2 2 6" xfId="41885"/>
    <cellStyle name="Uwaga 2 2 6 2" xfId="41886"/>
    <cellStyle name="Uwaga 2 2 6 3" xfId="41887"/>
    <cellStyle name="Uwaga 2 2 7" xfId="41888"/>
    <cellStyle name="Uwaga 2 2 7 2" xfId="41889"/>
    <cellStyle name="Uwaga 2 2 7 3" xfId="41890"/>
    <cellStyle name="Uwaga 2 2 8" xfId="41891"/>
    <cellStyle name="Uwaga 2 2 8 2" xfId="41892"/>
    <cellStyle name="Uwaga 2 2 8 3" xfId="41893"/>
    <cellStyle name="Uwaga 2 2 9" xfId="41894"/>
    <cellStyle name="Uwaga 2 2 9 2" xfId="41895"/>
    <cellStyle name="Uwaga 2 2 9 3" xfId="41896"/>
    <cellStyle name="Uwaga 2 20" xfId="41897"/>
    <cellStyle name="Uwaga 2 20 2" xfId="41898"/>
    <cellStyle name="Uwaga 2 20 3" xfId="41899"/>
    <cellStyle name="Uwaga 2 21" xfId="41900"/>
    <cellStyle name="Uwaga 2 21 2" xfId="41901"/>
    <cellStyle name="Uwaga 2 21 3" xfId="41902"/>
    <cellStyle name="Uwaga 2 22" xfId="41903"/>
    <cellStyle name="Uwaga 2 22 2" xfId="41904"/>
    <cellStyle name="Uwaga 2 22 3" xfId="41905"/>
    <cellStyle name="Uwaga 2 23" xfId="41906"/>
    <cellStyle name="Uwaga 2 23 2" xfId="41907"/>
    <cellStyle name="Uwaga 2 23 3" xfId="41908"/>
    <cellStyle name="Uwaga 2 24" xfId="41909"/>
    <cellStyle name="Uwaga 2 24 2" xfId="41910"/>
    <cellStyle name="Uwaga 2 24 3" xfId="41911"/>
    <cellStyle name="Uwaga 2 25" xfId="41912"/>
    <cellStyle name="Uwaga 2 25 2" xfId="41913"/>
    <cellStyle name="Uwaga 2 25 3" xfId="41914"/>
    <cellStyle name="Uwaga 2 26" xfId="41915"/>
    <cellStyle name="Uwaga 2 26 2" xfId="41916"/>
    <cellStyle name="Uwaga 2 26 3" xfId="41917"/>
    <cellStyle name="Uwaga 2 27" xfId="41918"/>
    <cellStyle name="Uwaga 2 27 2" xfId="41919"/>
    <cellStyle name="Uwaga 2 27 3" xfId="41920"/>
    <cellStyle name="Uwaga 2 3" xfId="41921"/>
    <cellStyle name="Uwaga 2 3 10" xfId="41922"/>
    <cellStyle name="Uwaga 2 3 10 2" xfId="41923"/>
    <cellStyle name="Uwaga 2 3 10 3" xfId="41924"/>
    <cellStyle name="Uwaga 2 3 11" xfId="41925"/>
    <cellStyle name="Uwaga 2 3 11 2" xfId="41926"/>
    <cellStyle name="Uwaga 2 3 11 3" xfId="41927"/>
    <cellStyle name="Uwaga 2 3 12" xfId="41928"/>
    <cellStyle name="Uwaga 2 3 12 2" xfId="41929"/>
    <cellStyle name="Uwaga 2 3 12 3" xfId="41930"/>
    <cellStyle name="Uwaga 2 3 13" xfId="41931"/>
    <cellStyle name="Uwaga 2 3 13 2" xfId="41932"/>
    <cellStyle name="Uwaga 2 3 13 3" xfId="41933"/>
    <cellStyle name="Uwaga 2 3 14" xfId="41934"/>
    <cellStyle name="Uwaga 2 3 14 2" xfId="41935"/>
    <cellStyle name="Uwaga 2 3 14 3" xfId="41936"/>
    <cellStyle name="Uwaga 2 3 15" xfId="41937"/>
    <cellStyle name="Uwaga 2 3 15 2" xfId="41938"/>
    <cellStyle name="Uwaga 2 3 15 3" xfId="41939"/>
    <cellStyle name="Uwaga 2 3 16" xfId="41940"/>
    <cellStyle name="Uwaga 2 3 16 2" xfId="41941"/>
    <cellStyle name="Uwaga 2 3 16 3" xfId="41942"/>
    <cellStyle name="Uwaga 2 3 17" xfId="41943"/>
    <cellStyle name="Uwaga 2 3 17 2" xfId="41944"/>
    <cellStyle name="Uwaga 2 3 17 3" xfId="41945"/>
    <cellStyle name="Uwaga 2 3 18" xfId="41946"/>
    <cellStyle name="Uwaga 2 3 18 2" xfId="41947"/>
    <cellStyle name="Uwaga 2 3 18 3" xfId="41948"/>
    <cellStyle name="Uwaga 2 3 19" xfId="41949"/>
    <cellStyle name="Uwaga 2 3 19 2" xfId="41950"/>
    <cellStyle name="Uwaga 2 3 19 3" xfId="41951"/>
    <cellStyle name="Uwaga 2 3 2" xfId="41952"/>
    <cellStyle name="Uwaga 2 3 2 2" xfId="41953"/>
    <cellStyle name="Uwaga 2 3 2 3" xfId="41954"/>
    <cellStyle name="Uwaga 2 3 20" xfId="41955"/>
    <cellStyle name="Uwaga 2 3 20 2" xfId="41956"/>
    <cellStyle name="Uwaga 2 3 20 3" xfId="41957"/>
    <cellStyle name="Uwaga 2 3 3" xfId="41958"/>
    <cellStyle name="Uwaga 2 3 3 2" xfId="41959"/>
    <cellStyle name="Uwaga 2 3 3 3" xfId="41960"/>
    <cellStyle name="Uwaga 2 3 4" xfId="41961"/>
    <cellStyle name="Uwaga 2 3 4 2" xfId="41962"/>
    <cellStyle name="Uwaga 2 3 4 3" xfId="41963"/>
    <cellStyle name="Uwaga 2 3 5" xfId="41964"/>
    <cellStyle name="Uwaga 2 3 5 2" xfId="41965"/>
    <cellStyle name="Uwaga 2 3 5 3" xfId="41966"/>
    <cellStyle name="Uwaga 2 3 6" xfId="41967"/>
    <cellStyle name="Uwaga 2 3 6 2" xfId="41968"/>
    <cellStyle name="Uwaga 2 3 6 3" xfId="41969"/>
    <cellStyle name="Uwaga 2 3 7" xfId="41970"/>
    <cellStyle name="Uwaga 2 3 7 2" xfId="41971"/>
    <cellStyle name="Uwaga 2 3 7 3" xfId="41972"/>
    <cellStyle name="Uwaga 2 3 8" xfId="41973"/>
    <cellStyle name="Uwaga 2 3 8 2" xfId="41974"/>
    <cellStyle name="Uwaga 2 3 8 3" xfId="41975"/>
    <cellStyle name="Uwaga 2 3 9" xfId="41976"/>
    <cellStyle name="Uwaga 2 3 9 2" xfId="41977"/>
    <cellStyle name="Uwaga 2 3 9 3" xfId="41978"/>
    <cellStyle name="Uwaga 2 4" xfId="41979"/>
    <cellStyle name="Uwaga 2 4 10" xfId="41980"/>
    <cellStyle name="Uwaga 2 4 10 2" xfId="41981"/>
    <cellStyle name="Uwaga 2 4 10 3" xfId="41982"/>
    <cellStyle name="Uwaga 2 4 11" xfId="41983"/>
    <cellStyle name="Uwaga 2 4 11 2" xfId="41984"/>
    <cellStyle name="Uwaga 2 4 11 3" xfId="41985"/>
    <cellStyle name="Uwaga 2 4 12" xfId="41986"/>
    <cellStyle name="Uwaga 2 4 12 2" xfId="41987"/>
    <cellStyle name="Uwaga 2 4 12 3" xfId="41988"/>
    <cellStyle name="Uwaga 2 4 13" xfId="41989"/>
    <cellStyle name="Uwaga 2 4 13 2" xfId="41990"/>
    <cellStyle name="Uwaga 2 4 13 3" xfId="41991"/>
    <cellStyle name="Uwaga 2 4 14" xfId="41992"/>
    <cellStyle name="Uwaga 2 4 14 2" xfId="41993"/>
    <cellStyle name="Uwaga 2 4 14 3" xfId="41994"/>
    <cellStyle name="Uwaga 2 4 15" xfId="41995"/>
    <cellStyle name="Uwaga 2 4 15 2" xfId="41996"/>
    <cellStyle name="Uwaga 2 4 15 3" xfId="41997"/>
    <cellStyle name="Uwaga 2 4 16" xfId="41998"/>
    <cellStyle name="Uwaga 2 4 16 2" xfId="41999"/>
    <cellStyle name="Uwaga 2 4 16 3" xfId="42000"/>
    <cellStyle name="Uwaga 2 4 17" xfId="42001"/>
    <cellStyle name="Uwaga 2 4 17 2" xfId="42002"/>
    <cellStyle name="Uwaga 2 4 17 3" xfId="42003"/>
    <cellStyle name="Uwaga 2 4 18" xfId="42004"/>
    <cellStyle name="Uwaga 2 4 18 2" xfId="42005"/>
    <cellStyle name="Uwaga 2 4 18 3" xfId="42006"/>
    <cellStyle name="Uwaga 2 4 19" xfId="42007"/>
    <cellStyle name="Uwaga 2 4 19 2" xfId="42008"/>
    <cellStyle name="Uwaga 2 4 19 3" xfId="42009"/>
    <cellStyle name="Uwaga 2 4 2" xfId="42010"/>
    <cellStyle name="Uwaga 2 4 2 2" xfId="42011"/>
    <cellStyle name="Uwaga 2 4 2 3" xfId="42012"/>
    <cellStyle name="Uwaga 2 4 20" xfId="42013"/>
    <cellStyle name="Uwaga 2 4 20 2" xfId="42014"/>
    <cellStyle name="Uwaga 2 4 20 3" xfId="42015"/>
    <cellStyle name="Uwaga 2 4 3" xfId="42016"/>
    <cellStyle name="Uwaga 2 4 3 2" xfId="42017"/>
    <cellStyle name="Uwaga 2 4 3 2 2" xfId="42018"/>
    <cellStyle name="Uwaga 2 4 3 3" xfId="42019"/>
    <cellStyle name="Uwaga 2 4 4" xfId="42020"/>
    <cellStyle name="Uwaga 2 4 4 2" xfId="42021"/>
    <cellStyle name="Uwaga 2 4 4 3" xfId="42022"/>
    <cellStyle name="Uwaga 2 4 5" xfId="42023"/>
    <cellStyle name="Uwaga 2 4 5 2" xfId="42024"/>
    <cellStyle name="Uwaga 2 4 5 3" xfId="42025"/>
    <cellStyle name="Uwaga 2 4 6" xfId="42026"/>
    <cellStyle name="Uwaga 2 4 6 2" xfId="42027"/>
    <cellStyle name="Uwaga 2 4 6 3" xfId="42028"/>
    <cellStyle name="Uwaga 2 4 7" xfId="42029"/>
    <cellStyle name="Uwaga 2 4 7 2" xfId="42030"/>
    <cellStyle name="Uwaga 2 4 7 3" xfId="42031"/>
    <cellStyle name="Uwaga 2 4 8" xfId="42032"/>
    <cellStyle name="Uwaga 2 4 8 2" xfId="42033"/>
    <cellStyle name="Uwaga 2 4 8 3" xfId="42034"/>
    <cellStyle name="Uwaga 2 4 9" xfId="42035"/>
    <cellStyle name="Uwaga 2 4 9 2" xfId="42036"/>
    <cellStyle name="Uwaga 2 4 9 3" xfId="42037"/>
    <cellStyle name="Uwaga 2 5" xfId="42038"/>
    <cellStyle name="Uwaga 2 5 10" xfId="42039"/>
    <cellStyle name="Uwaga 2 5 10 2" xfId="42040"/>
    <cellStyle name="Uwaga 2 5 10 3" xfId="42041"/>
    <cellStyle name="Uwaga 2 5 11" xfId="42042"/>
    <cellStyle name="Uwaga 2 5 11 2" xfId="42043"/>
    <cellStyle name="Uwaga 2 5 11 3" xfId="42044"/>
    <cellStyle name="Uwaga 2 5 12" xfId="42045"/>
    <cellStyle name="Uwaga 2 5 12 2" xfId="42046"/>
    <cellStyle name="Uwaga 2 5 12 3" xfId="42047"/>
    <cellStyle name="Uwaga 2 5 13" xfId="42048"/>
    <cellStyle name="Uwaga 2 5 13 2" xfId="42049"/>
    <cellStyle name="Uwaga 2 5 13 3" xfId="42050"/>
    <cellStyle name="Uwaga 2 5 14" xfId="42051"/>
    <cellStyle name="Uwaga 2 5 14 2" xfId="42052"/>
    <cellStyle name="Uwaga 2 5 14 3" xfId="42053"/>
    <cellStyle name="Uwaga 2 5 15" xfId="42054"/>
    <cellStyle name="Uwaga 2 5 15 2" xfId="42055"/>
    <cellStyle name="Uwaga 2 5 15 3" xfId="42056"/>
    <cellStyle name="Uwaga 2 5 16" xfId="42057"/>
    <cellStyle name="Uwaga 2 5 16 2" xfId="42058"/>
    <cellStyle name="Uwaga 2 5 16 3" xfId="42059"/>
    <cellStyle name="Uwaga 2 5 17" xfId="42060"/>
    <cellStyle name="Uwaga 2 5 17 2" xfId="42061"/>
    <cellStyle name="Uwaga 2 5 17 3" xfId="42062"/>
    <cellStyle name="Uwaga 2 5 18" xfId="42063"/>
    <cellStyle name="Uwaga 2 5 18 2" xfId="42064"/>
    <cellStyle name="Uwaga 2 5 18 3" xfId="42065"/>
    <cellStyle name="Uwaga 2 5 19" xfId="42066"/>
    <cellStyle name="Uwaga 2 5 19 2" xfId="42067"/>
    <cellStyle name="Uwaga 2 5 19 3" xfId="42068"/>
    <cellStyle name="Uwaga 2 5 2" xfId="42069"/>
    <cellStyle name="Uwaga 2 5 2 2" xfId="42070"/>
    <cellStyle name="Uwaga 2 5 2 3" xfId="42071"/>
    <cellStyle name="Uwaga 2 5 20" xfId="42072"/>
    <cellStyle name="Uwaga 2 5 20 2" xfId="42073"/>
    <cellStyle name="Uwaga 2 5 20 3" xfId="42074"/>
    <cellStyle name="Uwaga 2 5 3" xfId="42075"/>
    <cellStyle name="Uwaga 2 5 3 2" xfId="42076"/>
    <cellStyle name="Uwaga 2 5 3 3" xfId="42077"/>
    <cellStyle name="Uwaga 2 5 4" xfId="42078"/>
    <cellStyle name="Uwaga 2 5 4 2" xfId="42079"/>
    <cellStyle name="Uwaga 2 5 4 3" xfId="42080"/>
    <cellStyle name="Uwaga 2 5 5" xfId="42081"/>
    <cellStyle name="Uwaga 2 5 5 2" xfId="42082"/>
    <cellStyle name="Uwaga 2 5 5 3" xfId="42083"/>
    <cellStyle name="Uwaga 2 5 6" xfId="42084"/>
    <cellStyle name="Uwaga 2 5 6 2" xfId="42085"/>
    <cellStyle name="Uwaga 2 5 6 3" xfId="42086"/>
    <cellStyle name="Uwaga 2 5 7" xfId="42087"/>
    <cellStyle name="Uwaga 2 5 7 2" xfId="42088"/>
    <cellStyle name="Uwaga 2 5 7 3" xfId="42089"/>
    <cellStyle name="Uwaga 2 5 8" xfId="42090"/>
    <cellStyle name="Uwaga 2 5 8 2" xfId="42091"/>
    <cellStyle name="Uwaga 2 5 8 3" xfId="42092"/>
    <cellStyle name="Uwaga 2 5 9" xfId="42093"/>
    <cellStyle name="Uwaga 2 5 9 2" xfId="42094"/>
    <cellStyle name="Uwaga 2 5 9 3" xfId="42095"/>
    <cellStyle name="Uwaga 2 6" xfId="42096"/>
    <cellStyle name="Uwaga 2 6 10" xfId="42097"/>
    <cellStyle name="Uwaga 2 6 10 2" xfId="42098"/>
    <cellStyle name="Uwaga 2 6 10 3" xfId="42099"/>
    <cellStyle name="Uwaga 2 6 11" xfId="42100"/>
    <cellStyle name="Uwaga 2 6 11 2" xfId="42101"/>
    <cellStyle name="Uwaga 2 6 11 3" xfId="42102"/>
    <cellStyle name="Uwaga 2 6 12" xfId="42103"/>
    <cellStyle name="Uwaga 2 6 12 2" xfId="42104"/>
    <cellStyle name="Uwaga 2 6 12 3" xfId="42105"/>
    <cellStyle name="Uwaga 2 6 13" xfId="42106"/>
    <cellStyle name="Uwaga 2 6 13 2" xfId="42107"/>
    <cellStyle name="Uwaga 2 6 13 3" xfId="42108"/>
    <cellStyle name="Uwaga 2 6 14" xfId="42109"/>
    <cellStyle name="Uwaga 2 6 14 2" xfId="42110"/>
    <cellStyle name="Uwaga 2 6 14 3" xfId="42111"/>
    <cellStyle name="Uwaga 2 6 15" xfId="42112"/>
    <cellStyle name="Uwaga 2 6 15 2" xfId="42113"/>
    <cellStyle name="Uwaga 2 6 15 3" xfId="42114"/>
    <cellStyle name="Uwaga 2 6 16" xfId="42115"/>
    <cellStyle name="Uwaga 2 6 16 2" xfId="42116"/>
    <cellStyle name="Uwaga 2 6 16 3" xfId="42117"/>
    <cellStyle name="Uwaga 2 6 17" xfId="42118"/>
    <cellStyle name="Uwaga 2 6 17 2" xfId="42119"/>
    <cellStyle name="Uwaga 2 6 17 3" xfId="42120"/>
    <cellStyle name="Uwaga 2 6 18" xfId="42121"/>
    <cellStyle name="Uwaga 2 6 18 2" xfId="42122"/>
    <cellStyle name="Uwaga 2 6 18 3" xfId="42123"/>
    <cellStyle name="Uwaga 2 6 19" xfId="42124"/>
    <cellStyle name="Uwaga 2 6 19 2" xfId="42125"/>
    <cellStyle name="Uwaga 2 6 19 3" xfId="42126"/>
    <cellStyle name="Uwaga 2 6 2" xfId="42127"/>
    <cellStyle name="Uwaga 2 6 2 2" xfId="42128"/>
    <cellStyle name="Uwaga 2 6 2 3" xfId="42129"/>
    <cellStyle name="Uwaga 2 6 20" xfId="42130"/>
    <cellStyle name="Uwaga 2 6 20 2" xfId="42131"/>
    <cellStyle name="Uwaga 2 6 20 3" xfId="42132"/>
    <cellStyle name="Uwaga 2 6 3" xfId="42133"/>
    <cellStyle name="Uwaga 2 6 3 2" xfId="42134"/>
    <cellStyle name="Uwaga 2 6 3 3" xfId="42135"/>
    <cellStyle name="Uwaga 2 6 4" xfId="42136"/>
    <cellStyle name="Uwaga 2 6 4 2" xfId="42137"/>
    <cellStyle name="Uwaga 2 6 4 3" xfId="42138"/>
    <cellStyle name="Uwaga 2 6 5" xfId="42139"/>
    <cellStyle name="Uwaga 2 6 5 2" xfId="42140"/>
    <cellStyle name="Uwaga 2 6 5 3" xfId="42141"/>
    <cellStyle name="Uwaga 2 6 6" xfId="42142"/>
    <cellStyle name="Uwaga 2 6 6 2" xfId="42143"/>
    <cellStyle name="Uwaga 2 6 6 3" xfId="42144"/>
    <cellStyle name="Uwaga 2 6 7" xfId="42145"/>
    <cellStyle name="Uwaga 2 6 7 2" xfId="42146"/>
    <cellStyle name="Uwaga 2 6 7 3" xfId="42147"/>
    <cellStyle name="Uwaga 2 6 8" xfId="42148"/>
    <cellStyle name="Uwaga 2 6 8 2" xfId="42149"/>
    <cellStyle name="Uwaga 2 6 8 3" xfId="42150"/>
    <cellStyle name="Uwaga 2 6 9" xfId="42151"/>
    <cellStyle name="Uwaga 2 6 9 2" xfId="42152"/>
    <cellStyle name="Uwaga 2 6 9 3" xfId="42153"/>
    <cellStyle name="Uwaga 2 7" xfId="42154"/>
    <cellStyle name="Uwaga 2 7 10" xfId="42155"/>
    <cellStyle name="Uwaga 2 7 10 2" xfId="42156"/>
    <cellStyle name="Uwaga 2 7 10 3" xfId="42157"/>
    <cellStyle name="Uwaga 2 7 11" xfId="42158"/>
    <cellStyle name="Uwaga 2 7 11 2" xfId="42159"/>
    <cellStyle name="Uwaga 2 7 11 3" xfId="42160"/>
    <cellStyle name="Uwaga 2 7 12" xfId="42161"/>
    <cellStyle name="Uwaga 2 7 12 2" xfId="42162"/>
    <cellStyle name="Uwaga 2 7 12 3" xfId="42163"/>
    <cellStyle name="Uwaga 2 7 13" xfId="42164"/>
    <cellStyle name="Uwaga 2 7 13 2" xfId="42165"/>
    <cellStyle name="Uwaga 2 7 13 3" xfId="42166"/>
    <cellStyle name="Uwaga 2 7 14" xfId="42167"/>
    <cellStyle name="Uwaga 2 7 14 2" xfId="42168"/>
    <cellStyle name="Uwaga 2 7 14 3" xfId="42169"/>
    <cellStyle name="Uwaga 2 7 15" xfId="42170"/>
    <cellStyle name="Uwaga 2 7 15 2" xfId="42171"/>
    <cellStyle name="Uwaga 2 7 15 3" xfId="42172"/>
    <cellStyle name="Uwaga 2 7 16" xfId="42173"/>
    <cellStyle name="Uwaga 2 7 16 2" xfId="42174"/>
    <cellStyle name="Uwaga 2 7 16 3" xfId="42175"/>
    <cellStyle name="Uwaga 2 7 17" xfId="42176"/>
    <cellStyle name="Uwaga 2 7 17 2" xfId="42177"/>
    <cellStyle name="Uwaga 2 7 17 3" xfId="42178"/>
    <cellStyle name="Uwaga 2 7 18" xfId="42179"/>
    <cellStyle name="Uwaga 2 7 18 2" xfId="42180"/>
    <cellStyle name="Uwaga 2 7 18 3" xfId="42181"/>
    <cellStyle name="Uwaga 2 7 19" xfId="42182"/>
    <cellStyle name="Uwaga 2 7 19 2" xfId="42183"/>
    <cellStyle name="Uwaga 2 7 19 3" xfId="42184"/>
    <cellStyle name="Uwaga 2 7 2" xfId="42185"/>
    <cellStyle name="Uwaga 2 7 2 2" xfId="42186"/>
    <cellStyle name="Uwaga 2 7 2 3" xfId="42187"/>
    <cellStyle name="Uwaga 2 7 20" xfId="42188"/>
    <cellStyle name="Uwaga 2 7 20 2" xfId="42189"/>
    <cellStyle name="Uwaga 2 7 20 3" xfId="42190"/>
    <cellStyle name="Uwaga 2 7 3" xfId="42191"/>
    <cellStyle name="Uwaga 2 7 3 2" xfId="42192"/>
    <cellStyle name="Uwaga 2 7 3 3" xfId="42193"/>
    <cellStyle name="Uwaga 2 7 4" xfId="42194"/>
    <cellStyle name="Uwaga 2 7 4 2" xfId="42195"/>
    <cellStyle name="Uwaga 2 7 4 3" xfId="42196"/>
    <cellStyle name="Uwaga 2 7 5" xfId="42197"/>
    <cellStyle name="Uwaga 2 7 5 2" xfId="42198"/>
    <cellStyle name="Uwaga 2 7 5 3" xfId="42199"/>
    <cellStyle name="Uwaga 2 7 6" xfId="42200"/>
    <cellStyle name="Uwaga 2 7 6 2" xfId="42201"/>
    <cellStyle name="Uwaga 2 7 6 3" xfId="42202"/>
    <cellStyle name="Uwaga 2 7 7" xfId="42203"/>
    <cellStyle name="Uwaga 2 7 7 2" xfId="42204"/>
    <cellStyle name="Uwaga 2 7 7 3" xfId="42205"/>
    <cellStyle name="Uwaga 2 7 8" xfId="42206"/>
    <cellStyle name="Uwaga 2 7 8 2" xfId="42207"/>
    <cellStyle name="Uwaga 2 7 8 3" xfId="42208"/>
    <cellStyle name="Uwaga 2 7 9" xfId="42209"/>
    <cellStyle name="Uwaga 2 7 9 2" xfId="42210"/>
    <cellStyle name="Uwaga 2 7 9 3" xfId="42211"/>
    <cellStyle name="Uwaga 2 8" xfId="42212"/>
    <cellStyle name="Uwaga 2 8 10" xfId="42213"/>
    <cellStyle name="Uwaga 2 8 10 2" xfId="42214"/>
    <cellStyle name="Uwaga 2 8 10 3" xfId="42215"/>
    <cellStyle name="Uwaga 2 8 11" xfId="42216"/>
    <cellStyle name="Uwaga 2 8 11 2" xfId="42217"/>
    <cellStyle name="Uwaga 2 8 11 3" xfId="42218"/>
    <cellStyle name="Uwaga 2 8 12" xfId="42219"/>
    <cellStyle name="Uwaga 2 8 12 2" xfId="42220"/>
    <cellStyle name="Uwaga 2 8 12 3" xfId="42221"/>
    <cellStyle name="Uwaga 2 8 13" xfId="42222"/>
    <cellStyle name="Uwaga 2 8 13 2" xfId="42223"/>
    <cellStyle name="Uwaga 2 8 13 3" xfId="42224"/>
    <cellStyle name="Uwaga 2 8 14" xfId="42225"/>
    <cellStyle name="Uwaga 2 8 14 2" xfId="42226"/>
    <cellStyle name="Uwaga 2 8 14 3" xfId="42227"/>
    <cellStyle name="Uwaga 2 8 15" xfId="42228"/>
    <cellStyle name="Uwaga 2 8 15 2" xfId="42229"/>
    <cellStyle name="Uwaga 2 8 15 3" xfId="42230"/>
    <cellStyle name="Uwaga 2 8 16" xfId="42231"/>
    <cellStyle name="Uwaga 2 8 16 2" xfId="42232"/>
    <cellStyle name="Uwaga 2 8 16 3" xfId="42233"/>
    <cellStyle name="Uwaga 2 8 17" xfId="42234"/>
    <cellStyle name="Uwaga 2 8 17 2" xfId="42235"/>
    <cellStyle name="Uwaga 2 8 17 3" xfId="42236"/>
    <cellStyle name="Uwaga 2 8 18" xfId="42237"/>
    <cellStyle name="Uwaga 2 8 18 2" xfId="42238"/>
    <cellStyle name="Uwaga 2 8 18 3" xfId="42239"/>
    <cellStyle name="Uwaga 2 8 19" xfId="42240"/>
    <cellStyle name="Uwaga 2 8 19 2" xfId="42241"/>
    <cellStyle name="Uwaga 2 8 19 3" xfId="42242"/>
    <cellStyle name="Uwaga 2 8 2" xfId="42243"/>
    <cellStyle name="Uwaga 2 8 2 2" xfId="42244"/>
    <cellStyle name="Uwaga 2 8 2 3" xfId="42245"/>
    <cellStyle name="Uwaga 2 8 20" xfId="42246"/>
    <cellStyle name="Uwaga 2 8 20 2" xfId="42247"/>
    <cellStyle name="Uwaga 2 8 20 3" xfId="42248"/>
    <cellStyle name="Uwaga 2 8 3" xfId="42249"/>
    <cellStyle name="Uwaga 2 8 3 2" xfId="42250"/>
    <cellStyle name="Uwaga 2 8 3 3" xfId="42251"/>
    <cellStyle name="Uwaga 2 8 4" xfId="42252"/>
    <cellStyle name="Uwaga 2 8 4 2" xfId="42253"/>
    <cellStyle name="Uwaga 2 8 4 3" xfId="42254"/>
    <cellStyle name="Uwaga 2 8 5" xfId="42255"/>
    <cellStyle name="Uwaga 2 8 5 2" xfId="42256"/>
    <cellStyle name="Uwaga 2 8 5 3" xfId="42257"/>
    <cellStyle name="Uwaga 2 8 6" xfId="42258"/>
    <cellStyle name="Uwaga 2 8 6 2" xfId="42259"/>
    <cellStyle name="Uwaga 2 8 6 3" xfId="42260"/>
    <cellStyle name="Uwaga 2 8 7" xfId="42261"/>
    <cellStyle name="Uwaga 2 8 7 2" xfId="42262"/>
    <cellStyle name="Uwaga 2 8 7 3" xfId="42263"/>
    <cellStyle name="Uwaga 2 8 8" xfId="42264"/>
    <cellStyle name="Uwaga 2 8 8 2" xfId="42265"/>
    <cellStyle name="Uwaga 2 8 8 3" xfId="42266"/>
    <cellStyle name="Uwaga 2 8 9" xfId="42267"/>
    <cellStyle name="Uwaga 2 8 9 2" xfId="42268"/>
    <cellStyle name="Uwaga 2 8 9 3" xfId="42269"/>
    <cellStyle name="Uwaga 2 9" xfId="42270"/>
    <cellStyle name="Uwaga 2 9 2" xfId="42271"/>
    <cellStyle name="Uwaga 2 9 2 2" xfId="42272"/>
    <cellStyle name="Uwaga 2 9 3" xfId="42273"/>
    <cellStyle name="Uwaga 20" xfId="42274"/>
    <cellStyle name="Uwaga 20 2" xfId="42275"/>
    <cellStyle name="Uwaga 20 3" xfId="42276"/>
    <cellStyle name="Uwaga 21" xfId="42277"/>
    <cellStyle name="Uwaga 21 2" xfId="42278"/>
    <cellStyle name="Uwaga 21 3" xfId="42279"/>
    <cellStyle name="Uwaga 22" xfId="42280"/>
    <cellStyle name="Uwaga 22 2" xfId="42281"/>
    <cellStyle name="Uwaga 22 3" xfId="42282"/>
    <cellStyle name="Uwaga 23" xfId="42283"/>
    <cellStyle name="Uwaga 23 2" xfId="42284"/>
    <cellStyle name="Uwaga 23 3" xfId="42285"/>
    <cellStyle name="Uwaga 24" xfId="42286"/>
    <cellStyle name="Uwaga 24 2" xfId="42287"/>
    <cellStyle name="Uwaga 24 3" xfId="42288"/>
    <cellStyle name="Uwaga 25" xfId="42289"/>
    <cellStyle name="Uwaga 25 2" xfId="42290"/>
    <cellStyle name="Uwaga 25 3" xfId="42291"/>
    <cellStyle name="Uwaga 26" xfId="42292"/>
    <cellStyle name="Uwaga 27" xfId="42293"/>
    <cellStyle name="Uwaga 3" xfId="42294"/>
    <cellStyle name="Uwaga 3 10" xfId="42295"/>
    <cellStyle name="Uwaga 3 10 2" xfId="42296"/>
    <cellStyle name="Uwaga 3 10 3" xfId="42297"/>
    <cellStyle name="Uwaga 3 11" xfId="42298"/>
    <cellStyle name="Uwaga 3 11 2" xfId="42299"/>
    <cellStyle name="Uwaga 3 11 3" xfId="42300"/>
    <cellStyle name="Uwaga 3 12" xfId="42301"/>
    <cellStyle name="Uwaga 3 12 2" xfId="42302"/>
    <cellStyle name="Uwaga 3 12 3" xfId="42303"/>
    <cellStyle name="Uwaga 3 13" xfId="42304"/>
    <cellStyle name="Uwaga 3 13 2" xfId="42305"/>
    <cellStyle name="Uwaga 3 13 3" xfId="42306"/>
    <cellStyle name="Uwaga 3 14" xfId="42307"/>
    <cellStyle name="Uwaga 3 14 2" xfId="42308"/>
    <cellStyle name="Uwaga 3 14 3" xfId="42309"/>
    <cellStyle name="Uwaga 3 15" xfId="42310"/>
    <cellStyle name="Uwaga 3 15 2" xfId="42311"/>
    <cellStyle name="Uwaga 3 15 3" xfId="42312"/>
    <cellStyle name="Uwaga 3 16" xfId="42313"/>
    <cellStyle name="Uwaga 3 16 2" xfId="42314"/>
    <cellStyle name="Uwaga 3 16 3" xfId="42315"/>
    <cellStyle name="Uwaga 3 17" xfId="42316"/>
    <cellStyle name="Uwaga 3 17 2" xfId="42317"/>
    <cellStyle name="Uwaga 3 17 3" xfId="42318"/>
    <cellStyle name="Uwaga 3 18" xfId="42319"/>
    <cellStyle name="Uwaga 3 18 2" xfId="42320"/>
    <cellStyle name="Uwaga 3 18 3" xfId="42321"/>
    <cellStyle name="Uwaga 3 19" xfId="42322"/>
    <cellStyle name="Uwaga 3 19 2" xfId="42323"/>
    <cellStyle name="Uwaga 3 19 3" xfId="42324"/>
    <cellStyle name="Uwaga 3 2" xfId="42325"/>
    <cellStyle name="Uwaga 3 2 10" xfId="42326"/>
    <cellStyle name="Uwaga 3 2 10 2" xfId="42327"/>
    <cellStyle name="Uwaga 3 2 10 3" xfId="42328"/>
    <cellStyle name="Uwaga 3 2 11" xfId="42329"/>
    <cellStyle name="Uwaga 3 2 11 2" xfId="42330"/>
    <cellStyle name="Uwaga 3 2 11 3" xfId="42331"/>
    <cellStyle name="Uwaga 3 2 12" xfId="42332"/>
    <cellStyle name="Uwaga 3 2 12 2" xfId="42333"/>
    <cellStyle name="Uwaga 3 2 12 3" xfId="42334"/>
    <cellStyle name="Uwaga 3 2 13" xfId="42335"/>
    <cellStyle name="Uwaga 3 2 13 2" xfId="42336"/>
    <cellStyle name="Uwaga 3 2 13 3" xfId="42337"/>
    <cellStyle name="Uwaga 3 2 14" xfId="42338"/>
    <cellStyle name="Uwaga 3 2 14 2" xfId="42339"/>
    <cellStyle name="Uwaga 3 2 14 3" xfId="42340"/>
    <cellStyle name="Uwaga 3 2 15" xfId="42341"/>
    <cellStyle name="Uwaga 3 2 15 2" xfId="42342"/>
    <cellStyle name="Uwaga 3 2 15 3" xfId="42343"/>
    <cellStyle name="Uwaga 3 2 16" xfId="42344"/>
    <cellStyle name="Uwaga 3 2 16 2" xfId="42345"/>
    <cellStyle name="Uwaga 3 2 16 3" xfId="42346"/>
    <cellStyle name="Uwaga 3 2 17" xfId="42347"/>
    <cellStyle name="Uwaga 3 2 17 2" xfId="42348"/>
    <cellStyle name="Uwaga 3 2 17 3" xfId="42349"/>
    <cellStyle name="Uwaga 3 2 18" xfId="42350"/>
    <cellStyle name="Uwaga 3 2 18 2" xfId="42351"/>
    <cellStyle name="Uwaga 3 2 18 3" xfId="42352"/>
    <cellStyle name="Uwaga 3 2 19" xfId="42353"/>
    <cellStyle name="Uwaga 3 2 19 2" xfId="42354"/>
    <cellStyle name="Uwaga 3 2 19 3" xfId="42355"/>
    <cellStyle name="Uwaga 3 2 2" xfId="42356"/>
    <cellStyle name="Uwaga 3 2 2 2" xfId="42357"/>
    <cellStyle name="Uwaga 3 2 2 3" xfId="42358"/>
    <cellStyle name="Uwaga 3 2 20" xfId="42359"/>
    <cellStyle name="Uwaga 3 2 20 2" xfId="42360"/>
    <cellStyle name="Uwaga 3 2 20 3" xfId="42361"/>
    <cellStyle name="Uwaga 3 2 3" xfId="42362"/>
    <cellStyle name="Uwaga 3 2 3 2" xfId="42363"/>
    <cellStyle name="Uwaga 3 2 3 3" xfId="42364"/>
    <cellStyle name="Uwaga 3 2 4" xfId="42365"/>
    <cellStyle name="Uwaga 3 2 4 2" xfId="42366"/>
    <cellStyle name="Uwaga 3 2 4 3" xfId="42367"/>
    <cellStyle name="Uwaga 3 2 5" xfId="42368"/>
    <cellStyle name="Uwaga 3 2 5 2" xfId="42369"/>
    <cellStyle name="Uwaga 3 2 5 3" xfId="42370"/>
    <cellStyle name="Uwaga 3 2 6" xfId="42371"/>
    <cellStyle name="Uwaga 3 2 6 2" xfId="42372"/>
    <cellStyle name="Uwaga 3 2 6 3" xfId="42373"/>
    <cellStyle name="Uwaga 3 2 7" xfId="42374"/>
    <cellStyle name="Uwaga 3 2 7 2" xfId="42375"/>
    <cellStyle name="Uwaga 3 2 7 3" xfId="42376"/>
    <cellStyle name="Uwaga 3 2 8" xfId="42377"/>
    <cellStyle name="Uwaga 3 2 8 2" xfId="42378"/>
    <cellStyle name="Uwaga 3 2 8 3" xfId="42379"/>
    <cellStyle name="Uwaga 3 2 9" xfId="42380"/>
    <cellStyle name="Uwaga 3 2 9 2" xfId="42381"/>
    <cellStyle name="Uwaga 3 2 9 3" xfId="42382"/>
    <cellStyle name="Uwaga 3 20" xfId="42383"/>
    <cellStyle name="Uwaga 3 20 2" xfId="42384"/>
    <cellStyle name="Uwaga 3 20 3" xfId="42385"/>
    <cellStyle name="Uwaga 3 21" xfId="42386"/>
    <cellStyle name="Uwaga 3 21 2" xfId="42387"/>
    <cellStyle name="Uwaga 3 21 3" xfId="42388"/>
    <cellStyle name="Uwaga 3 3" xfId="42389"/>
    <cellStyle name="Uwaga 3 3 2" xfId="42390"/>
    <cellStyle name="Uwaga 3 3 2 2" xfId="42391"/>
    <cellStyle name="Uwaga 3 3 3" xfId="42392"/>
    <cellStyle name="Uwaga 3 4" xfId="42393"/>
    <cellStyle name="Uwaga 3 4 2" xfId="42394"/>
    <cellStyle name="Uwaga 3 4 3" xfId="42395"/>
    <cellStyle name="Uwaga 3 5" xfId="42396"/>
    <cellStyle name="Uwaga 3 5 2" xfId="42397"/>
    <cellStyle name="Uwaga 3 5 3" xfId="42398"/>
    <cellStyle name="Uwaga 3 6" xfId="42399"/>
    <cellStyle name="Uwaga 3 6 2" xfId="42400"/>
    <cellStyle name="Uwaga 3 6 3" xfId="42401"/>
    <cellStyle name="Uwaga 3 7" xfId="42402"/>
    <cellStyle name="Uwaga 3 7 2" xfId="42403"/>
    <cellStyle name="Uwaga 3 7 3" xfId="42404"/>
    <cellStyle name="Uwaga 3 8" xfId="42405"/>
    <cellStyle name="Uwaga 3 8 2" xfId="42406"/>
    <cellStyle name="Uwaga 3 8 3" xfId="42407"/>
    <cellStyle name="Uwaga 3 9" xfId="42408"/>
    <cellStyle name="Uwaga 3 9 2" xfId="42409"/>
    <cellStyle name="Uwaga 3 9 3" xfId="42410"/>
    <cellStyle name="Uwaga 4" xfId="42411"/>
    <cellStyle name="Uwaga 4 10" xfId="42412"/>
    <cellStyle name="Uwaga 4 10 2" xfId="42413"/>
    <cellStyle name="Uwaga 4 10 3" xfId="42414"/>
    <cellStyle name="Uwaga 4 11" xfId="42415"/>
    <cellStyle name="Uwaga 4 11 2" xfId="42416"/>
    <cellStyle name="Uwaga 4 11 3" xfId="42417"/>
    <cellStyle name="Uwaga 4 12" xfId="42418"/>
    <cellStyle name="Uwaga 4 12 2" xfId="42419"/>
    <cellStyle name="Uwaga 4 12 3" xfId="42420"/>
    <cellStyle name="Uwaga 4 13" xfId="42421"/>
    <cellStyle name="Uwaga 4 13 2" xfId="42422"/>
    <cellStyle name="Uwaga 4 13 3" xfId="42423"/>
    <cellStyle name="Uwaga 4 14" xfId="42424"/>
    <cellStyle name="Uwaga 4 14 2" xfId="42425"/>
    <cellStyle name="Uwaga 4 14 3" xfId="42426"/>
    <cellStyle name="Uwaga 4 15" xfId="42427"/>
    <cellStyle name="Uwaga 4 15 2" xfId="42428"/>
    <cellStyle name="Uwaga 4 15 3" xfId="42429"/>
    <cellStyle name="Uwaga 4 16" xfId="42430"/>
    <cellStyle name="Uwaga 4 16 2" xfId="42431"/>
    <cellStyle name="Uwaga 4 16 3" xfId="42432"/>
    <cellStyle name="Uwaga 4 17" xfId="42433"/>
    <cellStyle name="Uwaga 4 17 2" xfId="42434"/>
    <cellStyle name="Uwaga 4 17 3" xfId="42435"/>
    <cellStyle name="Uwaga 4 18" xfId="42436"/>
    <cellStyle name="Uwaga 4 18 2" xfId="42437"/>
    <cellStyle name="Uwaga 4 18 3" xfId="42438"/>
    <cellStyle name="Uwaga 4 19" xfId="42439"/>
    <cellStyle name="Uwaga 4 19 2" xfId="42440"/>
    <cellStyle name="Uwaga 4 19 3" xfId="42441"/>
    <cellStyle name="Uwaga 4 2" xfId="42442"/>
    <cellStyle name="Uwaga 4 2 10" xfId="42443"/>
    <cellStyle name="Uwaga 4 2 10 2" xfId="42444"/>
    <cellStyle name="Uwaga 4 2 10 3" xfId="42445"/>
    <cellStyle name="Uwaga 4 2 11" xfId="42446"/>
    <cellStyle name="Uwaga 4 2 11 2" xfId="42447"/>
    <cellStyle name="Uwaga 4 2 11 3" xfId="42448"/>
    <cellStyle name="Uwaga 4 2 12" xfId="42449"/>
    <cellStyle name="Uwaga 4 2 12 2" xfId="42450"/>
    <cellStyle name="Uwaga 4 2 12 3" xfId="42451"/>
    <cellStyle name="Uwaga 4 2 13" xfId="42452"/>
    <cellStyle name="Uwaga 4 2 13 2" xfId="42453"/>
    <cellStyle name="Uwaga 4 2 13 3" xfId="42454"/>
    <cellStyle name="Uwaga 4 2 14" xfId="42455"/>
    <cellStyle name="Uwaga 4 2 14 2" xfId="42456"/>
    <cellStyle name="Uwaga 4 2 14 3" xfId="42457"/>
    <cellStyle name="Uwaga 4 2 15" xfId="42458"/>
    <cellStyle name="Uwaga 4 2 15 2" xfId="42459"/>
    <cellStyle name="Uwaga 4 2 15 3" xfId="42460"/>
    <cellStyle name="Uwaga 4 2 16" xfId="42461"/>
    <cellStyle name="Uwaga 4 2 16 2" xfId="42462"/>
    <cellStyle name="Uwaga 4 2 16 3" xfId="42463"/>
    <cellStyle name="Uwaga 4 2 17" xfId="42464"/>
    <cellStyle name="Uwaga 4 2 17 2" xfId="42465"/>
    <cellStyle name="Uwaga 4 2 17 3" xfId="42466"/>
    <cellStyle name="Uwaga 4 2 18" xfId="42467"/>
    <cellStyle name="Uwaga 4 2 18 2" xfId="42468"/>
    <cellStyle name="Uwaga 4 2 18 3" xfId="42469"/>
    <cellStyle name="Uwaga 4 2 19" xfId="42470"/>
    <cellStyle name="Uwaga 4 2 19 2" xfId="42471"/>
    <cellStyle name="Uwaga 4 2 19 3" xfId="42472"/>
    <cellStyle name="Uwaga 4 2 2" xfId="42473"/>
    <cellStyle name="Uwaga 4 2 2 2" xfId="42474"/>
    <cellStyle name="Uwaga 4 2 2 3" xfId="42475"/>
    <cellStyle name="Uwaga 4 2 20" xfId="42476"/>
    <cellStyle name="Uwaga 4 2 20 2" xfId="42477"/>
    <cellStyle name="Uwaga 4 2 20 3" xfId="42478"/>
    <cellStyle name="Uwaga 4 2 3" xfId="42479"/>
    <cellStyle name="Uwaga 4 2 3 2" xfId="42480"/>
    <cellStyle name="Uwaga 4 2 3 3" xfId="42481"/>
    <cellStyle name="Uwaga 4 2 4" xfId="42482"/>
    <cellStyle name="Uwaga 4 2 4 2" xfId="42483"/>
    <cellStyle name="Uwaga 4 2 4 3" xfId="42484"/>
    <cellStyle name="Uwaga 4 2 5" xfId="42485"/>
    <cellStyle name="Uwaga 4 2 5 2" xfId="42486"/>
    <cellStyle name="Uwaga 4 2 5 3" xfId="42487"/>
    <cellStyle name="Uwaga 4 2 6" xfId="42488"/>
    <cellStyle name="Uwaga 4 2 6 2" xfId="42489"/>
    <cellStyle name="Uwaga 4 2 6 3" xfId="42490"/>
    <cellStyle name="Uwaga 4 2 7" xfId="42491"/>
    <cellStyle name="Uwaga 4 2 7 2" xfId="42492"/>
    <cellStyle name="Uwaga 4 2 7 3" xfId="42493"/>
    <cellStyle name="Uwaga 4 2 8" xfId="42494"/>
    <cellStyle name="Uwaga 4 2 8 2" xfId="42495"/>
    <cellStyle name="Uwaga 4 2 8 3" xfId="42496"/>
    <cellStyle name="Uwaga 4 2 9" xfId="42497"/>
    <cellStyle name="Uwaga 4 2 9 2" xfId="42498"/>
    <cellStyle name="Uwaga 4 2 9 3" xfId="42499"/>
    <cellStyle name="Uwaga 4 20" xfId="42500"/>
    <cellStyle name="Uwaga 4 20 2" xfId="42501"/>
    <cellStyle name="Uwaga 4 20 3" xfId="42502"/>
    <cellStyle name="Uwaga 4 21" xfId="42503"/>
    <cellStyle name="Uwaga 4 21 2" xfId="42504"/>
    <cellStyle name="Uwaga 4 21 3" xfId="42505"/>
    <cellStyle name="Uwaga 4 22" xfId="42506"/>
    <cellStyle name="Uwaga 4 22 2" xfId="42507"/>
    <cellStyle name="Uwaga 4 22 3" xfId="42508"/>
    <cellStyle name="Uwaga 4 3" xfId="42509"/>
    <cellStyle name="Uwaga 4 3 10" xfId="42510"/>
    <cellStyle name="Uwaga 4 3 10 2" xfId="42511"/>
    <cellStyle name="Uwaga 4 3 10 3" xfId="42512"/>
    <cellStyle name="Uwaga 4 3 11" xfId="42513"/>
    <cellStyle name="Uwaga 4 3 11 2" xfId="42514"/>
    <cellStyle name="Uwaga 4 3 11 3" xfId="42515"/>
    <cellStyle name="Uwaga 4 3 12" xfId="42516"/>
    <cellStyle name="Uwaga 4 3 12 2" xfId="42517"/>
    <cellStyle name="Uwaga 4 3 12 3" xfId="42518"/>
    <cellStyle name="Uwaga 4 3 13" xfId="42519"/>
    <cellStyle name="Uwaga 4 3 13 2" xfId="42520"/>
    <cellStyle name="Uwaga 4 3 13 3" xfId="42521"/>
    <cellStyle name="Uwaga 4 3 14" xfId="42522"/>
    <cellStyle name="Uwaga 4 3 14 2" xfId="42523"/>
    <cellStyle name="Uwaga 4 3 14 3" xfId="42524"/>
    <cellStyle name="Uwaga 4 3 15" xfId="42525"/>
    <cellStyle name="Uwaga 4 3 15 2" xfId="42526"/>
    <cellStyle name="Uwaga 4 3 15 3" xfId="42527"/>
    <cellStyle name="Uwaga 4 3 16" xfId="42528"/>
    <cellStyle name="Uwaga 4 3 16 2" xfId="42529"/>
    <cellStyle name="Uwaga 4 3 16 3" xfId="42530"/>
    <cellStyle name="Uwaga 4 3 17" xfId="42531"/>
    <cellStyle name="Uwaga 4 3 17 2" xfId="42532"/>
    <cellStyle name="Uwaga 4 3 17 3" xfId="42533"/>
    <cellStyle name="Uwaga 4 3 18" xfId="42534"/>
    <cellStyle name="Uwaga 4 3 18 2" xfId="42535"/>
    <cellStyle name="Uwaga 4 3 18 3" xfId="42536"/>
    <cellStyle name="Uwaga 4 3 19" xfId="42537"/>
    <cellStyle name="Uwaga 4 3 19 2" xfId="42538"/>
    <cellStyle name="Uwaga 4 3 19 3" xfId="42539"/>
    <cellStyle name="Uwaga 4 3 2" xfId="42540"/>
    <cellStyle name="Uwaga 4 3 2 2" xfId="42541"/>
    <cellStyle name="Uwaga 4 3 2 3" xfId="42542"/>
    <cellStyle name="Uwaga 4 3 20" xfId="42543"/>
    <cellStyle name="Uwaga 4 3 20 2" xfId="42544"/>
    <cellStyle name="Uwaga 4 3 20 3" xfId="42545"/>
    <cellStyle name="Uwaga 4 3 3" xfId="42546"/>
    <cellStyle name="Uwaga 4 3 3 2" xfId="42547"/>
    <cellStyle name="Uwaga 4 3 3 2 2" xfId="42548"/>
    <cellStyle name="Uwaga 4 3 3 3" xfId="42549"/>
    <cellStyle name="Uwaga 4 3 4" xfId="42550"/>
    <cellStyle name="Uwaga 4 3 4 2" xfId="42551"/>
    <cellStyle name="Uwaga 4 3 4 3" xfId="42552"/>
    <cellStyle name="Uwaga 4 3 5" xfId="42553"/>
    <cellStyle name="Uwaga 4 3 5 2" xfId="42554"/>
    <cellStyle name="Uwaga 4 3 5 3" xfId="42555"/>
    <cellStyle name="Uwaga 4 3 6" xfId="42556"/>
    <cellStyle name="Uwaga 4 3 6 2" xfId="42557"/>
    <cellStyle name="Uwaga 4 3 6 3" xfId="42558"/>
    <cellStyle name="Uwaga 4 3 7" xfId="42559"/>
    <cellStyle name="Uwaga 4 3 7 2" xfId="42560"/>
    <cellStyle name="Uwaga 4 3 7 3" xfId="42561"/>
    <cellStyle name="Uwaga 4 3 8" xfId="42562"/>
    <cellStyle name="Uwaga 4 3 8 2" xfId="42563"/>
    <cellStyle name="Uwaga 4 3 8 3" xfId="42564"/>
    <cellStyle name="Uwaga 4 3 9" xfId="42565"/>
    <cellStyle name="Uwaga 4 3 9 2" xfId="42566"/>
    <cellStyle name="Uwaga 4 3 9 3" xfId="42567"/>
    <cellStyle name="Uwaga 4 4" xfId="42568"/>
    <cellStyle name="Uwaga 4 4 2" xfId="42569"/>
    <cellStyle name="Uwaga 4 4 3" xfId="42570"/>
    <cellStyle name="Uwaga 4 5" xfId="42571"/>
    <cellStyle name="Uwaga 4 5 2" xfId="42572"/>
    <cellStyle name="Uwaga 4 5 3" xfId="42573"/>
    <cellStyle name="Uwaga 4 6" xfId="42574"/>
    <cellStyle name="Uwaga 4 6 2" xfId="42575"/>
    <cellStyle name="Uwaga 4 6 3" xfId="42576"/>
    <cellStyle name="Uwaga 4 7" xfId="42577"/>
    <cellStyle name="Uwaga 4 7 2" xfId="42578"/>
    <cellStyle name="Uwaga 4 7 3" xfId="42579"/>
    <cellStyle name="Uwaga 4 8" xfId="42580"/>
    <cellStyle name="Uwaga 4 8 2" xfId="42581"/>
    <cellStyle name="Uwaga 4 8 3" xfId="42582"/>
    <cellStyle name="Uwaga 4 9" xfId="42583"/>
    <cellStyle name="Uwaga 4 9 2" xfId="42584"/>
    <cellStyle name="Uwaga 4 9 3" xfId="42585"/>
    <cellStyle name="Uwaga 5" xfId="42586"/>
    <cellStyle name="Uwaga 5 10" xfId="42587"/>
    <cellStyle name="Uwaga 5 10 2" xfId="42588"/>
    <cellStyle name="Uwaga 5 10 3" xfId="42589"/>
    <cellStyle name="Uwaga 5 11" xfId="42590"/>
    <cellStyle name="Uwaga 5 11 2" xfId="42591"/>
    <cellStyle name="Uwaga 5 11 3" xfId="42592"/>
    <cellStyle name="Uwaga 5 12" xfId="42593"/>
    <cellStyle name="Uwaga 5 12 2" xfId="42594"/>
    <cellStyle name="Uwaga 5 12 3" xfId="42595"/>
    <cellStyle name="Uwaga 5 13" xfId="42596"/>
    <cellStyle name="Uwaga 5 13 2" xfId="42597"/>
    <cellStyle name="Uwaga 5 13 3" xfId="42598"/>
    <cellStyle name="Uwaga 5 14" xfId="42599"/>
    <cellStyle name="Uwaga 5 14 2" xfId="42600"/>
    <cellStyle name="Uwaga 5 14 3" xfId="42601"/>
    <cellStyle name="Uwaga 5 15" xfId="42602"/>
    <cellStyle name="Uwaga 5 15 2" xfId="42603"/>
    <cellStyle name="Uwaga 5 15 3" xfId="42604"/>
    <cellStyle name="Uwaga 5 16" xfId="42605"/>
    <cellStyle name="Uwaga 5 16 2" xfId="42606"/>
    <cellStyle name="Uwaga 5 16 3" xfId="42607"/>
    <cellStyle name="Uwaga 5 17" xfId="42608"/>
    <cellStyle name="Uwaga 5 17 2" xfId="42609"/>
    <cellStyle name="Uwaga 5 17 3" xfId="42610"/>
    <cellStyle name="Uwaga 5 18" xfId="42611"/>
    <cellStyle name="Uwaga 5 18 2" xfId="42612"/>
    <cellStyle name="Uwaga 5 18 3" xfId="42613"/>
    <cellStyle name="Uwaga 5 19" xfId="42614"/>
    <cellStyle name="Uwaga 5 19 2" xfId="42615"/>
    <cellStyle name="Uwaga 5 19 3" xfId="42616"/>
    <cellStyle name="Uwaga 5 2" xfId="42617"/>
    <cellStyle name="Uwaga 5 2 10" xfId="42618"/>
    <cellStyle name="Uwaga 5 2 10 2" xfId="42619"/>
    <cellStyle name="Uwaga 5 2 10 3" xfId="42620"/>
    <cellStyle name="Uwaga 5 2 11" xfId="42621"/>
    <cellStyle name="Uwaga 5 2 11 2" xfId="42622"/>
    <cellStyle name="Uwaga 5 2 11 3" xfId="42623"/>
    <cellStyle name="Uwaga 5 2 12" xfId="42624"/>
    <cellStyle name="Uwaga 5 2 12 2" xfId="42625"/>
    <cellStyle name="Uwaga 5 2 12 3" xfId="42626"/>
    <cellStyle name="Uwaga 5 2 13" xfId="42627"/>
    <cellStyle name="Uwaga 5 2 13 2" xfId="42628"/>
    <cellStyle name="Uwaga 5 2 13 3" xfId="42629"/>
    <cellStyle name="Uwaga 5 2 14" xfId="42630"/>
    <cellStyle name="Uwaga 5 2 14 2" xfId="42631"/>
    <cellStyle name="Uwaga 5 2 14 3" xfId="42632"/>
    <cellStyle name="Uwaga 5 2 15" xfId="42633"/>
    <cellStyle name="Uwaga 5 2 15 2" xfId="42634"/>
    <cellStyle name="Uwaga 5 2 15 3" xfId="42635"/>
    <cellStyle name="Uwaga 5 2 16" xfId="42636"/>
    <cellStyle name="Uwaga 5 2 16 2" xfId="42637"/>
    <cellStyle name="Uwaga 5 2 16 3" xfId="42638"/>
    <cellStyle name="Uwaga 5 2 17" xfId="42639"/>
    <cellStyle name="Uwaga 5 2 17 2" xfId="42640"/>
    <cellStyle name="Uwaga 5 2 17 3" xfId="42641"/>
    <cellStyle name="Uwaga 5 2 18" xfId="42642"/>
    <cellStyle name="Uwaga 5 2 18 2" xfId="42643"/>
    <cellStyle name="Uwaga 5 2 18 3" xfId="42644"/>
    <cellStyle name="Uwaga 5 2 19" xfId="42645"/>
    <cellStyle name="Uwaga 5 2 19 2" xfId="42646"/>
    <cellStyle name="Uwaga 5 2 19 3" xfId="42647"/>
    <cellStyle name="Uwaga 5 2 2" xfId="42648"/>
    <cellStyle name="Uwaga 5 2 2 2" xfId="42649"/>
    <cellStyle name="Uwaga 5 2 2 3" xfId="42650"/>
    <cellStyle name="Uwaga 5 2 20" xfId="42651"/>
    <cellStyle name="Uwaga 5 2 20 2" xfId="42652"/>
    <cellStyle name="Uwaga 5 2 20 3" xfId="42653"/>
    <cellStyle name="Uwaga 5 2 3" xfId="42654"/>
    <cellStyle name="Uwaga 5 2 3 2" xfId="42655"/>
    <cellStyle name="Uwaga 5 2 3 3" xfId="42656"/>
    <cellStyle name="Uwaga 5 2 4" xfId="42657"/>
    <cellStyle name="Uwaga 5 2 4 2" xfId="42658"/>
    <cellStyle name="Uwaga 5 2 4 3" xfId="42659"/>
    <cellStyle name="Uwaga 5 2 5" xfId="42660"/>
    <cellStyle name="Uwaga 5 2 5 2" xfId="42661"/>
    <cellStyle name="Uwaga 5 2 5 3" xfId="42662"/>
    <cellStyle name="Uwaga 5 2 6" xfId="42663"/>
    <cellStyle name="Uwaga 5 2 6 2" xfId="42664"/>
    <cellStyle name="Uwaga 5 2 6 3" xfId="42665"/>
    <cellStyle name="Uwaga 5 2 7" xfId="42666"/>
    <cellStyle name="Uwaga 5 2 7 2" xfId="42667"/>
    <cellStyle name="Uwaga 5 2 7 3" xfId="42668"/>
    <cellStyle name="Uwaga 5 2 8" xfId="42669"/>
    <cellStyle name="Uwaga 5 2 8 2" xfId="42670"/>
    <cellStyle name="Uwaga 5 2 8 3" xfId="42671"/>
    <cellStyle name="Uwaga 5 2 9" xfId="42672"/>
    <cellStyle name="Uwaga 5 2 9 2" xfId="42673"/>
    <cellStyle name="Uwaga 5 2 9 3" xfId="42674"/>
    <cellStyle name="Uwaga 5 20" xfId="42675"/>
    <cellStyle name="Uwaga 5 20 2" xfId="42676"/>
    <cellStyle name="Uwaga 5 20 3" xfId="42677"/>
    <cellStyle name="Uwaga 5 21" xfId="42678"/>
    <cellStyle name="Uwaga 5 21 2" xfId="42679"/>
    <cellStyle name="Uwaga 5 21 3" xfId="42680"/>
    <cellStyle name="Uwaga 5 3" xfId="42681"/>
    <cellStyle name="Uwaga 5 3 2" xfId="42682"/>
    <cellStyle name="Uwaga 5 3 3" xfId="42683"/>
    <cellStyle name="Uwaga 5 4" xfId="42684"/>
    <cellStyle name="Uwaga 5 4 2" xfId="42685"/>
    <cellStyle name="Uwaga 5 4 2 2" xfId="42686"/>
    <cellStyle name="Uwaga 5 4 3" xfId="42687"/>
    <cellStyle name="Uwaga 5 5" xfId="42688"/>
    <cellStyle name="Uwaga 5 5 2" xfId="42689"/>
    <cellStyle name="Uwaga 5 5 3" xfId="42690"/>
    <cellStyle name="Uwaga 5 6" xfId="42691"/>
    <cellStyle name="Uwaga 5 6 2" xfId="42692"/>
    <cellStyle name="Uwaga 5 6 3" xfId="42693"/>
    <cellStyle name="Uwaga 5 7" xfId="42694"/>
    <cellStyle name="Uwaga 5 7 2" xfId="42695"/>
    <cellStyle name="Uwaga 5 7 3" xfId="42696"/>
    <cellStyle name="Uwaga 5 8" xfId="42697"/>
    <cellStyle name="Uwaga 5 8 2" xfId="42698"/>
    <cellStyle name="Uwaga 5 8 3" xfId="42699"/>
    <cellStyle name="Uwaga 5 9" xfId="42700"/>
    <cellStyle name="Uwaga 5 9 2" xfId="42701"/>
    <cellStyle name="Uwaga 5 9 3" xfId="42702"/>
    <cellStyle name="Uwaga 6" xfId="42703"/>
    <cellStyle name="Uwaga 6 10" xfId="42704"/>
    <cellStyle name="Uwaga 6 10 2" xfId="42705"/>
    <cellStyle name="Uwaga 6 10 3" xfId="42706"/>
    <cellStyle name="Uwaga 6 11" xfId="42707"/>
    <cellStyle name="Uwaga 6 11 2" xfId="42708"/>
    <cellStyle name="Uwaga 6 11 3" xfId="42709"/>
    <cellStyle name="Uwaga 6 12" xfId="42710"/>
    <cellStyle name="Uwaga 6 12 2" xfId="42711"/>
    <cellStyle name="Uwaga 6 12 3" xfId="42712"/>
    <cellStyle name="Uwaga 6 13" xfId="42713"/>
    <cellStyle name="Uwaga 6 13 2" xfId="42714"/>
    <cellStyle name="Uwaga 6 13 3" xfId="42715"/>
    <cellStyle name="Uwaga 6 14" xfId="42716"/>
    <cellStyle name="Uwaga 6 14 2" xfId="42717"/>
    <cellStyle name="Uwaga 6 14 3" xfId="42718"/>
    <cellStyle name="Uwaga 6 15" xfId="42719"/>
    <cellStyle name="Uwaga 6 15 2" xfId="42720"/>
    <cellStyle name="Uwaga 6 15 3" xfId="42721"/>
    <cellStyle name="Uwaga 6 16" xfId="42722"/>
    <cellStyle name="Uwaga 6 16 2" xfId="42723"/>
    <cellStyle name="Uwaga 6 16 3" xfId="42724"/>
    <cellStyle name="Uwaga 6 17" xfId="42725"/>
    <cellStyle name="Uwaga 6 17 2" xfId="42726"/>
    <cellStyle name="Uwaga 6 17 3" xfId="42727"/>
    <cellStyle name="Uwaga 6 18" xfId="42728"/>
    <cellStyle name="Uwaga 6 18 2" xfId="42729"/>
    <cellStyle name="Uwaga 6 18 3" xfId="42730"/>
    <cellStyle name="Uwaga 6 19" xfId="42731"/>
    <cellStyle name="Uwaga 6 19 2" xfId="42732"/>
    <cellStyle name="Uwaga 6 19 3" xfId="42733"/>
    <cellStyle name="Uwaga 6 2" xfId="42734"/>
    <cellStyle name="Uwaga 6 2 2" xfId="42735"/>
    <cellStyle name="Uwaga 6 2 3" xfId="42736"/>
    <cellStyle name="Uwaga 6 20" xfId="42737"/>
    <cellStyle name="Uwaga 6 20 2" xfId="42738"/>
    <cellStyle name="Uwaga 6 20 3" xfId="42739"/>
    <cellStyle name="Uwaga 6 3" xfId="42740"/>
    <cellStyle name="Uwaga 6 3 2" xfId="42741"/>
    <cellStyle name="Uwaga 6 3 2 2" xfId="42742"/>
    <cellStyle name="Uwaga 6 3 3" xfId="42743"/>
    <cellStyle name="Uwaga 6 4" xfId="42744"/>
    <cellStyle name="Uwaga 6 4 2" xfId="42745"/>
    <cellStyle name="Uwaga 6 4 3" xfId="42746"/>
    <cellStyle name="Uwaga 6 5" xfId="42747"/>
    <cellStyle name="Uwaga 6 5 2" xfId="42748"/>
    <cellStyle name="Uwaga 6 5 3" xfId="42749"/>
    <cellStyle name="Uwaga 6 6" xfId="42750"/>
    <cellStyle name="Uwaga 6 6 2" xfId="42751"/>
    <cellStyle name="Uwaga 6 6 3" xfId="42752"/>
    <cellStyle name="Uwaga 6 7" xfId="42753"/>
    <cellStyle name="Uwaga 6 7 2" xfId="42754"/>
    <cellStyle name="Uwaga 6 7 3" xfId="42755"/>
    <cellStyle name="Uwaga 6 8" xfId="42756"/>
    <cellStyle name="Uwaga 6 8 2" xfId="42757"/>
    <cellStyle name="Uwaga 6 8 3" xfId="42758"/>
    <cellStyle name="Uwaga 6 9" xfId="42759"/>
    <cellStyle name="Uwaga 6 9 2" xfId="42760"/>
    <cellStyle name="Uwaga 6 9 3" xfId="42761"/>
    <cellStyle name="Uwaga 7" xfId="42762"/>
    <cellStyle name="Uwaga 7 10" xfId="42763"/>
    <cellStyle name="Uwaga 7 10 2" xfId="42764"/>
    <cellStyle name="Uwaga 7 10 3" xfId="42765"/>
    <cellStyle name="Uwaga 7 11" xfId="42766"/>
    <cellStyle name="Uwaga 7 11 2" xfId="42767"/>
    <cellStyle name="Uwaga 7 11 3" xfId="42768"/>
    <cellStyle name="Uwaga 7 12" xfId="42769"/>
    <cellStyle name="Uwaga 7 12 2" xfId="42770"/>
    <cellStyle name="Uwaga 7 12 3" xfId="42771"/>
    <cellStyle name="Uwaga 7 13" xfId="42772"/>
    <cellStyle name="Uwaga 7 13 2" xfId="42773"/>
    <cellStyle name="Uwaga 7 13 3" xfId="42774"/>
    <cellStyle name="Uwaga 7 14" xfId="42775"/>
    <cellStyle name="Uwaga 7 14 2" xfId="42776"/>
    <cellStyle name="Uwaga 7 14 3" xfId="42777"/>
    <cellStyle name="Uwaga 7 15" xfId="42778"/>
    <cellStyle name="Uwaga 7 15 2" xfId="42779"/>
    <cellStyle name="Uwaga 7 15 3" xfId="42780"/>
    <cellStyle name="Uwaga 7 16" xfId="42781"/>
    <cellStyle name="Uwaga 7 16 2" xfId="42782"/>
    <cellStyle name="Uwaga 7 16 3" xfId="42783"/>
    <cellStyle name="Uwaga 7 17" xfId="42784"/>
    <cellStyle name="Uwaga 7 17 2" xfId="42785"/>
    <cellStyle name="Uwaga 7 17 3" xfId="42786"/>
    <cellStyle name="Uwaga 7 18" xfId="42787"/>
    <cellStyle name="Uwaga 7 18 2" xfId="42788"/>
    <cellStyle name="Uwaga 7 18 3" xfId="42789"/>
    <cellStyle name="Uwaga 7 19" xfId="42790"/>
    <cellStyle name="Uwaga 7 19 2" xfId="42791"/>
    <cellStyle name="Uwaga 7 19 3" xfId="42792"/>
    <cellStyle name="Uwaga 7 2" xfId="42793"/>
    <cellStyle name="Uwaga 7 2 2" xfId="42794"/>
    <cellStyle name="Uwaga 7 2 3" xfId="42795"/>
    <cellStyle name="Uwaga 7 20" xfId="42796"/>
    <cellStyle name="Uwaga 7 20 2" xfId="42797"/>
    <cellStyle name="Uwaga 7 20 3" xfId="42798"/>
    <cellStyle name="Uwaga 7 3" xfId="42799"/>
    <cellStyle name="Uwaga 7 3 2" xfId="42800"/>
    <cellStyle name="Uwaga 7 3 2 2" xfId="42801"/>
    <cellStyle name="Uwaga 7 3 3" xfId="42802"/>
    <cellStyle name="Uwaga 7 4" xfId="42803"/>
    <cellStyle name="Uwaga 7 4 2" xfId="42804"/>
    <cellStyle name="Uwaga 7 4 3" xfId="42805"/>
    <cellStyle name="Uwaga 7 5" xfId="42806"/>
    <cellStyle name="Uwaga 7 5 2" xfId="42807"/>
    <cellStyle name="Uwaga 7 5 3" xfId="42808"/>
    <cellStyle name="Uwaga 7 6" xfId="42809"/>
    <cellStyle name="Uwaga 7 6 2" xfId="42810"/>
    <cellStyle name="Uwaga 7 6 3" xfId="42811"/>
    <cellStyle name="Uwaga 7 7" xfId="42812"/>
    <cellStyle name="Uwaga 7 7 2" xfId="42813"/>
    <cellStyle name="Uwaga 7 7 3" xfId="42814"/>
    <cellStyle name="Uwaga 7 8" xfId="42815"/>
    <cellStyle name="Uwaga 7 8 2" xfId="42816"/>
    <cellStyle name="Uwaga 7 8 3" xfId="42817"/>
    <cellStyle name="Uwaga 7 9" xfId="42818"/>
    <cellStyle name="Uwaga 7 9 2" xfId="42819"/>
    <cellStyle name="Uwaga 7 9 3" xfId="42820"/>
    <cellStyle name="Uwaga 8" xfId="42821"/>
    <cellStyle name="Uwaga 8 10" xfId="42822"/>
    <cellStyle name="Uwaga 8 10 2" xfId="42823"/>
    <cellStyle name="Uwaga 8 10 3" xfId="42824"/>
    <cellStyle name="Uwaga 8 11" xfId="42825"/>
    <cellStyle name="Uwaga 8 11 2" xfId="42826"/>
    <cellStyle name="Uwaga 8 11 3" xfId="42827"/>
    <cellStyle name="Uwaga 8 12" xfId="42828"/>
    <cellStyle name="Uwaga 8 12 2" xfId="42829"/>
    <cellStyle name="Uwaga 8 12 3" xfId="42830"/>
    <cellStyle name="Uwaga 8 13" xfId="42831"/>
    <cellStyle name="Uwaga 8 13 2" xfId="42832"/>
    <cellStyle name="Uwaga 8 13 3" xfId="42833"/>
    <cellStyle name="Uwaga 8 14" xfId="42834"/>
    <cellStyle name="Uwaga 8 14 2" xfId="42835"/>
    <cellStyle name="Uwaga 8 14 3" xfId="42836"/>
    <cellStyle name="Uwaga 8 15" xfId="42837"/>
    <cellStyle name="Uwaga 8 15 2" xfId="42838"/>
    <cellStyle name="Uwaga 8 15 3" xfId="42839"/>
    <cellStyle name="Uwaga 8 16" xfId="42840"/>
    <cellStyle name="Uwaga 8 16 2" xfId="42841"/>
    <cellStyle name="Uwaga 8 16 3" xfId="42842"/>
    <cellStyle name="Uwaga 8 17" xfId="42843"/>
    <cellStyle name="Uwaga 8 17 2" xfId="42844"/>
    <cellStyle name="Uwaga 8 17 3" xfId="42845"/>
    <cellStyle name="Uwaga 8 18" xfId="42846"/>
    <cellStyle name="Uwaga 8 18 2" xfId="42847"/>
    <cellStyle name="Uwaga 8 18 3" xfId="42848"/>
    <cellStyle name="Uwaga 8 19" xfId="42849"/>
    <cellStyle name="Uwaga 8 19 2" xfId="42850"/>
    <cellStyle name="Uwaga 8 19 3" xfId="42851"/>
    <cellStyle name="Uwaga 8 2" xfId="42852"/>
    <cellStyle name="Uwaga 8 2 2" xfId="42853"/>
    <cellStyle name="Uwaga 8 2 3" xfId="42854"/>
    <cellStyle name="Uwaga 8 20" xfId="42855"/>
    <cellStyle name="Uwaga 8 20 2" xfId="42856"/>
    <cellStyle name="Uwaga 8 20 3" xfId="42857"/>
    <cellStyle name="Uwaga 8 3" xfId="42858"/>
    <cellStyle name="Uwaga 8 3 2" xfId="42859"/>
    <cellStyle name="Uwaga 8 3 2 2" xfId="42860"/>
    <cellStyle name="Uwaga 8 3 3" xfId="42861"/>
    <cellStyle name="Uwaga 8 4" xfId="42862"/>
    <cellStyle name="Uwaga 8 4 2" xfId="42863"/>
    <cellStyle name="Uwaga 8 4 3" xfId="42864"/>
    <cellStyle name="Uwaga 8 5" xfId="42865"/>
    <cellStyle name="Uwaga 8 5 2" xfId="42866"/>
    <cellStyle name="Uwaga 8 5 3" xfId="42867"/>
    <cellStyle name="Uwaga 8 6" xfId="42868"/>
    <cellStyle name="Uwaga 8 6 2" xfId="42869"/>
    <cellStyle name="Uwaga 8 6 3" xfId="42870"/>
    <cellStyle name="Uwaga 8 7" xfId="42871"/>
    <cellStyle name="Uwaga 8 7 2" xfId="42872"/>
    <cellStyle name="Uwaga 8 7 3" xfId="42873"/>
    <cellStyle name="Uwaga 8 8" xfId="42874"/>
    <cellStyle name="Uwaga 8 8 2" xfId="42875"/>
    <cellStyle name="Uwaga 8 8 3" xfId="42876"/>
    <cellStyle name="Uwaga 8 9" xfId="42877"/>
    <cellStyle name="Uwaga 8 9 2" xfId="42878"/>
    <cellStyle name="Uwaga 8 9 3" xfId="42879"/>
    <cellStyle name="Uwaga 9" xfId="42880"/>
    <cellStyle name="Uwaga 9 2" xfId="42881"/>
    <cellStyle name="Uwaga 9 3" xfId="42882"/>
    <cellStyle name="Valuta - Style2" xfId="42883"/>
    <cellStyle name="Valuta (0)" xfId="42884"/>
    <cellStyle name="Valuta (0) 2" xfId="42885"/>
    <cellStyle name="Valuta (0) 2 2" xfId="42886"/>
    <cellStyle name="Valuta (0) 3" xfId="42887"/>
    <cellStyle name="Valuta (0) 4" xfId="42888"/>
    <cellStyle name="Valuta (0) 5" xfId="42889"/>
    <cellStyle name="Valuta (0) 6" xfId="42890"/>
    <cellStyle name="Valuta (0)_Kluczowe wielkości oper" xfId="42891"/>
    <cellStyle name="Valuta_Bok2 Diagram 1" xfId="42892"/>
    <cellStyle name="Valuutta_Naapuriyhtiöt" xfId="42893"/>
    <cellStyle name="Währung [0]_EntwImpIEA" xfId="42894"/>
    <cellStyle name="Währung_EntwImpIEA" xfId="42895"/>
    <cellStyle name="Walutowy" xfId="42997" builtinId="4"/>
    <cellStyle name="Walutowy 2" xfId="42896"/>
    <cellStyle name="Walutowy 2 2" xfId="42897"/>
    <cellStyle name="Walutowy 2 2 2" xfId="42898"/>
    <cellStyle name="Walutowy 2 3" xfId="42899"/>
    <cellStyle name="Walutowy 2 3 2" xfId="42900"/>
    <cellStyle name="Walutowy 2 4" xfId="42901"/>
    <cellStyle name="Walutowy 2 5" xfId="42902"/>
    <cellStyle name="Walutowy 3" xfId="42903"/>
    <cellStyle name="Walutowy 3 2" xfId="42904"/>
    <cellStyle name="Walutowy 3 2 2" xfId="42905"/>
    <cellStyle name="Walutowy 3 3" xfId="42906"/>
    <cellStyle name="Walutowy 3 4" xfId="42907"/>
    <cellStyle name="Walutowy 4" xfId="42908"/>
    <cellStyle name="Walutowy 4 2" xfId="42909"/>
    <cellStyle name="Walutowy 4 2 2" xfId="42910"/>
    <cellStyle name="Walutowy 4 3" xfId="42911"/>
    <cellStyle name="Walutowy 4 4" xfId="42912"/>
    <cellStyle name="Walutowy 5" xfId="42913"/>
    <cellStyle name="Walutowy 5 2" xfId="42914"/>
    <cellStyle name="Walutowy 5 2 2" xfId="42915"/>
    <cellStyle name="Walutowy 5 3" xfId="42916"/>
    <cellStyle name="Walutowy 5 4" xfId="42917"/>
    <cellStyle name="Walutowy 6" xfId="42918"/>
    <cellStyle name="Walutowy 6 2" xfId="42919"/>
    <cellStyle name="Walutowy 6 2 2" xfId="42920"/>
    <cellStyle name="Walutowy 6 2 2 2" xfId="42921"/>
    <cellStyle name="Walutowy 6 2 3" xfId="42922"/>
    <cellStyle name="Walutowy 6 3" xfId="42923"/>
    <cellStyle name="Walutowy 6 3 2" xfId="42924"/>
    <cellStyle name="Walutowy 6 4" xfId="42925"/>
    <cellStyle name="Walutowy 6 5" xfId="42926"/>
    <cellStyle name="Walutowy 7" xfId="42927"/>
    <cellStyle name="Walutowy 7 2" xfId="42928"/>
    <cellStyle name="Walutowy 7 2 2" xfId="42929"/>
    <cellStyle name="Walutowy 7 3" xfId="42930"/>
    <cellStyle name="Walutowy 7 4" xfId="42931"/>
    <cellStyle name="Walutowy 8" xfId="42932"/>
    <cellStyle name="Walutowy 9" xfId="42933"/>
    <cellStyle name="Waluty [0]" xfId="42934"/>
    <cellStyle name="Waluty [0] 2" xfId="42935"/>
    <cellStyle name="Waluty [0] 3" xfId="42936"/>
    <cellStyle name="Warning Text" xfId="42937"/>
    <cellStyle name="Warning Text 2" xfId="42938"/>
    <cellStyle name="Warning Text 3" xfId="42939"/>
    <cellStyle name="Wartość tabeli przestawnej" xfId="42988"/>
    <cellStyle name="weekly" xfId="42940"/>
    <cellStyle name="WP" xfId="42941"/>
    <cellStyle name="Wynik tabeli przestawnej" xfId="42989"/>
    <cellStyle name="x Men" xfId="42942"/>
    <cellStyle name="Year" xfId="42943"/>
    <cellStyle name="Złe 10" xfId="42944"/>
    <cellStyle name="Złe 2" xfId="42945"/>
    <cellStyle name="Złe 2 2" xfId="42946"/>
    <cellStyle name="Złe 2 2 2" xfId="42947"/>
    <cellStyle name="Złe 2 3" xfId="42948"/>
    <cellStyle name="Złe 2 4" xfId="42949"/>
    <cellStyle name="Złe 2 5" xfId="42950"/>
    <cellStyle name="Złe 2 6" xfId="42951"/>
    <cellStyle name="Złe 2 7" xfId="42952"/>
    <cellStyle name="Złe 2 8" xfId="42953"/>
    <cellStyle name="Złe 2 9" xfId="42954"/>
    <cellStyle name="Złe 2 9 2" xfId="42955"/>
    <cellStyle name="Złe 3" xfId="42956"/>
    <cellStyle name="Złe 4" xfId="42957"/>
    <cellStyle name="Złe 4 2" xfId="42958"/>
    <cellStyle name="Złe 4 3" xfId="42959"/>
    <cellStyle name="Złe 5" xfId="42960"/>
    <cellStyle name="Złe 5 2" xfId="42961"/>
    <cellStyle name="Złe 5 3" xfId="42962"/>
    <cellStyle name="Złe 6" xfId="42963"/>
    <cellStyle name="Złe 7" xfId="42964"/>
    <cellStyle name="Złe 8" xfId="42965"/>
    <cellStyle name="Złe 8 2" xfId="42966"/>
    <cellStyle name="Złe 9" xfId="42967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FFCC"/>
      <color rgb="FFC7C7C7"/>
      <color rgb="FF00FFFF"/>
      <color rgb="FF1A7466"/>
      <color rgb="FF0066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66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61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ling/OEE/ARE/Publikacje%202007/Sytuacja%20finansowa/R3_SF_2006_war_sk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a001\controlling\Rachunek\Plany_baza\2008\071231_II%20runda_planistyczna\U_wsparcia\FAKTURY\KOREKTA_wystawion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R\AM\Raport\2008\Raport%20tygodniowy\robocze\Rynek%20Polski%20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.0.201\Documents%20and%20Settings\eemarekz.003\Pulpit\Arkusze%20danych\Wska&#378;niki%20techniczno%20-%20ekonomiczne\2008\Moje%20dokumenty\Plany%20inwest%20i%20remonto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-P-KOLODZIEJ\aws\DATA\Clients\PKP\AKTYWA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achunek/Raport_baza/2012/Wykonanie_jednostkowe/Business%20Review/2012%20Raport_PGE_Kluczowe_Wielko&#347;ci.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e10122/Pulpit/RAPORTY_2010/III_2010/Doradcze_2010/100408_KONSOLIDACJA_Wykonanie_I-III_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a&#380;ne%20pliki\SZKODL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a&#380;ne%20pliki\moje\SZKODL9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ling/GK/Raporty/2008/07-2008/SOH/raport_SOH_PSE-Electra_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OPI%202011%2029.05.2011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e10341/Ustawienia%20lokalne/Temporary%20Internet%20Files/Content.Outlook/68PFE0FX/dodatkowe%20zak&#322;adki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014173\jazdrive-d\Fiat\nowe%20PBC\PROJEKTY\PKN\PKN%20prywatyzacja\Polowa%20roku\21%20WRZESNIA\SAR0699-3wrzesnia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a001\controlling\Budzet\Arkusze%20uzgodnie&#324;\REJESTR_ARKUSZY_20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\Dokumenty\OEE\ARE\Publikacje%202007\Sytuacja%20finansowa\R3_SF_2006_war_skr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Budzet/RAPORTY/RAPORTY_2008/US&#321;UGI_DORADCZE_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ce0243/USTAWI~1/Temp/Rar$DI00.933/ET+BV%2031.12.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\dc\2006\ANALIZA_ODCHYLE&#323;\Rozliczenie%20utylizacji_20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ling/PGE/Pozosta&#322;a%20operacyjna%20i%20finansowa/PIKF_08'201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-P-KOLODZIEJ\aws\Documents%20and%20Settings\debniakk\My%20Documents\Projekty\ATC\Final\548-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fitip1\users\WIN98K\TEMP\C.Lotus.Notes.Data\zzdokkon\SA_RS_2001%20ostateczn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014173\jazdrive-d\Fiat\3_final_2000\Yellow%20papers\Single\F4F5\C\C-Varianc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a001\controlling\Rachunek\Plany_baza\2011\Plan%20finansowy_2011\I%20runda\Prognoza%202010\Wy&#322;&#261;czenia_IVQ_PGESA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Pulpit\PI-98%20-%2010%20m-c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a001\Controlling\GK\Konsolidacja\2011\pakiet\Zmiana%201Q2011\BAZA%20Pakiet%20MSSF%20za%202011_D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\dc\2007\ANALIZY\ANALIZA_ODCHYLE&#323;\Analizy%20do%20emisji_BPlan_07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ok%202009\PDI%202009\PDI%20na%202009\2.1%20BAZA-za&#322;&#261;cznik%20nr%203.1%20na%20dz.%2001-12-20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ling/Dane/Ewa/Ewa_200799/EXCEL/DOCMAR/Ewka%202001/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kunap6\Zasoby_FF\Users\07arap\Documents\1.%20Sprawozdania\Sprawozdanie%20SAP\12-2021\1.%20Sprawozdanie%2012-2021%20(02.02.202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\dc\2006\ANALIZA_ODCHYLE&#323;\Analizy_2005_0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m\dc\2006\ANALIZA_ODCHYLE&#323;\Analizy_2005_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-P-KOLODZIEJ\aws\Documents%20and%20Settings\debniakk\My%20Documents\Projekty\ATC\Final\ATC%20Working%20paper%20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GROUPS\G10-5\WER02\G105DIS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K/Plany/Plany%20sp&#243;&#322;ek%202009/KONSOLIDACJA%20PF2009/konsolidacja%20II%20runda/GWW%20BOT%20KWB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iki\AC-dokumenty\Sprawozdania\PGE\P&#322;ynno&#347;&#263;%20finansowa%20-%20formularz%20-%20stycze&#324;%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_06"/>
      <sheetName val="302_06"/>
      <sheetName val="303_06"/>
      <sheetName val="304_06"/>
      <sheetName val="305_06"/>
      <sheetName val="306_06"/>
      <sheetName val="307_06"/>
      <sheetName val="308_06"/>
      <sheetName val="309_06"/>
      <sheetName val="310_06"/>
      <sheetName val="311_06"/>
      <sheetName val="312_06"/>
      <sheetName val="313_05"/>
      <sheetName val="314_06"/>
      <sheetName val="315_06"/>
      <sheetName val="316_06"/>
      <sheetName val="317_06"/>
      <sheetName val="318_06"/>
      <sheetName val="319_06"/>
      <sheetName val="320_06"/>
      <sheetName val="321_06"/>
      <sheetName val="322_06"/>
      <sheetName val="323_06"/>
      <sheetName val="324_06"/>
      <sheetName val="325_06"/>
      <sheetName val="326_06"/>
      <sheetName val="327_06"/>
      <sheetName val="328_06_czI"/>
      <sheetName val="328_06_czII"/>
      <sheetName val="329_06"/>
      <sheetName val="330_06"/>
      <sheetName val="331_06"/>
      <sheetName val="332_06"/>
      <sheetName val="333_06"/>
      <sheetName val="334_06"/>
      <sheetName val="335_06"/>
      <sheetName val="336_06"/>
      <sheetName val="337_06"/>
      <sheetName val="338_06"/>
      <sheetName val="339_06"/>
      <sheetName val="zbitka"/>
      <sheetName val="idx"/>
      <sheetName val="Słownik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"/>
      <sheetName val="02"/>
      <sheetName val="03"/>
      <sheetName val="KOREKTA"/>
      <sheetName val="DH"/>
      <sheetName val="Bazy"/>
      <sheetName val="KONS"/>
      <sheetName val="lis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>LUBZEL_D</v>
          </cell>
          <cell r="B3" t="str">
            <v>LUBZEL - Dystrybucja sp. z o.o.</v>
          </cell>
          <cell r="C3" t="str">
            <v>LUBZEL DYSTRYBUCJA Sp. z o.o.
GARBARSKA 21 A
PL 20-340 LUBLIN</v>
          </cell>
          <cell r="D3">
            <v>1114123</v>
          </cell>
          <cell r="E3" t="str">
            <v>OSD</v>
          </cell>
        </row>
        <row r="4">
          <cell r="A4" t="str">
            <v>ŁZE_D</v>
          </cell>
          <cell r="B4" t="str">
            <v>ŁZE - Dystrybucja sp. z o.o.</v>
          </cell>
          <cell r="C4" t="str">
            <v>ŁZE DYSTRYBUCJA Spółka
TUWIMA 58
PL 90-021 ŁÓDŹ</v>
          </cell>
          <cell r="D4">
            <v>1114124</v>
          </cell>
          <cell r="E4" t="str">
            <v>OSD</v>
          </cell>
        </row>
        <row r="5">
          <cell r="A5" t="str">
            <v>RZE_D</v>
          </cell>
          <cell r="B5" t="str">
            <v>RZE- Dystrybucja sp. z o.o.</v>
          </cell>
          <cell r="C5" t="str">
            <v>RZE DYSTRYBUCJA Sp. z o.o.
8-go MARCA 6
PL 35-959 RZESZÓW</v>
          </cell>
          <cell r="D5">
            <v>1114126</v>
          </cell>
          <cell r="E5" t="str">
            <v>OSD</v>
          </cell>
        </row>
        <row r="6">
          <cell r="A6" t="str">
            <v>ZEB_D</v>
          </cell>
          <cell r="B6" t="str">
            <v>ZEB - Dystrybucja sp. z o.o.</v>
          </cell>
          <cell r="C6" t="str">
            <v>ZEB DYSTRYBUCJA Sp. z o.o.
ELEKTRYCZNA 13
PL 15-950 BIAŁYSTOK</v>
          </cell>
          <cell r="D6">
            <v>1114122</v>
          </cell>
          <cell r="E6" t="str">
            <v>OSD</v>
          </cell>
        </row>
        <row r="7">
          <cell r="A7" t="str">
            <v>ZEŁ-T_D</v>
          </cell>
          <cell r="B7" t="str">
            <v>Zakład Energetyczny Łódź Teren S.A.</v>
          </cell>
          <cell r="C7" t="str">
            <v>Zakład Energetyczny Łódź-Teren S.A.
Piotrkowska 58 PL-90-105 ŁÓDŹ</v>
          </cell>
          <cell r="D7">
            <v>1600040</v>
          </cell>
          <cell r="E7" t="str">
            <v>OSD</v>
          </cell>
        </row>
        <row r="8">
          <cell r="A8" t="str">
            <v>ZEW-T_D</v>
          </cell>
          <cell r="B8" t="str">
            <v>ZEWT- Dystrybucja sp. z o.o.</v>
          </cell>
          <cell r="C8" t="str">
            <v>ZEW-T DYSTRYBUCJA Sp. z o.o.
MARSA 95
PL 04-470 Warszawa</v>
          </cell>
          <cell r="D8">
            <v>1114120</v>
          </cell>
          <cell r="E8" t="str">
            <v>OSD</v>
          </cell>
        </row>
        <row r="9">
          <cell r="A9" t="str">
            <v>ZEORK_D</v>
          </cell>
          <cell r="B9" t="str">
            <v>ZEORK - Dystrybucja sp. z o.o.</v>
          </cell>
          <cell r="C9" t="str">
            <v>ZEORK DYSTRYBUCJA Sp. z o.o.
Al.Marszałka Józefa Piłsudskiego 51
PL 26-110 Skarżysko Kamienna</v>
          </cell>
          <cell r="D9">
            <v>1114121</v>
          </cell>
          <cell r="E9" t="str">
            <v>OSD</v>
          </cell>
        </row>
        <row r="10">
          <cell r="A10" t="str">
            <v>ZKE_D</v>
          </cell>
          <cell r="B10" t="str">
            <v>ZKE - Dystrybucja sp. z o.o.</v>
          </cell>
          <cell r="C10" t="str">
            <v>ZKE DYSTRYBUCJA Spółka
Koźmiana 1
PL 22-400 ZAMOŚĆ</v>
          </cell>
          <cell r="D10">
            <v>1114119</v>
          </cell>
          <cell r="E10" t="str">
            <v>OSD</v>
          </cell>
        </row>
        <row r="11">
          <cell r="A11" t="str">
            <v>S.O.K</v>
          </cell>
          <cell r="B11" t="str">
            <v>SOK</v>
          </cell>
          <cell r="C11" t="str">
            <v>SOK S.A.
MYSIA 2
PL-00-496 WARSZAWA</v>
          </cell>
          <cell r="D11">
            <v>1200023</v>
          </cell>
        </row>
        <row r="12">
          <cell r="A12" t="str">
            <v>PGE
ENERGIA</v>
          </cell>
          <cell r="B12" t="str">
            <v>PGE Energia</v>
          </cell>
          <cell r="C12" t="str">
            <v>PGE ENERGIA S.A.
Garbarska 21A
PL-22-340 LUBLIN</v>
          </cell>
          <cell r="D12">
            <v>1200449</v>
          </cell>
        </row>
        <row r="13">
          <cell r="A13" t="str">
            <v>LUBZEL</v>
          </cell>
          <cell r="B13" t="str">
            <v>Lubelskie Zakłady Energetyczne S.A.</v>
          </cell>
          <cell r="C13" t="str">
            <v>LUBELSKIE ZAKŁADY ENERGETYCZNE
SPÓŁKA AKCYJNA
GARBARSKA 21
PL-20-340 LUBLIN</v>
          </cell>
          <cell r="D13">
            <v>1600038</v>
          </cell>
          <cell r="E13" t="str">
            <v>SSD</v>
          </cell>
        </row>
        <row r="14">
          <cell r="A14" t="str">
            <v>ŁZE</v>
          </cell>
          <cell r="B14" t="str">
            <v>Łódzki Zakład Energetyczny S.A.</v>
          </cell>
          <cell r="C14" t="str">
            <v>Łódzki Zakład Energetyczny S.A.
Tuwima 58
PL  90-021 Łódź</v>
          </cell>
          <cell r="D14">
            <v>1600039</v>
          </cell>
          <cell r="E14" t="str">
            <v>SSD</v>
          </cell>
        </row>
        <row r="15">
          <cell r="A15" t="str">
            <v>RZE</v>
          </cell>
          <cell r="B15" t="str">
            <v>Rzeszowski Zakład Energetyczny S.A.</v>
          </cell>
          <cell r="C15" t="str">
            <v>Rzeszowski Zakład Energetyczny S.A.
8-go Marca 6
PL-35-959 RZESZÓW</v>
          </cell>
          <cell r="D15">
            <v>1600044</v>
          </cell>
          <cell r="E15" t="str">
            <v>SSD</v>
          </cell>
        </row>
        <row r="16">
          <cell r="A16" t="str">
            <v>ZEB</v>
          </cell>
          <cell r="B16" t="str">
            <v>Zakład Energetyczny Białystok S.A.</v>
          </cell>
          <cell r="C16" t="str">
            <v>Zakład  Energetyczny  Białystok S.A.
Świętojańska 12
PL-15-082 BIAŁYSTOK</v>
          </cell>
          <cell r="D16">
            <v>1600026</v>
          </cell>
          <cell r="E16" t="str">
            <v>SSD</v>
          </cell>
        </row>
        <row r="17">
          <cell r="A17" t="str">
            <v>ZEŁ-T</v>
          </cell>
          <cell r="B17" t="str">
            <v>ZEŁT - Obrót sp. z o.o.</v>
          </cell>
          <cell r="C17" t="str">
            <v>Zakład Energetyczny
Łódź-Teren Obrót Sp. z o.o.
MYSIA 2
PL-00-496 WARSZAWA</v>
          </cell>
          <cell r="D17">
            <v>1114125</v>
          </cell>
          <cell r="E17" t="str">
            <v>SSD</v>
          </cell>
        </row>
        <row r="18">
          <cell r="A18" t="str">
            <v>ZEW-T</v>
          </cell>
          <cell r="B18" t="str">
            <v>Zakład Energetyczny Warszawa Teren S.A.</v>
          </cell>
          <cell r="C18" t="str">
            <v>Zakład Energetyczny
Warszawa-Teren S.A.
Marsa 95
PL-04-470 WARSZAWA</v>
          </cell>
          <cell r="D18">
            <v>1600051</v>
          </cell>
          <cell r="E18" t="str">
            <v>SSD</v>
          </cell>
        </row>
        <row r="19">
          <cell r="A19" t="str">
            <v>ZEORK</v>
          </cell>
          <cell r="B19" t="str">
            <v>Zakłady Energetyczne Okręgu Radomsko - Kieleckiego S.A.</v>
          </cell>
          <cell r="C19" t="str">
            <v>Zakłady Energetyczne
Okręgu Radomsko-Kieleckiego S.A.
Al. Marszałka J. Piłsudskiego 51</v>
          </cell>
          <cell r="D19">
            <v>1600045</v>
          </cell>
          <cell r="E19" t="str">
            <v>SSD</v>
          </cell>
        </row>
        <row r="20">
          <cell r="A20" t="str">
            <v>ZKE</v>
          </cell>
          <cell r="B20" t="str">
            <v>Zamojska Korporacja Energetyczna S.A.</v>
          </cell>
          <cell r="C20" t="str">
            <v>Zamojska Korporacja Energetyczna
Spółka Akcyjna
Koźmiana 1
PL-22-400 ZAMOŚĆ</v>
          </cell>
          <cell r="D20">
            <v>1600053</v>
          </cell>
          <cell r="E20" t="str">
            <v>SSD</v>
          </cell>
        </row>
        <row r="21">
          <cell r="A21" t="str">
            <v>ELECTRA</v>
          </cell>
          <cell r="B21" t="str">
            <v>PSE Electra S.A.</v>
          </cell>
          <cell r="C21" t="str">
            <v>PSE-ELECTRA S.A.
Mysia 2
PL-00-496 WARSZAWA</v>
          </cell>
          <cell r="D21">
            <v>1200016</v>
          </cell>
          <cell r="E21" t="str">
            <v>SOH</v>
          </cell>
        </row>
        <row r="22">
          <cell r="A22" t="str">
            <v>BOT GiE</v>
          </cell>
          <cell r="B22" t="str">
            <v>BOT Górnictwo i Energetyka S.A.</v>
          </cell>
          <cell r="C22" t="str">
            <v>BOT - GÓRNICTWO I ENERGETYKA
SPÓŁKA AKCYJNA
Al. Piłsudskiego 12
PL-90-051 ŁÓDŹ</v>
          </cell>
          <cell r="D22">
            <v>1600408</v>
          </cell>
          <cell r="E22" t="str">
            <v>GWW</v>
          </cell>
        </row>
        <row r="23">
          <cell r="A23" t="str">
            <v>BOT ELB</v>
          </cell>
          <cell r="B23" t="str">
            <v>BOT Elektrownia Bełchatów S.A.</v>
          </cell>
          <cell r="C23" t="str">
            <v>BOT Elektrownia Bełchatów S.A.
ROGOWIEC  ul. Energetyczna 7
PL-97-406 BEŁCHATÓW 5</v>
          </cell>
          <cell r="D23">
            <v>1600201</v>
          </cell>
          <cell r="E23" t="str">
            <v>GWW</v>
          </cell>
        </row>
        <row r="24">
          <cell r="A24" t="str">
            <v>BOT ELO</v>
          </cell>
          <cell r="B24" t="str">
            <v>BOT Elektrownia Opole S.A.</v>
          </cell>
          <cell r="C24" t="str">
            <v xml:space="preserve"> BOT Elektrownia Opole
 Spółka Akcyjna
PL-46-021 BRZEZIE K/OPOLA</v>
          </cell>
          <cell r="D24">
            <v>1600013</v>
          </cell>
          <cell r="E24" t="str">
            <v>GWW</v>
          </cell>
        </row>
        <row r="25">
          <cell r="A25" t="str">
            <v>BOT ELT</v>
          </cell>
          <cell r="B25" t="str">
            <v>BOT Elektrownia Turów S.A.</v>
          </cell>
          <cell r="C25" t="str">
            <v>BOT ELEKTROWNIA TURÓW
SPÓŁKA AKCYJNA
Młodych Energetyków 12
PL-59-916 BOGATYNIA</v>
          </cell>
          <cell r="D25">
            <v>1600061</v>
          </cell>
          <cell r="E25" t="str">
            <v>GWW</v>
          </cell>
        </row>
        <row r="26">
          <cell r="A26" t="str">
            <v>BOT KWBB</v>
          </cell>
          <cell r="B26" t="str">
            <v>BOT KWB Bełchatów S.A.</v>
          </cell>
          <cell r="C26" t="str">
            <v>BOT KWB Bełchatów S.A.
w Rogowcu
ŚW. BARBARY 3
PL-97-400 BEŁCHATÓW, SKRZYNKA POCZTOWA 100</v>
          </cell>
          <cell r="D26">
            <v>1600458</v>
          </cell>
          <cell r="E26" t="str">
            <v>GWW</v>
          </cell>
        </row>
        <row r="27">
          <cell r="A27" t="str">
            <v>BOT KWBT</v>
          </cell>
          <cell r="B27" t="str">
            <v>BOT KWB Turów S.A.</v>
          </cell>
          <cell r="C27" t="str">
            <v>BOT KWB TURÓW SA
Bogatynia 3
PL-59-916 BOGATYNIA 3</v>
          </cell>
          <cell r="D27">
            <v>1104997</v>
          </cell>
          <cell r="E27" t="str">
            <v>GWW</v>
          </cell>
        </row>
        <row r="28">
          <cell r="A28" t="str">
            <v>ZEDO</v>
          </cell>
          <cell r="B28" t="str">
            <v>Zespół Elektrowni Dolna Odra S.A.</v>
          </cell>
          <cell r="C28" t="str">
            <v>Zespół Elektrowni Dolna Odra S.A.
Nowe Czarnowo 76
PL-74-105 NOWE CZARNOWO</v>
          </cell>
          <cell r="D28">
            <v>1600011</v>
          </cell>
          <cell r="E28" t="str">
            <v>GWW</v>
          </cell>
        </row>
        <row r="29">
          <cell r="A29" t="str">
            <v>EC Gorzów</v>
          </cell>
          <cell r="B29" t="str">
            <v>EC Gorzów S.A.</v>
          </cell>
          <cell r="C29" t="str">
            <v>Elektrociepłownia Gorzów Spółka Akcyjna
Energetyków 6
PL-66-400 GORZÓW WIELKOPOLSKI</v>
          </cell>
          <cell r="D29">
            <v>1600055</v>
          </cell>
          <cell r="E29" t="str">
            <v>GWW</v>
          </cell>
        </row>
        <row r="30">
          <cell r="A30" t="str">
            <v>EC Kielce</v>
          </cell>
          <cell r="B30" t="str">
            <v>EC Kielce S.A.</v>
          </cell>
          <cell r="C30" t="str">
            <v xml:space="preserve">Elektrociepłownia Kielce S. A.
Hubalczyków 30
PL  25-668 Kielce                                                                         </v>
          </cell>
          <cell r="D30">
            <v>1200459</v>
          </cell>
          <cell r="E30" t="str">
            <v>GWW</v>
          </cell>
        </row>
        <row r="31">
          <cell r="A31" t="str">
            <v>EC Lublin</v>
          </cell>
          <cell r="B31" t="str">
            <v>EC Lublin - Wrotków sp. z o.o.</v>
          </cell>
          <cell r="C31" t="str">
            <v>Elektrociepłownia
Lublin-Wrotków Sp. z o.o.
Inżynierska 4
PL-20-484 LUBLIN</v>
          </cell>
          <cell r="D31">
            <v>1600059</v>
          </cell>
          <cell r="E31" t="str">
            <v>GWW</v>
          </cell>
        </row>
        <row r="32">
          <cell r="A32" t="str">
            <v>EC Rzeszów</v>
          </cell>
          <cell r="B32" t="str">
            <v>EC Rzeszów S.A.</v>
          </cell>
          <cell r="C32" t="str">
            <v>Elektrociepłownia Rzeszów SA
Ciepłownicza 8
PL-35-959 RZESZÓW</v>
          </cell>
          <cell r="D32">
            <v>1103528</v>
          </cell>
          <cell r="E32" t="str">
            <v>GWW</v>
          </cell>
        </row>
        <row r="33">
          <cell r="A33" t="str">
            <v>ZEC Bydgoszcz</v>
          </cell>
          <cell r="B33" t="str">
            <v>ZEC Bydgoszcz S.A.</v>
          </cell>
          <cell r="C33" t="str">
            <v>ZESPÓŁ ELEKTROCIEPŁOWNI
BYDGOSZCZ S.A.
ENERGETYCZNA 1
PL-85-950 BYDGOSZCZ</v>
          </cell>
          <cell r="D33">
            <v>1690210</v>
          </cell>
          <cell r="E33" t="str">
            <v>GWW</v>
          </cell>
        </row>
        <row r="34">
          <cell r="A34" t="str">
            <v>ESP</v>
          </cell>
          <cell r="B34" t="str">
            <v>Elektrownie Szczytowo-Pompowe S.A.</v>
          </cell>
          <cell r="C34" t="str">
            <v>Elektrownie Szczytowo-Pompowe S.A.
Ogrodowa 59 a
PL-00-876 WARSZAWA</v>
          </cell>
          <cell r="D34">
            <v>1690001</v>
          </cell>
          <cell r="E34" t="str">
            <v>EO</v>
          </cell>
        </row>
        <row r="35">
          <cell r="A35" t="str">
            <v>ZEW Dychów</v>
          </cell>
          <cell r="B35" t="str">
            <v>ZEW Dychów S.A.</v>
          </cell>
          <cell r="C35" t="str">
            <v>ZESPÓŁ ELEKTROWNI WODNYCH DYCHÓW SA
DYCHÓW 6A
PL-66-627 DYCHÓW</v>
          </cell>
          <cell r="D35">
            <v>1600018</v>
          </cell>
          <cell r="E35" t="str">
            <v>EO</v>
          </cell>
        </row>
        <row r="36">
          <cell r="A36" t="str">
            <v>EXATEL</v>
          </cell>
          <cell r="B36" t="str">
            <v>Exatel S.A.</v>
          </cell>
          <cell r="C36" t="str">
            <v>EXATEL S.A.
PERKUNA 47
PL-04-164 WARSZAWA</v>
          </cell>
          <cell r="D36">
            <v>1200002</v>
          </cell>
          <cell r="E36" t="str">
            <v>TEL</v>
          </cell>
        </row>
      </sheetData>
      <sheetData sheetId="6" refreshError="1"/>
      <sheetData sheetId="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port tygodniowy PL"/>
      <sheetName val="TGE"/>
      <sheetName val="POEE"/>
      <sheetName val="RB"/>
      <sheetName val="Raport tygodniowy"/>
      <sheetName val="Zawarte TFE i POEE"/>
      <sheetName val="kurs EUR_paliwa"/>
      <sheetName val="Nośniki energii"/>
      <sheetName val="Rynek Polski 2008"/>
      <sheetName val="Bazy"/>
      <sheetName val="31 - Grupa B"/>
      <sheetName val="Ster"/>
      <sheetName val="KT_baza_2006"/>
      <sheetName val="DP"/>
    </sheetNames>
    <sheetDataSet>
      <sheetData sheetId="0" refreshError="1"/>
      <sheetData sheetId="1" refreshError="1">
        <row r="3">
          <cell r="M3" t="str">
            <v>CENY</v>
          </cell>
          <cell r="AL3" t="str">
            <v>Volumen</v>
          </cell>
          <cell r="CJ3" t="str">
            <v>dzienny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estawienie zbiorcze   "/>
      <sheetName val="I.Inwest. strategiczne"/>
      <sheetName val="III. Prace mod.-odtw.-zesta "/>
      <sheetName val="Podsumowanie"/>
      <sheetName val="Cennik"/>
      <sheetName val="Arkusz1"/>
      <sheetName val="Zestawienie"/>
      <sheetName val="ZestawienieZakupów"/>
      <sheetName val="ZestawienieZakupów (2)"/>
      <sheetName val="WykazSESKO"/>
      <sheetName val="Pierwotne ZRE"/>
      <sheetName val="Zakupy dla Pionu_Zakładu"/>
      <sheetName val="Raport - dane w grupach"/>
      <sheetName val="Raport - dane w grupach działy"/>
      <sheetName val="Raport - dane w grupach piony"/>
      <sheetName val="Mod  - DSC"/>
      <sheetName val="Arkusz2"/>
      <sheetName val="Arkusz3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A2">
            <v>1</v>
          </cell>
          <cell r="C2" t="str">
            <v>Oprogramowanie</v>
          </cell>
          <cell r="D2" t="str">
            <v>AutoCAD LT (2002/2004)</v>
          </cell>
          <cell r="E2">
            <v>4650</v>
          </cell>
        </row>
        <row r="3">
          <cell r="A3">
            <v>2</v>
          </cell>
          <cell r="C3" t="str">
            <v>Modernizacja</v>
          </cell>
          <cell r="D3" t="str">
            <v xml:space="preserve">Rozszerzenie centrali telefonicznej autoryzacja zgłaszającego poprzez wykorzstanie protokołu TAPI </v>
          </cell>
          <cell r="E3">
            <v>100000</v>
          </cell>
        </row>
        <row r="4">
          <cell r="A4">
            <v>3</v>
          </cell>
          <cell r="C4" t="str">
            <v>Sprzęt komputerowy niskocenny</v>
          </cell>
          <cell r="D4" t="str">
            <v>Drukarka A4  atramentowa</v>
          </cell>
          <cell r="E4">
            <v>600</v>
          </cell>
        </row>
        <row r="5">
          <cell r="A5">
            <v>4</v>
          </cell>
          <cell r="C5" t="str">
            <v>Sprzęt komputerowy niskocenny</v>
          </cell>
          <cell r="D5" t="str">
            <v>Drukarka A4  atramentowa</v>
          </cell>
          <cell r="E5">
            <v>600</v>
          </cell>
        </row>
        <row r="6">
          <cell r="A6">
            <v>5</v>
          </cell>
          <cell r="C6" t="str">
            <v>Sprzęt komputerowy niskocenny</v>
          </cell>
          <cell r="D6" t="str">
            <v>Drukarka igłowa</v>
          </cell>
          <cell r="E6">
            <v>0</v>
          </cell>
        </row>
        <row r="7">
          <cell r="A7">
            <v>7</v>
          </cell>
          <cell r="C7" t="str">
            <v>Sprzęt komputerowy</v>
          </cell>
          <cell r="D7" t="str">
            <v>Drukarka laserowa kolorowa</v>
          </cell>
          <cell r="E7">
            <v>7000</v>
          </cell>
        </row>
        <row r="8">
          <cell r="A8">
            <v>8</v>
          </cell>
          <cell r="C8" t="str">
            <v>Sprzęt komputerowy</v>
          </cell>
          <cell r="D8" t="str">
            <v>Drukarka laserowa sieciowa A3 cz.-b.</v>
          </cell>
          <cell r="E8">
            <v>9800</v>
          </cell>
        </row>
        <row r="9">
          <cell r="A9">
            <v>9</v>
          </cell>
          <cell r="C9" t="str">
            <v>Sprzęt komputerowy niskocenny</v>
          </cell>
          <cell r="D9" t="str">
            <v>Drukarka laserowa sieciowa A4 cz.-b.</v>
          </cell>
          <cell r="E9">
            <v>2500</v>
          </cell>
        </row>
        <row r="10">
          <cell r="A10">
            <v>10</v>
          </cell>
          <cell r="C10" t="str">
            <v>Sprzęt komputerowy</v>
          </cell>
          <cell r="D10" t="str">
            <v>Drukarka laserowa sieciowa A4 kolorowa</v>
          </cell>
          <cell r="E10">
            <v>7000</v>
          </cell>
        </row>
        <row r="11">
          <cell r="A11">
            <v>11</v>
          </cell>
          <cell r="C11" t="str">
            <v>Sprzęt komputerowy niskocenny</v>
          </cell>
          <cell r="D11" t="str">
            <v>Drukarka A4  atramentowa</v>
          </cell>
          <cell r="E11">
            <v>600</v>
          </cell>
        </row>
        <row r="12">
          <cell r="A12">
            <v>12</v>
          </cell>
          <cell r="C12" t="str">
            <v>Materiały</v>
          </cell>
          <cell r="D12" t="str">
            <v>Filtry prywatyzujące do monitorów ekranowych 17"</v>
          </cell>
          <cell r="E12">
            <v>1000</v>
          </cell>
        </row>
        <row r="13">
          <cell r="A13">
            <v>13</v>
          </cell>
          <cell r="C13" t="str">
            <v>Oprogramowanie</v>
          </cell>
          <cell r="D13" t="str">
            <v>Intergacja usług katalogowych iPlanet,AvtiveDirectory,NDS,LDAP - upgrade Netware</v>
          </cell>
          <cell r="E13">
            <v>400000</v>
          </cell>
        </row>
        <row r="14">
          <cell r="A14">
            <v>14</v>
          </cell>
          <cell r="C14" t="str">
            <v>Sprzęt komputerowy</v>
          </cell>
          <cell r="D14" t="str">
            <v>Komputer przenośny</v>
          </cell>
          <cell r="E14">
            <v>7000</v>
          </cell>
        </row>
        <row r="15">
          <cell r="A15">
            <v>15</v>
          </cell>
          <cell r="C15" t="str">
            <v>Materiały</v>
          </cell>
          <cell r="D15" t="str">
            <v xml:space="preserve">Modernizacja i rozbudowa programów   </v>
          </cell>
          <cell r="E15">
            <v>0</v>
          </cell>
        </row>
        <row r="16">
          <cell r="A16">
            <v>16</v>
          </cell>
          <cell r="C16" t="str">
            <v>Remont</v>
          </cell>
          <cell r="D16" t="str">
            <v>Modernizacja notebook (RAM, dysk twardy)</v>
          </cell>
          <cell r="E16">
            <v>2000</v>
          </cell>
        </row>
        <row r="17">
          <cell r="A17">
            <v>17</v>
          </cell>
          <cell r="C17" t="str">
            <v>Remont</v>
          </cell>
          <cell r="D17" t="str">
            <v>Modernizacja zestawu komputerowego (RAM, dysk twardy)</v>
          </cell>
          <cell r="E17">
            <v>2000</v>
          </cell>
        </row>
        <row r="18">
          <cell r="A18">
            <v>18</v>
          </cell>
          <cell r="C18" t="str">
            <v>Remont</v>
          </cell>
          <cell r="D18" t="str">
            <v>Nagrywarka CD-RW</v>
          </cell>
          <cell r="E18">
            <v>800</v>
          </cell>
        </row>
        <row r="19">
          <cell r="A19">
            <v>19</v>
          </cell>
          <cell r="C19" t="str">
            <v>Remont</v>
          </cell>
          <cell r="D19" t="str">
            <v>Nagrywarka zewnętrzna CD-RW</v>
          </cell>
          <cell r="E19">
            <v>1000</v>
          </cell>
        </row>
        <row r="20">
          <cell r="A20">
            <v>20</v>
          </cell>
          <cell r="C20" t="str">
            <v>Oprogramowanie niskocenne</v>
          </cell>
          <cell r="D20" t="str">
            <v>Oprogramowanie - uaktualnienie programów do kosztorysowania</v>
          </cell>
          <cell r="E20">
            <v>1000</v>
          </cell>
        </row>
        <row r="21">
          <cell r="A21">
            <v>22</v>
          </cell>
          <cell r="C21" t="str">
            <v>Oprogramowanie niskocenne</v>
          </cell>
          <cell r="D21" t="str">
            <v>Corel Draw  PL</v>
          </cell>
          <cell r="E21">
            <v>1500</v>
          </cell>
        </row>
        <row r="22">
          <cell r="A22">
            <v>23</v>
          </cell>
          <cell r="C22" t="str">
            <v>Oprogramowanie niskocenne</v>
          </cell>
          <cell r="D22" t="str">
            <v>Oprogramowanie LEX</v>
          </cell>
          <cell r="E22">
            <v>500</v>
          </cell>
        </row>
        <row r="23">
          <cell r="A23">
            <v>24</v>
          </cell>
          <cell r="C23" t="str">
            <v>Modernizacja</v>
          </cell>
          <cell r="D23" t="str">
            <v>Projekt techniczny nowego DATACENTER</v>
          </cell>
          <cell r="E23">
            <v>150000</v>
          </cell>
        </row>
        <row r="24">
          <cell r="A24">
            <v>25</v>
          </cell>
          <cell r="C24" t="str">
            <v>Remont</v>
          </cell>
          <cell r="D24" t="str">
            <v>Rozszerzenie pamięci RAM o 64MB do plotera Xerox</v>
          </cell>
          <cell r="E24">
            <v>1500</v>
          </cell>
        </row>
        <row r="25">
          <cell r="A25">
            <v>26</v>
          </cell>
          <cell r="C25" t="str">
            <v>Sprzęt komputerowy</v>
          </cell>
          <cell r="D25" t="str">
            <v>Serwer szkoleniowy</v>
          </cell>
          <cell r="E25">
            <v>15000</v>
          </cell>
        </row>
        <row r="26">
          <cell r="A26">
            <v>28</v>
          </cell>
          <cell r="C26" t="str">
            <v>Sprzęt komputerowy niskocenny</v>
          </cell>
          <cell r="D26" t="str">
            <v>Skaner A3</v>
          </cell>
          <cell r="E26">
            <v>1200</v>
          </cell>
        </row>
        <row r="27">
          <cell r="A27">
            <v>29</v>
          </cell>
          <cell r="C27" t="str">
            <v>Sprzęt komputerowy niskocenny</v>
          </cell>
          <cell r="D27" t="str">
            <v>Skaner A4</v>
          </cell>
          <cell r="E27">
            <v>600</v>
          </cell>
        </row>
        <row r="28">
          <cell r="A28">
            <v>30</v>
          </cell>
          <cell r="C28" t="str">
            <v>Sprzęt komputerowy</v>
          </cell>
          <cell r="D28" t="str">
            <v>Skaner kolorowy XEROX Synergix</v>
          </cell>
          <cell r="E28">
            <v>54000</v>
          </cell>
        </row>
        <row r="29">
          <cell r="A29">
            <v>31</v>
          </cell>
          <cell r="C29" t="str">
            <v>Oprogramowanie</v>
          </cell>
          <cell r="D29" t="str">
            <v>Uaktualnienie oprogramowania-WSCAD</v>
          </cell>
          <cell r="E29">
            <v>15000</v>
          </cell>
        </row>
        <row r="30">
          <cell r="A30">
            <v>32</v>
          </cell>
          <cell r="C30" t="str">
            <v>Oprogramowanie</v>
          </cell>
          <cell r="D30" t="str">
            <v>Visual Studio Net</v>
          </cell>
          <cell r="E30">
            <v>5000</v>
          </cell>
        </row>
        <row r="31">
          <cell r="A31">
            <v>33</v>
          </cell>
          <cell r="C31" t="str">
            <v>Usługi</v>
          </cell>
          <cell r="D31" t="str">
            <v>wdrożenie systemu inwentaryzacji sprzętu komputerowego z wykorzystaniem kodów kreskowych</v>
          </cell>
          <cell r="E31">
            <v>25000</v>
          </cell>
        </row>
        <row r="32">
          <cell r="A32">
            <v>34</v>
          </cell>
          <cell r="C32" t="str">
            <v>Modernizacja</v>
          </cell>
          <cell r="D32" t="str">
            <v>Wymiana serwerów sieciowych</v>
          </cell>
          <cell r="E32">
            <v>200000</v>
          </cell>
        </row>
        <row r="33">
          <cell r="A33">
            <v>35</v>
          </cell>
          <cell r="C33" t="str">
            <v>Modernizacja</v>
          </cell>
          <cell r="D33" t="str">
            <v>Zakup przełączników sieciowych</v>
          </cell>
          <cell r="E33">
            <v>150000</v>
          </cell>
        </row>
        <row r="34">
          <cell r="A34">
            <v>39</v>
          </cell>
          <cell r="C34" t="str">
            <v>Sprzęt komputerowy</v>
          </cell>
          <cell r="D34" t="str">
            <v xml:space="preserve">Zestaw komputerowy 19" </v>
          </cell>
          <cell r="E34">
            <v>6000</v>
          </cell>
        </row>
        <row r="35">
          <cell r="A35">
            <v>40</v>
          </cell>
          <cell r="C35" t="str">
            <v>Sprzęt komputerowy</v>
          </cell>
          <cell r="D35" t="str">
            <v xml:space="preserve">Zestaw komputerowy 21" </v>
          </cell>
          <cell r="E35">
            <v>7000</v>
          </cell>
        </row>
        <row r="36">
          <cell r="A36">
            <v>41</v>
          </cell>
          <cell r="C36" t="str">
            <v>Sprzęt komputerowy</v>
          </cell>
          <cell r="D36" t="str">
            <v>Zestaw komputerowy 17"</v>
          </cell>
          <cell r="E36">
            <v>4800</v>
          </cell>
        </row>
        <row r="37">
          <cell r="A37">
            <v>44</v>
          </cell>
          <cell r="C37" t="str">
            <v>Sprzęt komputerowy</v>
          </cell>
          <cell r="D37" t="str">
            <v>Zestaw komputerowy 19" LCD</v>
          </cell>
          <cell r="E37">
            <v>9000</v>
          </cell>
        </row>
        <row r="38">
          <cell r="A38">
            <v>45</v>
          </cell>
          <cell r="C38" t="str">
            <v>Sprzęt komputerowy</v>
          </cell>
          <cell r="D38" t="str">
            <v>Zestaw komputerowy 17" LCD</v>
          </cell>
          <cell r="E38">
            <v>7000</v>
          </cell>
        </row>
        <row r="39">
          <cell r="A39">
            <v>46</v>
          </cell>
          <cell r="C39" t="str">
            <v>Sprzęt komputerowy</v>
          </cell>
          <cell r="D39" t="str">
            <v>Stacja graficzna do projektowania</v>
          </cell>
          <cell r="E39">
            <v>11000</v>
          </cell>
        </row>
        <row r="40">
          <cell r="A40">
            <v>47</v>
          </cell>
          <cell r="C40" t="str">
            <v>Oprogramowanie niskocenne</v>
          </cell>
          <cell r="D40" t="str">
            <v>Program do OCR ( IRIS lub RECOGMITA)</v>
          </cell>
          <cell r="E40">
            <v>1000</v>
          </cell>
        </row>
        <row r="41">
          <cell r="A41">
            <v>48</v>
          </cell>
          <cell r="C41" t="str">
            <v>Oprogramowanie niskocenne</v>
          </cell>
          <cell r="D41" t="str">
            <v>Program do zrzutów ekranowych i ich obróbki (SNAGIT)</v>
          </cell>
          <cell r="E41">
            <v>500</v>
          </cell>
        </row>
        <row r="42">
          <cell r="A42">
            <v>49</v>
          </cell>
          <cell r="C42" t="str">
            <v>Oprogramowanie niskocenne</v>
          </cell>
          <cell r="D42" t="str">
            <v>Program do tworzenia PDF (ADOBE ACROBAT)</v>
          </cell>
          <cell r="E42">
            <v>500</v>
          </cell>
        </row>
        <row r="43">
          <cell r="A43">
            <v>50</v>
          </cell>
          <cell r="C43" t="str">
            <v>Oprogramowanie niskocenne</v>
          </cell>
          <cell r="D43" t="str">
            <v>Program do czytania plików (AUTOCADA)</v>
          </cell>
          <cell r="E43">
            <v>800</v>
          </cell>
        </row>
        <row r="44">
          <cell r="A44">
            <v>51</v>
          </cell>
          <cell r="C44" t="str">
            <v>Oprogramowanie niskocenne</v>
          </cell>
          <cell r="D44" t="str">
            <v>MS  VISIO 2002 /prof.</v>
          </cell>
          <cell r="E44">
            <v>1600</v>
          </cell>
        </row>
        <row r="45">
          <cell r="A45">
            <v>52</v>
          </cell>
          <cell r="C45" t="str">
            <v>Oprogramowanie niskocenne</v>
          </cell>
          <cell r="D45" t="str">
            <v>Program " English Translator Professional"3.x</v>
          </cell>
          <cell r="E45">
            <v>1000</v>
          </cell>
        </row>
        <row r="46">
          <cell r="A46">
            <v>53</v>
          </cell>
          <cell r="C46" t="str">
            <v>Oprogramowanie niskocenne</v>
          </cell>
          <cell r="D46" t="str">
            <v>Aktualizacja oprogramowania AutoCad LT 98/ dozbrojenie biblioteki nakładek branżowych/</v>
          </cell>
          <cell r="E46">
            <v>2000</v>
          </cell>
        </row>
        <row r="47">
          <cell r="A47">
            <v>56</v>
          </cell>
          <cell r="C47" t="str">
            <v>Oprogramowanie niskocenne</v>
          </cell>
          <cell r="D47" t="str">
            <v xml:space="preserve"> Laboratorium 2000-upgrade</v>
          </cell>
          <cell r="E47">
            <v>3500</v>
          </cell>
        </row>
        <row r="48">
          <cell r="A48">
            <v>64</v>
          </cell>
          <cell r="C48" t="str">
            <v>Oprogramowanie niskocenne</v>
          </cell>
          <cell r="D48" t="str">
            <v>MS Project 2000Pl</v>
          </cell>
          <cell r="E48">
            <v>1400</v>
          </cell>
        </row>
        <row r="49">
          <cell r="A49">
            <v>65</v>
          </cell>
          <cell r="C49" t="str">
            <v>Systemy informatyczne</v>
          </cell>
          <cell r="D49" t="str">
            <v>Moduł zarządzania kontraktami we współpracy z GB</v>
          </cell>
          <cell r="E49">
            <v>200000</v>
          </cell>
        </row>
        <row r="50">
          <cell r="A50">
            <v>66</v>
          </cell>
          <cell r="C50" t="str">
            <v>Systemy informatyczne</v>
          </cell>
          <cell r="D50" t="str">
            <v xml:space="preserve">Moduł do fakturowania </v>
          </cell>
          <cell r="E50">
            <v>30000</v>
          </cell>
        </row>
        <row r="51">
          <cell r="A51">
            <v>67</v>
          </cell>
          <cell r="C51" t="str">
            <v>Systemy informatyczne</v>
          </cell>
          <cell r="D51" t="str">
            <v xml:space="preserve">Dostosowanie oprogramowania Rynku Energii do zmian na rynku bilansującym </v>
          </cell>
          <cell r="E51">
            <v>100000</v>
          </cell>
        </row>
        <row r="52">
          <cell r="A52">
            <v>68</v>
          </cell>
          <cell r="C52" t="str">
            <v>Systemy informatyczne</v>
          </cell>
          <cell r="D52" t="str">
            <v>Oprogramowanie narzędziowe do analiz rynku</v>
          </cell>
          <cell r="E52">
            <v>50000</v>
          </cell>
        </row>
        <row r="53">
          <cell r="A53">
            <v>69</v>
          </cell>
          <cell r="C53" t="str">
            <v>Systemy informatyczne</v>
          </cell>
          <cell r="D53" t="str">
            <v>Przeniesienie Systemu TKE z bazy danych PROCONTROL P do bazy danych ASIX i umieszczenie go w środowisku Windows</v>
          </cell>
          <cell r="E53">
            <v>0</v>
          </cell>
        </row>
        <row r="54">
          <cell r="A54">
            <v>70</v>
          </cell>
          <cell r="C54" t="str">
            <v>Sprzęt komputerowy</v>
          </cell>
          <cell r="D54" t="str">
            <v>Ploter A0</v>
          </cell>
          <cell r="E54">
            <v>25000</v>
          </cell>
        </row>
        <row r="55">
          <cell r="A55">
            <v>71</v>
          </cell>
          <cell r="C55" t="str">
            <v>Oprogramowanie</v>
          </cell>
          <cell r="D55" t="str">
            <v xml:space="preserve">AutoCAD 2004 </v>
          </cell>
          <cell r="E55">
            <v>20000</v>
          </cell>
        </row>
        <row r="56">
          <cell r="A56">
            <v>72</v>
          </cell>
          <cell r="C56" t="str">
            <v>Sprzęt komputerowy</v>
          </cell>
          <cell r="D56" t="str">
            <v xml:space="preserve">Ploter A1 + oprogramowanie </v>
          </cell>
          <cell r="E56">
            <v>5000</v>
          </cell>
        </row>
        <row r="57">
          <cell r="A57">
            <v>73</v>
          </cell>
          <cell r="C57" t="str">
            <v>Modernizacja</v>
          </cell>
          <cell r="D57" t="str">
            <v>Wymiana monitora na LCD 17"</v>
          </cell>
          <cell r="E57">
            <v>2000</v>
          </cell>
        </row>
        <row r="58">
          <cell r="A58">
            <v>75</v>
          </cell>
          <cell r="C58" t="str">
            <v>Sprzęt komputerowy</v>
          </cell>
          <cell r="D58" t="str">
            <v>Zestaw Audio-wizualny konferencyjny</v>
          </cell>
          <cell r="E58">
            <v>40000</v>
          </cell>
        </row>
        <row r="59">
          <cell r="A59">
            <v>76</v>
          </cell>
          <cell r="C59" t="str">
            <v>Oprogramowanie niskocenne</v>
          </cell>
          <cell r="D59" t="str">
            <v>Program do tworzenia PDF (ADOBE ACROBAT)</v>
          </cell>
          <cell r="E59">
            <v>500</v>
          </cell>
        </row>
        <row r="60">
          <cell r="A60">
            <v>77</v>
          </cell>
          <cell r="C60" t="str">
            <v>Oprogramowanie niskocenne</v>
          </cell>
          <cell r="D60" t="str">
            <v>eBook Pack Express Professional</v>
          </cell>
          <cell r="E60">
            <v>450</v>
          </cell>
        </row>
        <row r="61">
          <cell r="A61">
            <v>78</v>
          </cell>
          <cell r="C61" t="str">
            <v>Oprogramowanie</v>
          </cell>
          <cell r="D61" t="str">
            <v>Autodesk Inventor Series 7 (upgrade z AIS 5.3)</v>
          </cell>
          <cell r="E61">
            <v>6000</v>
          </cell>
        </row>
        <row r="62">
          <cell r="A62">
            <v>79</v>
          </cell>
          <cell r="C62" t="str">
            <v>Oprogramowanie niskocenne</v>
          </cell>
          <cell r="D62" t="str">
            <v>NATATA eBook Compiler Gold</v>
          </cell>
          <cell r="E62">
            <v>300</v>
          </cell>
        </row>
        <row r="63">
          <cell r="A63">
            <v>80</v>
          </cell>
          <cell r="C63" t="str">
            <v>Oprogramowanie</v>
          </cell>
          <cell r="D63" t="str">
            <v>Mechsoft for Inventor</v>
          </cell>
          <cell r="E63">
            <v>12100</v>
          </cell>
        </row>
        <row r="64">
          <cell r="A64">
            <v>81</v>
          </cell>
          <cell r="C64" t="str">
            <v>Oprogramowanie</v>
          </cell>
          <cell r="D64" t="str">
            <v>PIT-CUP 5.1</v>
          </cell>
          <cell r="E64">
            <v>12000</v>
          </cell>
        </row>
        <row r="65">
          <cell r="A65">
            <v>82</v>
          </cell>
          <cell r="C65" t="str">
            <v>Oprogramowanie</v>
          </cell>
          <cell r="D65" t="str">
            <v>AUTODESK Architektual Deskop 2004 (aktualizacja z AutoCada)</v>
          </cell>
          <cell r="E65">
            <v>7000</v>
          </cell>
        </row>
        <row r="66">
          <cell r="A66">
            <v>84</v>
          </cell>
          <cell r="C66" t="str">
            <v>Sprzęt komputerowy niskocenny</v>
          </cell>
          <cell r="D66" t="str">
            <v>Combo HP LaserJet 3300mfp</v>
          </cell>
          <cell r="E66">
            <v>3000</v>
          </cell>
        </row>
        <row r="67">
          <cell r="A67">
            <v>85</v>
          </cell>
          <cell r="C67" t="str">
            <v>Remont</v>
          </cell>
          <cell r="D67" t="str">
            <v>Pen Drive ART. 1GB</v>
          </cell>
          <cell r="E67">
            <v>1000</v>
          </cell>
        </row>
        <row r="68">
          <cell r="A68">
            <v>86</v>
          </cell>
          <cell r="C68" t="str">
            <v>Oprogramowanie niskocenne</v>
          </cell>
          <cell r="D68" t="str">
            <v>NORMA ver.xx</v>
          </cell>
          <cell r="E68">
            <v>0</v>
          </cell>
        </row>
        <row r="69">
          <cell r="A69">
            <v>87</v>
          </cell>
          <cell r="C69" t="str">
            <v>Oprogramowanie niskocenne</v>
          </cell>
          <cell r="D69" t="str">
            <v xml:space="preserve"> Laboratorium 2000-upgrade</v>
          </cell>
          <cell r="E69">
            <v>3500</v>
          </cell>
        </row>
        <row r="70">
          <cell r="A70">
            <v>88</v>
          </cell>
          <cell r="C70" t="str">
            <v>Modernizacja</v>
          </cell>
          <cell r="D70" t="str">
            <v>Wyposażenie serwerów S80/H70 w RAM i dyski</v>
          </cell>
          <cell r="E70">
            <v>160000</v>
          </cell>
        </row>
        <row r="71">
          <cell r="A71">
            <v>89</v>
          </cell>
          <cell r="C71" t="str">
            <v>Modernizacja</v>
          </cell>
          <cell r="D71" t="str">
            <v>Modernizacja komputerów -sala U12</v>
          </cell>
          <cell r="E71">
            <v>26500</v>
          </cell>
        </row>
        <row r="72">
          <cell r="A72">
            <v>90</v>
          </cell>
          <cell r="C72" t="str">
            <v>Środki trwałe - wyposażenie</v>
          </cell>
          <cell r="D72" t="str">
            <v>Projektor sala szkoleniowa U12</v>
          </cell>
          <cell r="E72">
            <v>30000</v>
          </cell>
        </row>
        <row r="73">
          <cell r="A73">
            <v>91</v>
          </cell>
          <cell r="C73" t="str">
            <v>Sprzęt komputerowy</v>
          </cell>
          <cell r="D73" t="str">
            <v>Stanowisko do odtwarzania danych</v>
          </cell>
          <cell r="E73">
            <v>8000</v>
          </cell>
        </row>
        <row r="74">
          <cell r="A74">
            <v>92</v>
          </cell>
          <cell r="C74" t="str">
            <v>Oprogramowanie</v>
          </cell>
          <cell r="D74" t="str">
            <v>Aktualizacja oprogramowania biurowego w ramach umowy z Microsoftem (dla 873 komputerów)</v>
          </cell>
          <cell r="E74">
            <v>480000</v>
          </cell>
        </row>
        <row r="75">
          <cell r="A75">
            <v>93</v>
          </cell>
          <cell r="C75" t="str">
            <v>Systemy informatyczne</v>
          </cell>
          <cell r="D75" t="str">
            <v>Zakończenie wdrożenia Kompleksowego Systemu Zarządzania Siecią - kontynuacja zadania, odbiór ostatniego etapu</v>
          </cell>
          <cell r="E75">
            <v>400000</v>
          </cell>
        </row>
        <row r="76">
          <cell r="A76">
            <v>94</v>
          </cell>
          <cell r="C76" t="str">
            <v>Systemy informatyczne</v>
          </cell>
          <cell r="D76" t="str">
            <v>Aktualizacja systemu IFS Applications do wersji 200X</v>
          </cell>
          <cell r="E76">
            <v>1000000</v>
          </cell>
        </row>
        <row r="77">
          <cell r="A77">
            <v>95</v>
          </cell>
          <cell r="C77" t="str">
            <v>Systemy informatyczne</v>
          </cell>
          <cell r="D77" t="str">
            <v>Systemu Zarządzania Obiegiem Dokumentów</v>
          </cell>
          <cell r="E77">
            <v>320000</v>
          </cell>
        </row>
        <row r="78">
          <cell r="A78">
            <v>96</v>
          </cell>
          <cell r="C78" t="str">
            <v>Środki niskocenne - wyposażenie dla HelpDesk</v>
          </cell>
          <cell r="D78" t="str">
            <v>Wyposażenie dla HelpDesku</v>
          </cell>
          <cell r="E78">
            <v>10000</v>
          </cell>
        </row>
        <row r="79">
          <cell r="A79">
            <v>97</v>
          </cell>
          <cell r="C79" t="str">
            <v>Oprogramowanie</v>
          </cell>
          <cell r="D79" t="str">
            <v>Oprogramowanie do tworzenia szkoleń eLearningowych</v>
          </cell>
          <cell r="E79">
            <v>60000</v>
          </cell>
        </row>
        <row r="80">
          <cell r="A80">
            <v>98</v>
          </cell>
          <cell r="C80" t="str">
            <v>Modernizacja</v>
          </cell>
          <cell r="D80" t="str">
            <v>Wymiana monitora na 19''</v>
          </cell>
          <cell r="E80">
            <v>2000</v>
          </cell>
        </row>
        <row r="81">
          <cell r="A81">
            <v>99</v>
          </cell>
          <cell r="C81" t="str">
            <v>Systemy informatyczne</v>
          </cell>
          <cell r="D81" t="str">
            <v>Wdrożenie  IFS/Produkcja</v>
          </cell>
          <cell r="E81">
            <v>0</v>
          </cell>
        </row>
        <row r="82">
          <cell r="A82">
            <v>100</v>
          </cell>
          <cell r="C82" t="str">
            <v>Systemy informatyczne</v>
          </cell>
          <cell r="D82" t="str">
            <v>Rozbudowa systemu SIK</v>
          </cell>
          <cell r="E82">
            <v>300000</v>
          </cell>
        </row>
        <row r="83">
          <cell r="A83">
            <v>101</v>
          </cell>
          <cell r="C83" t="str">
            <v>Systemy informatyczne</v>
          </cell>
          <cell r="D83" t="str">
            <v>Wdrożenie portalu firmowego</v>
          </cell>
          <cell r="E83">
            <v>400000</v>
          </cell>
        </row>
        <row r="84">
          <cell r="A84">
            <v>102</v>
          </cell>
          <cell r="C84" t="str">
            <v>Systemy informatyczne</v>
          </cell>
          <cell r="D84" t="str">
            <v>Modyfikacje systemu IFS</v>
          </cell>
          <cell r="E84">
            <v>200000</v>
          </cell>
        </row>
        <row r="85">
          <cell r="A85">
            <v>103</v>
          </cell>
          <cell r="C85" t="str">
            <v>Systemy informatyczne</v>
          </cell>
          <cell r="D85" t="str">
            <v>Wdrożenie  IFS/HR</v>
          </cell>
          <cell r="E85">
            <v>200000</v>
          </cell>
        </row>
        <row r="86">
          <cell r="A86">
            <v>104</v>
          </cell>
          <cell r="C86" t="str">
            <v>Systemy informatyczne</v>
          </cell>
          <cell r="D86" t="str">
            <v>Wdrożenie  IFS/Projekt</v>
          </cell>
          <cell r="E86">
            <v>50000</v>
          </cell>
        </row>
        <row r="87">
          <cell r="A87">
            <v>105</v>
          </cell>
          <cell r="C87" t="str">
            <v>Sprzęt komputerowy</v>
          </cell>
          <cell r="D87" t="str">
            <v>Serwery do obsługi eLearningu</v>
          </cell>
          <cell r="E87">
            <v>0</v>
          </cell>
        </row>
        <row r="88">
          <cell r="A88">
            <v>106</v>
          </cell>
          <cell r="C88" t="str">
            <v>Sprzęt komputerowy niskocenny</v>
          </cell>
          <cell r="D88" t="str">
            <v>Drukarka A3  atramentowa</v>
          </cell>
          <cell r="E88">
            <v>1500</v>
          </cell>
        </row>
        <row r="89">
          <cell r="A89">
            <v>107</v>
          </cell>
          <cell r="C89" t="str">
            <v>Sprzęt komputerowy niskocenny</v>
          </cell>
          <cell r="D89" t="str">
            <v>Drukarka laserowa  A4 cz.-b.</v>
          </cell>
          <cell r="E89">
            <v>1500</v>
          </cell>
        </row>
        <row r="90">
          <cell r="A90">
            <v>108</v>
          </cell>
          <cell r="C90" t="str">
            <v>Sprzęt komputerowy niskocenny</v>
          </cell>
          <cell r="D90" t="str">
            <v>Czytnik kart magnetycznych</v>
          </cell>
          <cell r="E90">
            <v>1000</v>
          </cell>
        </row>
        <row r="91">
          <cell r="A91">
            <v>109</v>
          </cell>
          <cell r="C91" t="str">
            <v>Oprogramowanie niskocenne</v>
          </cell>
          <cell r="D91" t="str">
            <v>PDF Factory Pro</v>
          </cell>
          <cell r="E91">
            <v>550</v>
          </cell>
        </row>
        <row r="92">
          <cell r="A92">
            <v>110</v>
          </cell>
          <cell r="C92" t="str">
            <v>Oprogramowanie</v>
          </cell>
          <cell r="D92" t="str">
            <v>Toad</v>
          </cell>
          <cell r="E92">
            <v>5000</v>
          </cell>
        </row>
        <row r="93">
          <cell r="A93">
            <v>111</v>
          </cell>
          <cell r="C93" t="str">
            <v>Oprogramowanie</v>
          </cell>
          <cell r="D93" t="str">
            <v>SQL Navigator</v>
          </cell>
          <cell r="E93">
            <v>5000</v>
          </cell>
        </row>
        <row r="94">
          <cell r="A94">
            <v>112</v>
          </cell>
          <cell r="C94" t="str">
            <v>Oprogramowanie</v>
          </cell>
          <cell r="D94" t="str">
            <v>Crossgrade z AutoCAD LT'2002PL do AutoCAD Mechanical 2004PL</v>
          </cell>
          <cell r="E94">
            <v>9000</v>
          </cell>
        </row>
        <row r="95">
          <cell r="A95">
            <v>113</v>
          </cell>
          <cell r="C95" t="str">
            <v>Oprogramowanie</v>
          </cell>
          <cell r="D95" t="str">
            <v>Oprogramowanie Emonitor Odyssey/Plant Link</v>
          </cell>
          <cell r="E95">
            <v>48000</v>
          </cell>
        </row>
        <row r="96">
          <cell r="A96">
            <v>114</v>
          </cell>
          <cell r="C96" t="str">
            <v>Oprogramowanie</v>
          </cell>
          <cell r="D96" t="str">
            <v>Oprogramowania-WSCAD</v>
          </cell>
          <cell r="E96">
            <v>10000</v>
          </cell>
        </row>
        <row r="98">
          <cell r="D98" t="str">
            <v>IFS/Projekt- 50 000</v>
          </cell>
        </row>
        <row r="99">
          <cell r="D99" t="str">
            <v>HR - 200 000</v>
          </cell>
        </row>
        <row r="100">
          <cell r="D100" t="str">
            <v>Upgrade - 1 000 000</v>
          </cell>
        </row>
        <row r="101">
          <cell r="D101" t="str">
            <v>IFS/Produkcja - 500 000</v>
          </cell>
        </row>
        <row r="102">
          <cell r="D102" t="str">
            <v>IFS Modyfikacje - 200 000</v>
          </cell>
        </row>
        <row r="103">
          <cell r="D103" t="str">
            <v>Portale - 400 000</v>
          </cell>
        </row>
        <row r="104">
          <cell r="D104" t="str">
            <v>SIK - 300 000</v>
          </cell>
        </row>
        <row r="105">
          <cell r="D105" t="str">
            <v>Dokumentacja - reszta</v>
          </cell>
        </row>
      </sheetData>
      <sheetData sheetId="5"/>
      <sheetData sheetId="6"/>
      <sheetData sheetId="7"/>
      <sheetData sheetId="8"/>
      <sheetData sheetId="9">
        <row r="2">
          <cell r="A2" t="str">
            <v>STACJA ROBOCZA</v>
          </cell>
          <cell r="B2" t="str">
            <v>DELL 466/LE OPTIPLEX</v>
          </cell>
          <cell r="C2" t="str">
            <v>491-2516</v>
          </cell>
          <cell r="D2" t="str">
            <v>JR33J</v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100012</v>
          </cell>
          <cell r="K2" t="str">
            <v>491-02516</v>
          </cell>
          <cell r="L2" t="str">
            <v>66</v>
          </cell>
          <cell r="M2" t="str">
            <v/>
          </cell>
          <cell r="N2" t="str">
            <v>32</v>
          </cell>
        </row>
        <row r="3">
          <cell r="A3" t="str">
            <v>STACJA ROBOCZA</v>
          </cell>
          <cell r="B3" t="str">
            <v>COMPAQ DESKPRO EXD PIII 733</v>
          </cell>
          <cell r="C3" t="str">
            <v>491-4451</v>
          </cell>
          <cell r="D3" t="str">
            <v>8036FR4ZE466</v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100054</v>
          </cell>
          <cell r="K3" t="str">
            <v>491-04451</v>
          </cell>
          <cell r="L3" t="str">
            <v>733</v>
          </cell>
          <cell r="M3" t="str">
            <v/>
          </cell>
          <cell r="N3" t="str">
            <v>127</v>
          </cell>
        </row>
        <row r="4">
          <cell r="A4" t="str">
            <v>STACJA ROBOCZA</v>
          </cell>
          <cell r="B4" t="str">
            <v>DELL Optiplex GX1L 266</v>
          </cell>
          <cell r="C4" t="str">
            <v>491-3256</v>
          </cell>
          <cell r="D4" t="str">
            <v>NM16F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100055</v>
          </cell>
          <cell r="K4" t="str">
            <v>491-03256</v>
          </cell>
          <cell r="L4" t="str">
            <v>266</v>
          </cell>
          <cell r="M4" t="str">
            <v/>
          </cell>
          <cell r="N4" t="str">
            <v>128</v>
          </cell>
        </row>
        <row r="5">
          <cell r="A5" t="str">
            <v>STACJA ROBOCZA</v>
          </cell>
          <cell r="B5" t="str">
            <v>DELL Optiplex GX1L 266</v>
          </cell>
          <cell r="C5" t="str">
            <v>491-3269</v>
          </cell>
          <cell r="D5" t="str">
            <v>NM15Q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100055</v>
          </cell>
          <cell r="K5" t="str">
            <v>491-03269</v>
          </cell>
          <cell r="L5" t="str">
            <v>266</v>
          </cell>
          <cell r="M5" t="str">
            <v/>
          </cell>
          <cell r="N5" t="str">
            <v>128</v>
          </cell>
        </row>
        <row r="6">
          <cell r="A6" t="str">
            <v>STACJA ROBOCZA</v>
          </cell>
          <cell r="B6" t="str">
            <v>DELL Optiplex GX1L 266</v>
          </cell>
          <cell r="C6" t="str">
            <v>491-3410</v>
          </cell>
          <cell r="D6" t="str">
            <v>NM1G6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100055</v>
          </cell>
          <cell r="K6" t="str">
            <v>491-03410</v>
          </cell>
          <cell r="L6" t="str">
            <v>266</v>
          </cell>
          <cell r="M6" t="str">
            <v/>
          </cell>
          <cell r="N6" t="str">
            <v>128</v>
          </cell>
        </row>
        <row r="7">
          <cell r="A7" t="str">
            <v>STACJA ROBOCZA</v>
          </cell>
          <cell r="B7" t="str">
            <v>DELL Optiplex GX1M 350</v>
          </cell>
          <cell r="C7" t="str">
            <v>491-3564</v>
          </cell>
          <cell r="D7" t="str">
            <v>PKGNK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100024</v>
          </cell>
          <cell r="K7" t="str">
            <v>491-03564</v>
          </cell>
          <cell r="L7" t="str">
            <v>350</v>
          </cell>
          <cell r="M7" t="str">
            <v/>
          </cell>
          <cell r="N7" t="str">
            <v>255</v>
          </cell>
        </row>
        <row r="8">
          <cell r="A8" t="str">
            <v>STACJA ROBOCZA</v>
          </cell>
          <cell r="B8" t="str">
            <v>NEC POWER MATE PIII 450</v>
          </cell>
          <cell r="C8" t="str">
            <v>491-3959</v>
          </cell>
          <cell r="D8" t="str">
            <v>Z0040109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100016</v>
          </cell>
          <cell r="K8" t="str">
            <v/>
          </cell>
          <cell r="L8" t="str">
            <v>450</v>
          </cell>
          <cell r="M8" t="str">
            <v/>
          </cell>
          <cell r="N8" t="str">
            <v/>
          </cell>
        </row>
        <row r="9">
          <cell r="A9" t="str">
            <v>STACJA ROBOCZA</v>
          </cell>
          <cell r="B9" t="str">
            <v>NEC POWER MATE PIII 450</v>
          </cell>
          <cell r="C9" t="str">
            <v>491-3969</v>
          </cell>
          <cell r="D9" t="str">
            <v>Z0019109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100016</v>
          </cell>
          <cell r="K9" t="str">
            <v/>
          </cell>
          <cell r="L9" t="str">
            <v>450</v>
          </cell>
          <cell r="M9" t="str">
            <v/>
          </cell>
          <cell r="N9" t="str">
            <v/>
          </cell>
        </row>
        <row r="10">
          <cell r="A10" t="str">
            <v>NOTEBOOK</v>
          </cell>
          <cell r="B10" t="str">
            <v>NEC VERSA SX PII 400</v>
          </cell>
          <cell r="C10" t="str">
            <v>491-4180</v>
          </cell>
          <cell r="D10" t="str">
            <v>I546900010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100056</v>
          </cell>
          <cell r="K10" t="str">
            <v/>
          </cell>
          <cell r="L10" t="str">
            <v>400</v>
          </cell>
          <cell r="M10" t="str">
            <v/>
          </cell>
          <cell r="N10" t="str">
            <v/>
          </cell>
        </row>
        <row r="11">
          <cell r="A11" t="str">
            <v>STACJA ROBOCZA</v>
          </cell>
          <cell r="B11" t="str">
            <v>DELL Optiplex GX1L 350</v>
          </cell>
          <cell r="C11" t="str">
            <v>491-3543</v>
          </cell>
          <cell r="D11" t="str">
            <v>PDZBT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100057</v>
          </cell>
          <cell r="K11" t="str">
            <v>491-03543</v>
          </cell>
          <cell r="L11" t="str">
            <v>350</v>
          </cell>
          <cell r="M11" t="str">
            <v/>
          </cell>
          <cell r="N11" t="str">
            <v>320</v>
          </cell>
        </row>
        <row r="12">
          <cell r="A12" t="str">
            <v>STACJA ROBOCZA</v>
          </cell>
          <cell r="B12" t="str">
            <v>ZENITH Z STATION P166</v>
          </cell>
          <cell r="C12" t="str">
            <v>491-3118</v>
          </cell>
          <cell r="D12" t="str">
            <v>GVDD72905436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100057</v>
          </cell>
          <cell r="K12" t="str">
            <v>491-03118</v>
          </cell>
          <cell r="L12" t="str">
            <v>166</v>
          </cell>
          <cell r="M12" t="str">
            <v/>
          </cell>
          <cell r="N12" t="str">
            <v>64</v>
          </cell>
        </row>
        <row r="13">
          <cell r="A13" t="str">
            <v>STACJA ROBOCZA</v>
          </cell>
          <cell r="B13" t="str">
            <v>Dell Optiplex GX1M P III 450</v>
          </cell>
          <cell r="C13" t="str">
            <v>491-4870</v>
          </cell>
          <cell r="D13" t="str">
            <v>RBPMV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100053</v>
          </cell>
          <cell r="K13" t="str">
            <v>491-04870</v>
          </cell>
          <cell r="L13" t="str">
            <v>450</v>
          </cell>
          <cell r="M13" t="str">
            <v/>
          </cell>
          <cell r="N13" t="str">
            <v>96</v>
          </cell>
        </row>
        <row r="14">
          <cell r="A14" t="str">
            <v>NOTEBOOK</v>
          </cell>
          <cell r="B14" t="str">
            <v>IBM TP T23</v>
          </cell>
          <cell r="C14" t="str">
            <v>491-5014</v>
          </cell>
          <cell r="D14" t="str">
            <v>55BD2X7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100025</v>
          </cell>
          <cell r="K14" t="str">
            <v/>
          </cell>
          <cell r="L14" t="str">
            <v>0</v>
          </cell>
          <cell r="M14" t="str">
            <v/>
          </cell>
          <cell r="N14" t="str">
            <v/>
          </cell>
        </row>
        <row r="15">
          <cell r="A15" t="str">
            <v>STACJA ROBOCZA</v>
          </cell>
          <cell r="B15" t="str">
            <v>KOMPUTER PC/AT</v>
          </cell>
          <cell r="C15" t="str">
            <v>491-1620/1548</v>
          </cell>
          <cell r="D15" t="str">
            <v>175759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100057</v>
          </cell>
          <cell r="K15" t="str">
            <v>491-01620-1548</v>
          </cell>
          <cell r="L15" t="str">
            <v>800</v>
          </cell>
          <cell r="M15" t="str">
            <v/>
          </cell>
          <cell r="N15" t="str">
            <v>256</v>
          </cell>
        </row>
        <row r="16">
          <cell r="A16" t="str">
            <v>STACJA ROBOCZA</v>
          </cell>
          <cell r="B16" t="str">
            <v>KOMPUTER PC/AT</v>
          </cell>
          <cell r="C16" t="str">
            <v>491-1395</v>
          </cell>
          <cell r="D16" t="str">
            <v>604003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100024</v>
          </cell>
          <cell r="K16" t="str">
            <v>ANDRZEJK</v>
          </cell>
          <cell r="L16" t="str">
            <v>366</v>
          </cell>
          <cell r="M16" t="str">
            <v/>
          </cell>
          <cell r="N16" t="str">
            <v/>
          </cell>
        </row>
        <row r="17">
          <cell r="A17" t="str">
            <v>STACJA ROBOCZA</v>
          </cell>
          <cell r="B17" t="str">
            <v>KOMPUTER 386DX</v>
          </cell>
          <cell r="C17" t="str">
            <v>491-2029</v>
          </cell>
          <cell r="D17" t="str">
            <v>3787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100019</v>
          </cell>
          <cell r="K17" t="str">
            <v/>
          </cell>
          <cell r="L17" t="str">
            <v>100</v>
          </cell>
          <cell r="M17" t="str">
            <v/>
          </cell>
          <cell r="N17" t="str">
            <v/>
          </cell>
        </row>
        <row r="18">
          <cell r="A18" t="str">
            <v>STACJA ROBOCZA</v>
          </cell>
          <cell r="B18" t="str">
            <v>KOMPUTER PC/AT</v>
          </cell>
          <cell r="C18" t="str">
            <v>491-1620/1683</v>
          </cell>
          <cell r="D18" t="str">
            <v>235848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100010</v>
          </cell>
          <cell r="K18" t="str">
            <v>491-01620-1683</v>
          </cell>
          <cell r="L18" t="str">
            <v>333</v>
          </cell>
          <cell r="M18" t="str">
            <v/>
          </cell>
          <cell r="N18" t="str">
            <v>256</v>
          </cell>
        </row>
        <row r="19">
          <cell r="A19" t="str">
            <v>STACJA ROBOCZA</v>
          </cell>
          <cell r="B19" t="str">
            <v>DELL Optiplex GX1L 266</v>
          </cell>
          <cell r="C19" t="str">
            <v>491-3422</v>
          </cell>
          <cell r="D19" t="str">
            <v>NM43B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100055</v>
          </cell>
          <cell r="K19" t="str">
            <v>491-03422</v>
          </cell>
          <cell r="L19" t="str">
            <v>266</v>
          </cell>
          <cell r="M19" t="str">
            <v/>
          </cell>
          <cell r="N19" t="str">
            <v>128</v>
          </cell>
        </row>
        <row r="20">
          <cell r="A20" t="str">
            <v>STACJA ROBOCZA</v>
          </cell>
          <cell r="B20" t="str">
            <v>KOMPUTER PC/AT</v>
          </cell>
          <cell r="C20" t="str">
            <v>491-1620/1585</v>
          </cell>
          <cell r="D20" t="str">
            <v>707688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100009</v>
          </cell>
          <cell r="K20" t="str">
            <v>491-01620-1585</v>
          </cell>
          <cell r="L20" t="str">
            <v>800</v>
          </cell>
          <cell r="M20" t="str">
            <v/>
          </cell>
          <cell r="N20" t="str">
            <v>96</v>
          </cell>
        </row>
        <row r="21">
          <cell r="A21" t="str">
            <v>STACJA ROBOCZA</v>
          </cell>
          <cell r="B21" t="str">
            <v>KOMPUTER 386SX</v>
          </cell>
          <cell r="C21" t="str">
            <v>491-1790</v>
          </cell>
          <cell r="D21" t="str">
            <v>021694/1707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100023</v>
          </cell>
          <cell r="K21" t="str">
            <v>491-01790</v>
          </cell>
          <cell r="L21" t="str">
            <v>333</v>
          </cell>
          <cell r="M21" t="str">
            <v/>
          </cell>
          <cell r="N21" t="str">
            <v>32</v>
          </cell>
        </row>
        <row r="22">
          <cell r="A22" t="str">
            <v>STACJA ROBOCZA</v>
          </cell>
          <cell r="B22" t="str">
            <v>COMPAQ DESKPRO 2000 DT 5120 M1080</v>
          </cell>
          <cell r="C22" t="str">
            <v>491-2750</v>
          </cell>
          <cell r="D22" t="str">
            <v>8651HVS51519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100016</v>
          </cell>
          <cell r="K22" t="str">
            <v/>
          </cell>
          <cell r="L22" t="str">
            <v>120</v>
          </cell>
          <cell r="M22" t="str">
            <v/>
          </cell>
          <cell r="N22" t="str">
            <v/>
          </cell>
        </row>
        <row r="23">
          <cell r="A23" t="str">
            <v>STACJA ROBOCZA</v>
          </cell>
          <cell r="B23" t="str">
            <v>COMPAQ DESKPRO EXD PIII 800</v>
          </cell>
          <cell r="C23" t="str">
            <v>491-4620</v>
          </cell>
          <cell r="D23" t="str">
            <v>8049FR4Z0C4X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100016</v>
          </cell>
          <cell r="K23" t="str">
            <v/>
          </cell>
          <cell r="L23" t="str">
            <v>800</v>
          </cell>
          <cell r="M23" t="str">
            <v/>
          </cell>
          <cell r="N23" t="str">
            <v/>
          </cell>
        </row>
        <row r="24">
          <cell r="A24" t="str">
            <v>STACJA ROBOCZA</v>
          </cell>
          <cell r="B24" t="str">
            <v>COMPAQ DESKPRO EXD PIII 800</v>
          </cell>
          <cell r="C24" t="str">
            <v>491-4622</v>
          </cell>
          <cell r="D24" t="str">
            <v>8049FR4Z0C05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100016</v>
          </cell>
          <cell r="K24" t="str">
            <v/>
          </cell>
          <cell r="L24" t="str">
            <v>800</v>
          </cell>
          <cell r="M24" t="str">
            <v/>
          </cell>
          <cell r="N24" t="str">
            <v/>
          </cell>
        </row>
        <row r="25">
          <cell r="A25" t="str">
            <v>STACJA ROBOCZA</v>
          </cell>
          <cell r="B25" t="str">
            <v>DELL Optiplex GX1L 266</v>
          </cell>
          <cell r="C25" t="str">
            <v>491-3272</v>
          </cell>
          <cell r="D25" t="str">
            <v>NM19G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100055</v>
          </cell>
          <cell r="K25" t="str">
            <v>ZRERQ111</v>
          </cell>
          <cell r="L25" t="str">
            <v>266</v>
          </cell>
          <cell r="M25" t="str">
            <v/>
          </cell>
          <cell r="N25" t="str">
            <v/>
          </cell>
        </row>
        <row r="26">
          <cell r="A26" t="str">
            <v>STACJA ROBOCZA</v>
          </cell>
          <cell r="B26" t="str">
            <v>NEC PowerMate VT Destop P III 450</v>
          </cell>
          <cell r="C26" t="str">
            <v>491-4012</v>
          </cell>
          <cell r="D26" t="str">
            <v>0307109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100016</v>
          </cell>
          <cell r="K26" t="str">
            <v/>
          </cell>
          <cell r="L26" t="str">
            <v>450</v>
          </cell>
          <cell r="M26" t="str">
            <v/>
          </cell>
          <cell r="N26" t="str">
            <v/>
          </cell>
        </row>
        <row r="27">
          <cell r="A27" t="str">
            <v>STACJA ROBOCZA</v>
          </cell>
          <cell r="B27" t="str">
            <v>COMPAQ DESKPRO EXD PIII 800</v>
          </cell>
          <cell r="C27" t="str">
            <v>491-4621</v>
          </cell>
          <cell r="D27" t="str">
            <v>8049FR4Z0C5L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100016</v>
          </cell>
          <cell r="K27" t="str">
            <v/>
          </cell>
          <cell r="L27" t="str">
            <v>800</v>
          </cell>
          <cell r="M27" t="str">
            <v/>
          </cell>
          <cell r="N27" t="str">
            <v/>
          </cell>
        </row>
        <row r="28">
          <cell r="A28" t="str">
            <v>STACJA ROBOCZA</v>
          </cell>
          <cell r="B28" t="str">
            <v>DELL Optiplex GX1L 266</v>
          </cell>
          <cell r="C28" t="str">
            <v>491-3313</v>
          </cell>
          <cell r="D28" t="str">
            <v>NM14N</v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100059</v>
          </cell>
          <cell r="K28" t="str">
            <v>ZWERENATAT</v>
          </cell>
          <cell r="L28" t="str">
            <v>266</v>
          </cell>
          <cell r="M28" t="str">
            <v/>
          </cell>
          <cell r="N28" t="str">
            <v/>
          </cell>
        </row>
        <row r="29">
          <cell r="A29" t="str">
            <v>STACJA ROBOCZA</v>
          </cell>
          <cell r="B29" t="str">
            <v>DELL Optiplex SX270</v>
          </cell>
          <cell r="C29" t="str">
            <v>491-</v>
          </cell>
          <cell r="D29" t="str">
            <v>3TXNS0J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100008</v>
          </cell>
          <cell r="K29" t="str">
            <v>491-WALDEKP</v>
          </cell>
          <cell r="L29" t="str">
            <v/>
          </cell>
          <cell r="M29" t="str">
            <v/>
          </cell>
          <cell r="N29" t="str">
            <v/>
          </cell>
        </row>
        <row r="30">
          <cell r="A30" t="str">
            <v>STACJA ROBOCZA</v>
          </cell>
          <cell r="B30" t="str">
            <v>NEC PowerMate VT Destop P III 450</v>
          </cell>
          <cell r="C30" t="str">
            <v>491-4005</v>
          </cell>
          <cell r="D30" t="str">
            <v>0300109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100016</v>
          </cell>
          <cell r="K30" t="str">
            <v/>
          </cell>
          <cell r="L30" t="str">
            <v>450</v>
          </cell>
          <cell r="M30" t="str">
            <v/>
          </cell>
          <cell r="N30" t="str">
            <v/>
          </cell>
        </row>
        <row r="31">
          <cell r="A31" t="str">
            <v>STACJA ROBOCZA</v>
          </cell>
          <cell r="B31" t="str">
            <v>NEC PowerMate VT Destop P III 450</v>
          </cell>
          <cell r="C31" t="str">
            <v>491-3990</v>
          </cell>
          <cell r="D31" t="str">
            <v>0702109</v>
          </cell>
          <cell r="E31" t="str">
            <v xml:space="preserve">AB </v>
          </cell>
          <cell r="F31" t="str">
            <v xml:space="preserve">ŻAROWSKI                 JAN            </v>
          </cell>
          <cell r="G31" t="str">
            <v>U-13</v>
          </cell>
          <cell r="H31" t="str">
            <v>402</v>
          </cell>
          <cell r="I31" t="str">
            <v>14-25</v>
          </cell>
          <cell r="J31" t="str">
            <v>1791</v>
          </cell>
          <cell r="K31" t="str">
            <v>491-03990</v>
          </cell>
          <cell r="L31" t="str">
            <v>450</v>
          </cell>
          <cell r="M31" t="str">
            <v/>
          </cell>
          <cell r="N31" t="str">
            <v/>
          </cell>
        </row>
        <row r="32">
          <cell r="A32" t="str">
            <v>NOTEBOOK</v>
          </cell>
          <cell r="B32" t="str">
            <v>Dell Latitude</v>
          </cell>
          <cell r="C32" t="str">
            <v>491-3337</v>
          </cell>
          <cell r="D32" t="str">
            <v>Z53J9</v>
          </cell>
          <cell r="E32" t="str">
            <v xml:space="preserve">AB </v>
          </cell>
          <cell r="F32" t="str">
            <v xml:space="preserve">JAŻDŻYK                  KRZYSZTOF      </v>
          </cell>
          <cell r="G32" t="str">
            <v>U-13</v>
          </cell>
          <cell r="H32" t="str">
            <v>224</v>
          </cell>
          <cell r="I32" t="str">
            <v>13-74</v>
          </cell>
          <cell r="J32" t="str">
            <v>9098</v>
          </cell>
          <cell r="K32" t="str">
            <v/>
          </cell>
          <cell r="L32" t="str">
            <v>233</v>
          </cell>
          <cell r="M32" t="str">
            <v/>
          </cell>
          <cell r="N32" t="str">
            <v/>
          </cell>
        </row>
        <row r="33">
          <cell r="A33" t="str">
            <v>STACJA ROBOCZA</v>
          </cell>
          <cell r="B33" t="str">
            <v>NEC Direction Minitower P III 450</v>
          </cell>
          <cell r="C33" t="str">
            <v>491-3758</v>
          </cell>
          <cell r="D33" t="str">
            <v>0145109</v>
          </cell>
          <cell r="E33" t="str">
            <v xml:space="preserve">AB </v>
          </cell>
          <cell r="F33" t="str">
            <v xml:space="preserve">DYŁA                     ZBIGNIEW       </v>
          </cell>
          <cell r="G33" t="str">
            <v>U-13</v>
          </cell>
          <cell r="H33" t="str">
            <v>413</v>
          </cell>
          <cell r="I33" t="str">
            <v>28-61</v>
          </cell>
          <cell r="J33" t="str">
            <v>1666</v>
          </cell>
          <cell r="K33" t="str">
            <v>491-03758</v>
          </cell>
          <cell r="L33" t="str">
            <v>450</v>
          </cell>
          <cell r="M33" t="str">
            <v/>
          </cell>
          <cell r="N33" t="str">
            <v/>
          </cell>
        </row>
        <row r="34">
          <cell r="A34" t="str">
            <v>STACJA ROBOCZA</v>
          </cell>
          <cell r="B34" t="str">
            <v>DELL Optiplex GX1L 350</v>
          </cell>
          <cell r="C34" t="str">
            <v>491-3515</v>
          </cell>
          <cell r="D34" t="str">
            <v>PKGPH</v>
          </cell>
          <cell r="E34" t="str">
            <v xml:space="preserve">AB </v>
          </cell>
          <cell r="F34" t="str">
            <v xml:space="preserve">LISZEWSKI                WALDEMAR       </v>
          </cell>
          <cell r="G34" t="str">
            <v>U-13</v>
          </cell>
          <cell r="H34" t="str">
            <v>414</v>
          </cell>
          <cell r="I34" t="str">
            <v>41-14</v>
          </cell>
          <cell r="J34" t="str">
            <v>9667</v>
          </cell>
          <cell r="K34" t="str">
            <v>491-03515</v>
          </cell>
          <cell r="L34" t="str">
            <v>350</v>
          </cell>
          <cell r="M34" t="str">
            <v/>
          </cell>
          <cell r="N34" t="str">
            <v/>
          </cell>
        </row>
        <row r="35">
          <cell r="A35" t="str">
            <v>STACJA ROBOCZA</v>
          </cell>
          <cell r="B35" t="str">
            <v>DELL Optiplex GX260 SD</v>
          </cell>
          <cell r="C35" t="str">
            <v>491-5019</v>
          </cell>
          <cell r="D35" t="str">
            <v>2NPFL0J</v>
          </cell>
          <cell r="E35" t="str">
            <v xml:space="preserve">AB </v>
          </cell>
          <cell r="F35" t="str">
            <v xml:space="preserve">PIŁAT                    ANDRZEJ        </v>
          </cell>
          <cell r="G35" t="str">
            <v>U-13</v>
          </cell>
          <cell r="H35" t="str">
            <v>414</v>
          </cell>
          <cell r="I35" t="str">
            <v>21-24</v>
          </cell>
          <cell r="J35" t="str">
            <v>784</v>
          </cell>
          <cell r="K35" t="str">
            <v>491-05019</v>
          </cell>
          <cell r="L35" t="str">
            <v>2400</v>
          </cell>
          <cell r="M35" t="str">
            <v/>
          </cell>
          <cell r="N35" t="str">
            <v>254</v>
          </cell>
        </row>
        <row r="36">
          <cell r="A36" t="str">
            <v>STACJA ROBOCZA</v>
          </cell>
          <cell r="B36" t="str">
            <v>NEC Direction Minitower P III 450</v>
          </cell>
          <cell r="C36" t="str">
            <v>491-3757</v>
          </cell>
          <cell r="D36" t="str">
            <v>0132109</v>
          </cell>
          <cell r="E36" t="str">
            <v xml:space="preserve">AB </v>
          </cell>
          <cell r="F36" t="str">
            <v xml:space="preserve">MAJEWSKI                 ANDRZEJ        </v>
          </cell>
          <cell r="G36" t="str">
            <v>U-13</v>
          </cell>
          <cell r="H36" t="str">
            <v>408</v>
          </cell>
          <cell r="I36" t="str">
            <v>21-14</v>
          </cell>
          <cell r="J36" t="str">
            <v>3633</v>
          </cell>
          <cell r="K36" t="str">
            <v>491-03757</v>
          </cell>
          <cell r="L36" t="str">
            <v>450</v>
          </cell>
          <cell r="M36" t="str">
            <v/>
          </cell>
          <cell r="N36" t="str">
            <v>128</v>
          </cell>
        </row>
        <row r="37">
          <cell r="A37" t="str">
            <v>STACJA ROBOCZA</v>
          </cell>
          <cell r="B37" t="str">
            <v>DELL Optiplex GX150</v>
          </cell>
          <cell r="C37" t="str">
            <v>491-4777</v>
          </cell>
          <cell r="D37" t="str">
            <v>DVLZ60J</v>
          </cell>
          <cell r="E37" t="str">
            <v xml:space="preserve">AB </v>
          </cell>
          <cell r="F37" t="str">
            <v xml:space="preserve">NITECKI                  PAWEŁ          </v>
          </cell>
          <cell r="G37" t="str">
            <v>U-13</v>
          </cell>
          <cell r="H37" t="str">
            <v>229</v>
          </cell>
          <cell r="I37" t="str">
            <v>23-77</v>
          </cell>
          <cell r="J37" t="str">
            <v>9616</v>
          </cell>
          <cell r="K37" t="str">
            <v>491-04777</v>
          </cell>
          <cell r="L37" t="str">
            <v>1000</v>
          </cell>
          <cell r="M37" t="str">
            <v/>
          </cell>
          <cell r="N37" t="str">
            <v/>
          </cell>
        </row>
        <row r="38">
          <cell r="A38" t="str">
            <v>STACJA ROBOCZA</v>
          </cell>
          <cell r="B38" t="str">
            <v>ZENITH Z STATION P166</v>
          </cell>
          <cell r="C38" t="str">
            <v>491-3109</v>
          </cell>
          <cell r="D38" t="str">
            <v>GVDD72905579</v>
          </cell>
          <cell r="E38" t="str">
            <v xml:space="preserve">AB </v>
          </cell>
          <cell r="F38" t="str">
            <v xml:space="preserve">DYŁA                     ZBIGNIEW       </v>
          </cell>
          <cell r="G38" t="str">
            <v>U-13</v>
          </cell>
          <cell r="H38" t="str">
            <v>413</v>
          </cell>
          <cell r="I38" t="str">
            <v>28-61</v>
          </cell>
          <cell r="J38" t="str">
            <v>1666</v>
          </cell>
          <cell r="K38" t="str">
            <v>JACEKW</v>
          </cell>
          <cell r="L38" t="str">
            <v>166</v>
          </cell>
          <cell r="M38" t="str">
            <v>technologiczny bs</v>
          </cell>
          <cell r="N38" t="str">
            <v/>
          </cell>
        </row>
        <row r="39">
          <cell r="A39" t="str">
            <v>STACJA ROBOCZA</v>
          </cell>
          <cell r="B39" t="str">
            <v>NEC PMVT Desktop P III 450</v>
          </cell>
          <cell r="C39" t="str">
            <v>491-3841</v>
          </cell>
          <cell r="D39" t="str">
            <v>0203109</v>
          </cell>
          <cell r="E39" t="str">
            <v xml:space="preserve">AB </v>
          </cell>
          <cell r="F39" t="str">
            <v xml:space="preserve">SZKLAREK                 GRZEGORZ       </v>
          </cell>
          <cell r="G39" t="str">
            <v>U-13</v>
          </cell>
          <cell r="H39" t="str">
            <v>208</v>
          </cell>
          <cell r="I39" t="str">
            <v>24-56</v>
          </cell>
          <cell r="J39" t="str">
            <v>4451</v>
          </cell>
          <cell r="K39" t="str">
            <v>491-03841</v>
          </cell>
          <cell r="L39" t="str">
            <v>450</v>
          </cell>
          <cell r="M39" t="str">
            <v/>
          </cell>
          <cell r="N39" t="str">
            <v/>
          </cell>
        </row>
        <row r="40">
          <cell r="A40" t="str">
            <v>NOTEBOOK</v>
          </cell>
          <cell r="B40" t="str">
            <v>ZENITH NOTEBOOK</v>
          </cell>
          <cell r="C40" t="str">
            <v>491-3149</v>
          </cell>
          <cell r="D40" t="str">
            <v>7184300000</v>
          </cell>
          <cell r="E40" t="str">
            <v xml:space="preserve">AB </v>
          </cell>
          <cell r="F40" t="str">
            <v xml:space="preserve">NITECKI                  PAWEŁ          </v>
          </cell>
          <cell r="G40" t="str">
            <v>U-13</v>
          </cell>
          <cell r="H40" t="str">
            <v>229</v>
          </cell>
          <cell r="I40" t="str">
            <v>23-77</v>
          </cell>
          <cell r="J40" t="str">
            <v>9616</v>
          </cell>
          <cell r="K40" t="str">
            <v/>
          </cell>
          <cell r="L40" t="str">
            <v>0</v>
          </cell>
          <cell r="M40" t="str">
            <v>technologiczny bs</v>
          </cell>
          <cell r="N40" t="str">
            <v/>
          </cell>
        </row>
        <row r="41">
          <cell r="A41" t="str">
            <v>STACJA ROBOCZA</v>
          </cell>
          <cell r="B41" t="str">
            <v>NEC PMVT Desktop P III 450</v>
          </cell>
          <cell r="C41" t="str">
            <v>491-3840</v>
          </cell>
          <cell r="D41" t="str">
            <v>0187109</v>
          </cell>
          <cell r="E41" t="str">
            <v xml:space="preserve">AB </v>
          </cell>
          <cell r="F41" t="str">
            <v xml:space="preserve">WIJATA                   RYSZARD        </v>
          </cell>
          <cell r="G41" t="str">
            <v>U-13</v>
          </cell>
          <cell r="H41" t="str">
            <v>410</v>
          </cell>
          <cell r="I41" t="str">
            <v>28-62</v>
          </cell>
          <cell r="J41" t="str">
            <v>1924</v>
          </cell>
          <cell r="K41" t="str">
            <v>491-03840</v>
          </cell>
          <cell r="L41" t="str">
            <v>450</v>
          </cell>
          <cell r="M41" t="str">
            <v/>
          </cell>
          <cell r="N41" t="str">
            <v>128</v>
          </cell>
        </row>
        <row r="42">
          <cell r="A42" t="str">
            <v>STACJA ROBOCZA</v>
          </cell>
          <cell r="B42" t="str">
            <v>DELL Optiplex GX1L 266</v>
          </cell>
          <cell r="C42" t="str">
            <v>491-3330</v>
          </cell>
          <cell r="D42" t="str">
            <v>NM1HS</v>
          </cell>
          <cell r="E42" t="str">
            <v xml:space="preserve">AB </v>
          </cell>
          <cell r="F42" t="str">
            <v xml:space="preserve">KOBYŁECKI                MARIAN         </v>
          </cell>
          <cell r="G42" t="str">
            <v>U-13</v>
          </cell>
          <cell r="H42" t="str">
            <v>223</v>
          </cell>
          <cell r="I42" t="str">
            <v>34-17</v>
          </cell>
          <cell r="J42" t="str">
            <v>9046</v>
          </cell>
          <cell r="K42" t="str">
            <v/>
          </cell>
          <cell r="L42" t="str">
            <v>266</v>
          </cell>
          <cell r="M42" t="str">
            <v/>
          </cell>
          <cell r="N42" t="str">
            <v/>
          </cell>
        </row>
        <row r="43">
          <cell r="A43" t="str">
            <v>STACJA ROBOCZA</v>
          </cell>
          <cell r="B43" t="str">
            <v>DELL Optiplex GX1L 266</v>
          </cell>
          <cell r="C43" t="str">
            <v>491-3387</v>
          </cell>
          <cell r="D43" t="str">
            <v>NM1BF</v>
          </cell>
          <cell r="E43" t="str">
            <v xml:space="preserve">AB </v>
          </cell>
          <cell r="F43" t="str">
            <v xml:space="preserve">JAKUBOWSKI               ZBIGNIEW       </v>
          </cell>
          <cell r="G43" t="str">
            <v>U-13</v>
          </cell>
          <cell r="H43" t="str">
            <v>201</v>
          </cell>
          <cell r="I43" t="str">
            <v>27-73</v>
          </cell>
          <cell r="J43" t="str">
            <v>4501</v>
          </cell>
          <cell r="K43" t="str">
            <v>491-03387</v>
          </cell>
          <cell r="L43" t="str">
            <v>266</v>
          </cell>
          <cell r="M43" t="str">
            <v/>
          </cell>
          <cell r="N43" t="str">
            <v/>
          </cell>
        </row>
        <row r="44">
          <cell r="A44" t="str">
            <v>STACJA ROBOCZA</v>
          </cell>
          <cell r="B44" t="str">
            <v>NEC PowerMate VT Destop P III 450</v>
          </cell>
          <cell r="C44" t="str">
            <v>491-3868</v>
          </cell>
          <cell r="D44" t="str">
            <v>0708109</v>
          </cell>
          <cell r="E44" t="str">
            <v xml:space="preserve">AB </v>
          </cell>
          <cell r="F44" t="str">
            <v xml:space="preserve">PRAŁAT                   TADEUSZ        </v>
          </cell>
          <cell r="G44" t="str">
            <v>U-13</v>
          </cell>
          <cell r="H44" t="str">
            <v>209</v>
          </cell>
          <cell r="I44" t="str">
            <v>17-99</v>
          </cell>
          <cell r="J44" t="str">
            <v>1484</v>
          </cell>
          <cell r="K44" t="str">
            <v>491-03868</v>
          </cell>
          <cell r="L44" t="str">
            <v>450</v>
          </cell>
          <cell r="M44" t="str">
            <v/>
          </cell>
          <cell r="N44" t="str">
            <v/>
          </cell>
        </row>
        <row r="45">
          <cell r="A45" t="str">
            <v>STACJA ROBOCZA</v>
          </cell>
          <cell r="B45" t="str">
            <v>NEC PMVT Desktop P III 450</v>
          </cell>
          <cell r="C45" t="str">
            <v>491-3809</v>
          </cell>
          <cell r="D45" t="str">
            <v>0197109</v>
          </cell>
          <cell r="E45" t="str">
            <v xml:space="preserve">AB </v>
          </cell>
          <cell r="F45" t="str">
            <v xml:space="preserve">SIERSZEŃ                 JERZY          </v>
          </cell>
          <cell r="G45" t="str">
            <v>U-13</v>
          </cell>
          <cell r="H45" t="str">
            <v>230</v>
          </cell>
          <cell r="I45" t="str">
            <v>27-79</v>
          </cell>
          <cell r="J45" t="str">
            <v>992</v>
          </cell>
          <cell r="K45" t="str">
            <v>491-03809</v>
          </cell>
          <cell r="L45" t="str">
            <v>450</v>
          </cell>
          <cell r="M45" t="str">
            <v/>
          </cell>
          <cell r="N45" t="str">
            <v>128</v>
          </cell>
        </row>
        <row r="46">
          <cell r="A46" t="str">
            <v>STACJA ROBOCZA</v>
          </cell>
          <cell r="B46" t="str">
            <v>KOMPUTER 486DX</v>
          </cell>
          <cell r="C46" t="str">
            <v>491-1620/11309</v>
          </cell>
          <cell r="D46" t="str">
            <v>11309/075</v>
          </cell>
          <cell r="E46" t="str">
            <v xml:space="preserve">AB </v>
          </cell>
          <cell r="F46" t="str">
            <v xml:space="preserve">NOWACKI                  JERZY          </v>
          </cell>
          <cell r="G46" t="str">
            <v>U-13</v>
          </cell>
          <cell r="H46" t="str">
            <v>411</v>
          </cell>
          <cell r="I46" t="str">
            <v>28-83</v>
          </cell>
          <cell r="J46" t="str">
            <v>2830</v>
          </cell>
          <cell r="K46" t="str">
            <v>491-01620-11309</v>
          </cell>
          <cell r="L46" t="str">
            <v>0</v>
          </cell>
          <cell r="M46" t="str">
            <v/>
          </cell>
          <cell r="N46" t="str">
            <v/>
          </cell>
        </row>
        <row r="47">
          <cell r="A47" t="str">
            <v>NOTEBOOK</v>
          </cell>
          <cell r="B47" t="str">
            <v>Dell Latitude CPi 300XT</v>
          </cell>
          <cell r="C47" t="str">
            <v>491-3575</v>
          </cell>
          <cell r="D47" t="str">
            <v>ZL83X</v>
          </cell>
          <cell r="E47" t="str">
            <v xml:space="preserve">AB </v>
          </cell>
          <cell r="F47" t="str">
            <v xml:space="preserve">ŁĄGWA                    MIROSŁAW       </v>
          </cell>
          <cell r="G47" t="str">
            <v>U-13</v>
          </cell>
          <cell r="H47" t="str">
            <v>209</v>
          </cell>
          <cell r="I47" t="str">
            <v>17-99</v>
          </cell>
          <cell r="J47" t="str">
            <v>3295</v>
          </cell>
          <cell r="K47" t="str">
            <v/>
          </cell>
          <cell r="L47" t="str">
            <v>300</v>
          </cell>
          <cell r="M47" t="str">
            <v>uszkodzona karta sieciowa</v>
          </cell>
          <cell r="N47" t="str">
            <v/>
          </cell>
        </row>
        <row r="48">
          <cell r="A48" t="str">
            <v>NOTEBOOK</v>
          </cell>
          <cell r="B48" t="str">
            <v>Dell Latitude</v>
          </cell>
          <cell r="C48" t="str">
            <v>491-3339</v>
          </cell>
          <cell r="D48" t="str">
            <v>Z54C4</v>
          </cell>
          <cell r="E48" t="str">
            <v xml:space="preserve">AB </v>
          </cell>
          <cell r="F48" t="str">
            <v xml:space="preserve">PIŁAT                    ANDRZEJ        </v>
          </cell>
          <cell r="G48" t="str">
            <v>U-13</v>
          </cell>
          <cell r="H48" t="str">
            <v>414</v>
          </cell>
          <cell r="I48" t="str">
            <v>21-24</v>
          </cell>
          <cell r="J48" t="str">
            <v>784</v>
          </cell>
          <cell r="K48" t="str">
            <v/>
          </cell>
          <cell r="L48" t="str">
            <v>233</v>
          </cell>
          <cell r="M48" t="str">
            <v/>
          </cell>
          <cell r="N48" t="str">
            <v/>
          </cell>
        </row>
        <row r="49">
          <cell r="A49" t="str">
            <v>NOTEBOOK</v>
          </cell>
          <cell r="B49" t="str">
            <v>Dell Latitude CPi 300XT</v>
          </cell>
          <cell r="C49" t="str">
            <v>491-3571</v>
          </cell>
          <cell r="D49" t="str">
            <v>ZL82Y</v>
          </cell>
          <cell r="E49" t="str">
            <v xml:space="preserve">AB </v>
          </cell>
          <cell r="F49" t="str">
            <v xml:space="preserve">STELMASZCZYK             BOGUSŁAW       </v>
          </cell>
          <cell r="G49" t="str">
            <v>U-13</v>
          </cell>
          <cell r="H49" t="str">
            <v>228</v>
          </cell>
          <cell r="I49" t="str">
            <v>14-25</v>
          </cell>
          <cell r="J49" t="str">
            <v>999</v>
          </cell>
          <cell r="K49" t="str">
            <v/>
          </cell>
          <cell r="L49" t="str">
            <v>300</v>
          </cell>
          <cell r="M49" t="str">
            <v>JMAS: w naprawie</v>
          </cell>
          <cell r="N49" t="str">
            <v/>
          </cell>
        </row>
        <row r="50">
          <cell r="A50" t="str">
            <v>STACJA ROBOCZA</v>
          </cell>
          <cell r="B50" t="str">
            <v>COMPAQ DESKPRO EXD PIII 733</v>
          </cell>
          <cell r="C50" t="str">
            <v>491-4272</v>
          </cell>
          <cell r="D50" t="str">
            <v>8037FR4Z2740</v>
          </cell>
          <cell r="E50" t="str">
            <v xml:space="preserve">AB </v>
          </cell>
          <cell r="F50" t="str">
            <v xml:space="preserve">BEDNARCZYK               ARKADIUSZ      </v>
          </cell>
          <cell r="G50" t="str">
            <v>U-14</v>
          </cell>
          <cell r="H50" t="str">
            <v>223</v>
          </cell>
          <cell r="I50" t="str">
            <v>41-13</v>
          </cell>
          <cell r="J50" t="str">
            <v>9499</v>
          </cell>
          <cell r="K50" t="str">
            <v>491-04272</v>
          </cell>
          <cell r="L50" t="str">
            <v>733</v>
          </cell>
          <cell r="M50" t="str">
            <v/>
          </cell>
          <cell r="N50" t="str">
            <v/>
          </cell>
        </row>
        <row r="51">
          <cell r="A51" t="str">
            <v>STACJA ROBOCZA</v>
          </cell>
          <cell r="B51" t="str">
            <v>DELL Optiplex GX1MT 350</v>
          </cell>
          <cell r="C51" t="str">
            <v>491-3497</v>
          </cell>
          <cell r="D51" t="str">
            <v>PKN48</v>
          </cell>
          <cell r="E51" t="str">
            <v xml:space="preserve">AB </v>
          </cell>
          <cell r="F51" t="str">
            <v xml:space="preserve">MISZCZAK                 GRZEGORZ       </v>
          </cell>
          <cell r="G51" t="str">
            <v>U-13</v>
          </cell>
          <cell r="H51" t="str">
            <v>202</v>
          </cell>
          <cell r="I51" t="str">
            <v>27-76</v>
          </cell>
          <cell r="J51" t="str">
            <v>3590</v>
          </cell>
          <cell r="K51" t="str">
            <v>491-03497</v>
          </cell>
          <cell r="L51" t="str">
            <v>350</v>
          </cell>
          <cell r="M51" t="str">
            <v/>
          </cell>
          <cell r="N51" t="str">
            <v/>
          </cell>
        </row>
        <row r="52">
          <cell r="A52" t="str">
            <v>STACJA ROBOCZA</v>
          </cell>
          <cell r="B52" t="str">
            <v>NEC Direction Minitower P III 450</v>
          </cell>
          <cell r="C52" t="str">
            <v>491-3743</v>
          </cell>
          <cell r="D52" t="str">
            <v>0129109</v>
          </cell>
          <cell r="E52" t="str">
            <v xml:space="preserve">AB </v>
          </cell>
          <cell r="F52" t="str">
            <v xml:space="preserve">STELMASZCZYK             BOGUSŁAW       </v>
          </cell>
          <cell r="G52" t="str">
            <v>U-13</v>
          </cell>
          <cell r="H52" t="str">
            <v>228</v>
          </cell>
          <cell r="I52" t="str">
            <v>14-25</v>
          </cell>
          <cell r="J52" t="str">
            <v>999</v>
          </cell>
          <cell r="K52" t="str">
            <v>491-03743</v>
          </cell>
          <cell r="L52" t="str">
            <v>450</v>
          </cell>
          <cell r="M52" t="str">
            <v/>
          </cell>
          <cell r="N52" t="str">
            <v>128</v>
          </cell>
        </row>
        <row r="53">
          <cell r="A53" t="str">
            <v>STACJA ROBOCZA</v>
          </cell>
          <cell r="B53" t="str">
            <v>COMPAQ DESKPRO EXD PIII 733</v>
          </cell>
          <cell r="C53" t="str">
            <v>491-4284</v>
          </cell>
          <cell r="D53" t="str">
            <v>8036FR4Z6591</v>
          </cell>
          <cell r="E53" t="str">
            <v xml:space="preserve">AB </v>
          </cell>
          <cell r="F53" t="str">
            <v xml:space="preserve">PAWELEC                  ANDRZEJ        </v>
          </cell>
          <cell r="G53" t="str">
            <v>U-13</v>
          </cell>
          <cell r="H53" t="str">
            <v>224</v>
          </cell>
          <cell r="I53" t="str">
            <v>12-91</v>
          </cell>
          <cell r="J53" t="str">
            <v>806</v>
          </cell>
          <cell r="K53" t="str">
            <v>491-04284</v>
          </cell>
          <cell r="L53" t="str">
            <v>733</v>
          </cell>
          <cell r="M53" t="str">
            <v/>
          </cell>
          <cell r="N53" t="str">
            <v>127</v>
          </cell>
        </row>
        <row r="54">
          <cell r="A54" t="str">
            <v>STACJA ROBOCZA</v>
          </cell>
          <cell r="B54" t="str">
            <v>DELL Optiplex GX150</v>
          </cell>
          <cell r="C54" t="str">
            <v>491-4775</v>
          </cell>
          <cell r="D54" t="str">
            <v>2SRX60J</v>
          </cell>
          <cell r="E54" t="str">
            <v xml:space="preserve">AB </v>
          </cell>
          <cell r="F54" t="str">
            <v xml:space="preserve">PĘDZIWIATR               KRZYSZTOF      </v>
          </cell>
          <cell r="G54" t="str">
            <v>U-13</v>
          </cell>
          <cell r="H54" t="str">
            <v>226</v>
          </cell>
          <cell r="I54" t="str">
            <v>14-20</v>
          </cell>
          <cell r="J54" t="str">
            <v>777</v>
          </cell>
          <cell r="K54" t="str">
            <v>491-04775</v>
          </cell>
          <cell r="L54" t="str">
            <v>1000</v>
          </cell>
          <cell r="M54" t="str">
            <v/>
          </cell>
          <cell r="N54" t="str">
            <v/>
          </cell>
        </row>
        <row r="55">
          <cell r="A55" t="str">
            <v>STACJA ROBOCZA</v>
          </cell>
          <cell r="B55" t="str">
            <v>DELL Optiplex GX1L 266</v>
          </cell>
          <cell r="C55" t="str">
            <v>491-3371</v>
          </cell>
          <cell r="D55" t="str">
            <v>NM1BY</v>
          </cell>
          <cell r="E55" t="str">
            <v xml:space="preserve">AB </v>
          </cell>
          <cell r="F55" t="str">
            <v xml:space="preserve">BEDNARCZYK               ARKADIUSZ      </v>
          </cell>
          <cell r="G55" t="str">
            <v>U-14</v>
          </cell>
          <cell r="H55" t="str">
            <v>223</v>
          </cell>
          <cell r="I55" t="str">
            <v>41-13</v>
          </cell>
          <cell r="J55" t="str">
            <v>9499</v>
          </cell>
          <cell r="K55" t="str">
            <v>491-03731</v>
          </cell>
          <cell r="L55" t="str">
            <v>266</v>
          </cell>
          <cell r="M55" t="str">
            <v/>
          </cell>
          <cell r="N55" t="str">
            <v/>
          </cell>
        </row>
        <row r="56">
          <cell r="A56" t="str">
            <v>STACJA ROBOCZA</v>
          </cell>
          <cell r="B56" t="str">
            <v>COMPAQ DESKPRO EXD PIII 733</v>
          </cell>
          <cell r="C56" t="str">
            <v>491-4335</v>
          </cell>
          <cell r="D56" t="str">
            <v>8036FR4ZE585</v>
          </cell>
          <cell r="E56" t="str">
            <v xml:space="preserve">AB </v>
          </cell>
          <cell r="F56" t="str">
            <v xml:space="preserve">BIELEC                   JANUSZ         </v>
          </cell>
          <cell r="G56" t="str">
            <v>U-13</v>
          </cell>
          <cell r="H56" t="str">
            <v>226</v>
          </cell>
          <cell r="I56" t="str">
            <v>13-07</v>
          </cell>
          <cell r="J56" t="str">
            <v>23</v>
          </cell>
          <cell r="K56" t="str">
            <v>491-04335</v>
          </cell>
          <cell r="L56" t="str">
            <v>733</v>
          </cell>
          <cell r="M56" t="str">
            <v/>
          </cell>
          <cell r="N56" t="str">
            <v>255</v>
          </cell>
        </row>
        <row r="57">
          <cell r="A57" t="str">
            <v>STACJA ROBOCZA</v>
          </cell>
          <cell r="B57" t="str">
            <v>COMPAQ DESKPRO EXD PIII 733</v>
          </cell>
          <cell r="C57" t="str">
            <v>491-4326</v>
          </cell>
          <cell r="D57" t="str">
            <v>8036FR4Z6082</v>
          </cell>
          <cell r="E57" t="str">
            <v xml:space="preserve">AB </v>
          </cell>
          <cell r="F57" t="str">
            <v xml:space="preserve">JAŻDŻYK                  KRZYSZTOF      </v>
          </cell>
          <cell r="G57" t="str">
            <v>U-13</v>
          </cell>
          <cell r="H57" t="str">
            <v>224</v>
          </cell>
          <cell r="I57" t="str">
            <v>13-74</v>
          </cell>
          <cell r="J57" t="str">
            <v>9098</v>
          </cell>
          <cell r="K57" t="str">
            <v>491-04326</v>
          </cell>
          <cell r="L57" t="str">
            <v>733</v>
          </cell>
          <cell r="M57" t="str">
            <v/>
          </cell>
          <cell r="N57" t="str">
            <v/>
          </cell>
        </row>
        <row r="58">
          <cell r="A58" t="str">
            <v>STACJA ROBOCZA</v>
          </cell>
          <cell r="B58" t="str">
            <v>DELL Optiplex GX150</v>
          </cell>
          <cell r="C58" t="str">
            <v>491-4776</v>
          </cell>
          <cell r="D58" t="str">
            <v>HVLZ60J</v>
          </cell>
          <cell r="E58" t="str">
            <v xml:space="preserve">AB </v>
          </cell>
          <cell r="F58" t="str">
            <v xml:space="preserve">TOMCZUK                  RYSZARDA       </v>
          </cell>
          <cell r="G58" t="str">
            <v>U-13</v>
          </cell>
          <cell r="H58" t="str">
            <v>226</v>
          </cell>
          <cell r="I58" t="str">
            <v>13-84</v>
          </cell>
          <cell r="J58" t="str">
            <v>1031</v>
          </cell>
          <cell r="K58" t="str">
            <v>491-04776</v>
          </cell>
          <cell r="L58" t="str">
            <v>1000</v>
          </cell>
          <cell r="M58" t="str">
            <v/>
          </cell>
          <cell r="N58" t="str">
            <v>255</v>
          </cell>
        </row>
        <row r="59">
          <cell r="A59" t="str">
            <v>STACJA ROBOCZA</v>
          </cell>
          <cell r="B59" t="str">
            <v>DELL Optiplex GX1L 266</v>
          </cell>
          <cell r="C59" t="str">
            <v>491-3405</v>
          </cell>
          <cell r="D59" t="str">
            <v>NM1FX</v>
          </cell>
          <cell r="E59" t="str">
            <v xml:space="preserve">AB </v>
          </cell>
          <cell r="F59" t="str">
            <v xml:space="preserve">ANCZYKOWSKI              KRZYSZTOF      </v>
          </cell>
          <cell r="G59" t="str">
            <v>U-13</v>
          </cell>
          <cell r="H59" t="str">
            <v>409</v>
          </cell>
          <cell r="I59" t="str">
            <v>27-13</v>
          </cell>
          <cell r="J59" t="str">
            <v>2619</v>
          </cell>
          <cell r="K59" t="str">
            <v>491-03405</v>
          </cell>
          <cell r="L59" t="str">
            <v>266</v>
          </cell>
          <cell r="M59" t="str">
            <v/>
          </cell>
          <cell r="N59" t="str">
            <v>128</v>
          </cell>
        </row>
        <row r="60">
          <cell r="A60" t="str">
            <v>STACJA ROBOCZA</v>
          </cell>
          <cell r="B60" t="str">
            <v>DELL Optiplex GX260 SD</v>
          </cell>
          <cell r="C60" t="str">
            <v>491-5020</v>
          </cell>
          <cell r="D60" t="str">
            <v>3NPFL0J</v>
          </cell>
          <cell r="E60" t="str">
            <v xml:space="preserve">AB </v>
          </cell>
          <cell r="F60" t="str">
            <v xml:space="preserve">CHRUŚCIŃSKI              ANDRZEJ        </v>
          </cell>
          <cell r="G60" t="str">
            <v>U-13</v>
          </cell>
          <cell r="H60" t="str">
            <v>229</v>
          </cell>
          <cell r="I60" t="str">
            <v>14-24</v>
          </cell>
          <cell r="J60" t="str">
            <v>129</v>
          </cell>
          <cell r="K60" t="str">
            <v>491-05020</v>
          </cell>
          <cell r="L60" t="str">
            <v>2400</v>
          </cell>
          <cell r="M60" t="str">
            <v/>
          </cell>
          <cell r="N60" t="str">
            <v>254</v>
          </cell>
        </row>
        <row r="61">
          <cell r="A61" t="str">
            <v>STACJA ROBOCZA</v>
          </cell>
          <cell r="B61" t="str">
            <v>COMPAQ DESKPRO EXD PIII 733</v>
          </cell>
          <cell r="C61" t="str">
            <v>491-4392</v>
          </cell>
          <cell r="D61" t="str">
            <v>8037FR4Z2723</v>
          </cell>
          <cell r="E61" t="str">
            <v xml:space="preserve">AB </v>
          </cell>
          <cell r="F61" t="str">
            <v xml:space="preserve">KOBYŁECKI                MARIAN         </v>
          </cell>
          <cell r="G61" t="str">
            <v>U-13</v>
          </cell>
          <cell r="H61" t="str">
            <v>223</v>
          </cell>
          <cell r="I61" t="str">
            <v>34-17</v>
          </cell>
          <cell r="J61" t="str">
            <v>9046</v>
          </cell>
          <cell r="K61" t="str">
            <v>491-04392</v>
          </cell>
          <cell r="L61" t="str">
            <v>733</v>
          </cell>
          <cell r="M61" t="str">
            <v/>
          </cell>
          <cell r="N61" t="str">
            <v/>
          </cell>
        </row>
        <row r="62">
          <cell r="A62" t="str">
            <v>STACJA ROBOCZA</v>
          </cell>
          <cell r="B62" t="str">
            <v>NEC PowerMate VT Destop P III 450</v>
          </cell>
          <cell r="C62" t="str">
            <v>491-3989</v>
          </cell>
          <cell r="D62" t="str">
            <v>0705109</v>
          </cell>
          <cell r="E62" t="str">
            <v xml:space="preserve">AB </v>
          </cell>
          <cell r="F62" t="str">
            <v xml:space="preserve">BURZYŃSKI                ADAM           </v>
          </cell>
          <cell r="G62" t="str">
            <v>U-13</v>
          </cell>
          <cell r="H62" t="str">
            <v>206</v>
          </cell>
          <cell r="I62" t="str">
            <v>24-57</v>
          </cell>
          <cell r="J62" t="str">
            <v>1223</v>
          </cell>
          <cell r="K62" t="str">
            <v>491-03989</v>
          </cell>
          <cell r="L62" t="str">
            <v>450</v>
          </cell>
          <cell r="M62" t="str">
            <v/>
          </cell>
          <cell r="N62" t="str">
            <v/>
          </cell>
        </row>
        <row r="63">
          <cell r="A63" t="str">
            <v>STACJA ROBOCZA</v>
          </cell>
          <cell r="B63" t="str">
            <v>DELL Optiplex GX150</v>
          </cell>
          <cell r="C63" t="str">
            <v>491-4778</v>
          </cell>
          <cell r="D63" t="str">
            <v>8RRX60J</v>
          </cell>
          <cell r="E63" t="str">
            <v xml:space="preserve">AB </v>
          </cell>
          <cell r="F63" t="str">
            <v xml:space="preserve">BIELECKA                 TERESA         </v>
          </cell>
          <cell r="G63" t="str">
            <v>U-13</v>
          </cell>
          <cell r="H63" t="str">
            <v>225</v>
          </cell>
          <cell r="I63" t="str">
            <v>12-68</v>
          </cell>
          <cell r="J63" t="str">
            <v>8197</v>
          </cell>
          <cell r="K63" t="str">
            <v>491-04778</v>
          </cell>
          <cell r="L63" t="str">
            <v>1000</v>
          </cell>
          <cell r="M63" t="str">
            <v/>
          </cell>
          <cell r="N63" t="str">
            <v>255</v>
          </cell>
        </row>
        <row r="64">
          <cell r="A64" t="str">
            <v>STACJA ROBOCZA</v>
          </cell>
          <cell r="B64" t="str">
            <v>COMPAQ DESKPRO EXD PIII 733</v>
          </cell>
          <cell r="C64" t="str">
            <v>491-4378</v>
          </cell>
          <cell r="D64" t="str">
            <v>8036FR4ZE270</v>
          </cell>
          <cell r="E64" t="str">
            <v xml:space="preserve">AB </v>
          </cell>
          <cell r="F64" t="str">
            <v xml:space="preserve">IGNASIAK                 GRZEGORZ       </v>
          </cell>
          <cell r="G64" t="str">
            <v>U-13</v>
          </cell>
          <cell r="H64" t="str">
            <v>230</v>
          </cell>
          <cell r="I64" t="str">
            <v>14-22</v>
          </cell>
          <cell r="J64" t="str">
            <v>297</v>
          </cell>
          <cell r="K64" t="str">
            <v>491-04378</v>
          </cell>
          <cell r="L64" t="str">
            <v>733</v>
          </cell>
          <cell r="M64" t="str">
            <v/>
          </cell>
          <cell r="N64" t="str">
            <v/>
          </cell>
        </row>
        <row r="65">
          <cell r="A65" t="str">
            <v>STACJA ROBOCZA</v>
          </cell>
          <cell r="B65" t="str">
            <v>DELL Optiplex GX1L 266</v>
          </cell>
          <cell r="C65" t="str">
            <v>491-3322</v>
          </cell>
          <cell r="D65" t="str">
            <v>NM1H7</v>
          </cell>
          <cell r="E65" t="str">
            <v xml:space="preserve">AB </v>
          </cell>
          <cell r="F65" t="str">
            <v xml:space="preserve">PRZYŁUCKI                PIOTR          </v>
          </cell>
          <cell r="G65" t="str">
            <v>U-13</v>
          </cell>
          <cell r="H65" t="str">
            <v>408</v>
          </cell>
          <cell r="I65" t="str">
            <v>13-76</v>
          </cell>
          <cell r="J65" t="str">
            <v>1818</v>
          </cell>
          <cell r="K65" t="str">
            <v>491-03322</v>
          </cell>
          <cell r="L65" t="str">
            <v>266</v>
          </cell>
          <cell r="M65" t="str">
            <v/>
          </cell>
          <cell r="N65" t="str">
            <v>128</v>
          </cell>
        </row>
        <row r="66">
          <cell r="A66" t="str">
            <v>NOTEBOOK</v>
          </cell>
          <cell r="B66" t="str">
            <v>COMPAQ ARMADA E500  PIII 600</v>
          </cell>
          <cell r="C66" t="str">
            <v>491-4375</v>
          </cell>
          <cell r="D66" t="str">
            <v>7J0ADN98Y01J</v>
          </cell>
          <cell r="E66" t="str">
            <v xml:space="preserve">AB </v>
          </cell>
          <cell r="F66" t="str">
            <v xml:space="preserve">PĘDZIWIATR               KRZYSZTOF      </v>
          </cell>
          <cell r="G66" t="str">
            <v>U-13</v>
          </cell>
          <cell r="H66" t="str">
            <v>226</v>
          </cell>
          <cell r="I66" t="str">
            <v>14-20</v>
          </cell>
          <cell r="J66" t="str">
            <v>777</v>
          </cell>
          <cell r="K66" t="str">
            <v/>
          </cell>
          <cell r="L66" t="str">
            <v>600</v>
          </cell>
          <cell r="M66" t="str">
            <v/>
          </cell>
          <cell r="N66" t="str">
            <v/>
          </cell>
        </row>
        <row r="67">
          <cell r="A67" t="str">
            <v>STACJA ROBOCZA</v>
          </cell>
          <cell r="B67" t="str">
            <v>NEC PowerMate VT Destop P III 450</v>
          </cell>
          <cell r="C67" t="str">
            <v>491-3857</v>
          </cell>
          <cell r="D67" t="str">
            <v>0697109</v>
          </cell>
          <cell r="E67" t="str">
            <v xml:space="preserve">AB </v>
          </cell>
          <cell r="F67" t="str">
            <v xml:space="preserve">KOŁODZIEJSKI             MIROSŁAW       </v>
          </cell>
          <cell r="G67" t="str">
            <v>U-13</v>
          </cell>
          <cell r="H67" t="str">
            <v>210</v>
          </cell>
          <cell r="I67" t="str">
            <v>24-67</v>
          </cell>
          <cell r="J67" t="str">
            <v>8219</v>
          </cell>
          <cell r="K67" t="str">
            <v>491-03857</v>
          </cell>
          <cell r="L67" t="str">
            <v>450</v>
          </cell>
          <cell r="M67" t="str">
            <v/>
          </cell>
          <cell r="N67" t="str">
            <v/>
          </cell>
        </row>
        <row r="68">
          <cell r="A68" t="str">
            <v>STACJA ROBOCZA</v>
          </cell>
          <cell r="B68" t="str">
            <v>NEC Direction Minitower P III 450</v>
          </cell>
          <cell r="C68" t="str">
            <v>491-3742</v>
          </cell>
          <cell r="D68" t="str">
            <v>0127109</v>
          </cell>
          <cell r="E68" t="str">
            <v xml:space="preserve">AB </v>
          </cell>
          <cell r="F68" t="str">
            <v xml:space="preserve">DĄBROWSKI                ANDRZEJ        </v>
          </cell>
          <cell r="G68" t="str">
            <v>U-13</v>
          </cell>
          <cell r="H68" t="str">
            <v>228</v>
          </cell>
          <cell r="I68" t="str">
            <v>27-75</v>
          </cell>
          <cell r="J68" t="str">
            <v>149</v>
          </cell>
          <cell r="K68" t="str">
            <v>491-03742</v>
          </cell>
          <cell r="L68" t="str">
            <v>450</v>
          </cell>
          <cell r="M68" t="str">
            <v/>
          </cell>
          <cell r="N68" t="str">
            <v/>
          </cell>
        </row>
        <row r="69">
          <cell r="A69" t="str">
            <v>STACJA ROBOCZA</v>
          </cell>
          <cell r="B69" t="str">
            <v>KOMPUTER 386SX</v>
          </cell>
          <cell r="C69" t="str">
            <v>491-1795</v>
          </cell>
          <cell r="D69" t="str">
            <v>019020/1702</v>
          </cell>
          <cell r="E69" t="str">
            <v xml:space="preserve">AB </v>
          </cell>
          <cell r="F69" t="str">
            <v xml:space="preserve">PIENIAS                  IWONA          </v>
          </cell>
          <cell r="G69" t="str">
            <v>U-13</v>
          </cell>
          <cell r="H69" t="str">
            <v>207</v>
          </cell>
          <cell r="I69" t="str">
            <v>41-15</v>
          </cell>
          <cell r="J69" t="str">
            <v>750</v>
          </cell>
          <cell r="K69" t="str">
            <v>491-01795</v>
          </cell>
          <cell r="L69" t="str">
            <v>550</v>
          </cell>
          <cell r="M69" t="str">
            <v/>
          </cell>
          <cell r="N69" t="str">
            <v>128</v>
          </cell>
        </row>
        <row r="70">
          <cell r="A70" t="str">
            <v>NOTEBOOK</v>
          </cell>
          <cell r="B70" t="str">
            <v>COMPAQ ARMADA E500  PIII 600</v>
          </cell>
          <cell r="C70" t="str">
            <v>491-4350</v>
          </cell>
          <cell r="D70" t="str">
            <v>7J0ADN98Y00K</v>
          </cell>
          <cell r="E70" t="str">
            <v xml:space="preserve">AB </v>
          </cell>
          <cell r="F70" t="str">
            <v xml:space="preserve">BIELEC                   JANUSZ         </v>
          </cell>
          <cell r="G70" t="str">
            <v>U-13</v>
          </cell>
          <cell r="H70" t="str">
            <v>226</v>
          </cell>
          <cell r="I70" t="str">
            <v>13-07</v>
          </cell>
          <cell r="J70" t="str">
            <v>23</v>
          </cell>
          <cell r="K70" t="str">
            <v/>
          </cell>
          <cell r="L70" t="str">
            <v>600</v>
          </cell>
          <cell r="M70" t="str">
            <v/>
          </cell>
          <cell r="N70" t="str">
            <v/>
          </cell>
        </row>
        <row r="71">
          <cell r="A71" t="str">
            <v>NOTEBOOK</v>
          </cell>
          <cell r="B71" t="str">
            <v>NEC VERSA SX PII 366 14.1" XGA TFT</v>
          </cell>
          <cell r="C71" t="str">
            <v>491-3843</v>
          </cell>
          <cell r="D71" t="str">
            <v>G834900008</v>
          </cell>
          <cell r="E71" t="str">
            <v xml:space="preserve">AB </v>
          </cell>
          <cell r="F71" t="str">
            <v xml:space="preserve">DĄBROWSKI                ANDRZEJ        </v>
          </cell>
          <cell r="G71" t="str">
            <v>U-13</v>
          </cell>
          <cell r="H71" t="str">
            <v>228</v>
          </cell>
          <cell r="I71" t="str">
            <v>27-75</v>
          </cell>
          <cell r="J71" t="str">
            <v>149</v>
          </cell>
          <cell r="K71" t="str">
            <v/>
          </cell>
          <cell r="L71" t="str">
            <v>366</v>
          </cell>
          <cell r="M71" t="str">
            <v>JMAS: brak sieci</v>
          </cell>
          <cell r="N71" t="str">
            <v/>
          </cell>
        </row>
        <row r="72">
          <cell r="A72" t="str">
            <v>STACJA ROBOCZA</v>
          </cell>
          <cell r="B72" t="str">
            <v>COMPAQ DESKPRO EXD PIII 733</v>
          </cell>
          <cell r="C72" t="str">
            <v>491-4471</v>
          </cell>
          <cell r="D72" t="str">
            <v>8036FR4ZE247</v>
          </cell>
          <cell r="E72" t="str">
            <v xml:space="preserve">AF </v>
          </cell>
          <cell r="F72" t="str">
            <v xml:space="preserve">HACHULSKA                DANUTA         </v>
          </cell>
          <cell r="G72" t="str">
            <v>U-13</v>
          </cell>
          <cell r="H72" t="str">
            <v>231</v>
          </cell>
          <cell r="I72" t="str">
            <v>20-02</v>
          </cell>
          <cell r="J72" t="str">
            <v>8187</v>
          </cell>
          <cell r="K72" t="str">
            <v>491-04471</v>
          </cell>
          <cell r="L72" t="str">
            <v>733</v>
          </cell>
          <cell r="M72" t="str">
            <v/>
          </cell>
          <cell r="N72" t="str">
            <v/>
          </cell>
        </row>
        <row r="73">
          <cell r="A73" t="str">
            <v>STACJA ROBOCZA</v>
          </cell>
          <cell r="B73" t="str">
            <v>KOMPUTER 486DX</v>
          </cell>
          <cell r="C73" t="str">
            <v>491-1620/11317</v>
          </cell>
          <cell r="D73" t="str">
            <v>11317/075</v>
          </cell>
          <cell r="E73" t="str">
            <v xml:space="preserve">AF </v>
          </cell>
          <cell r="F73" t="str">
            <v xml:space="preserve">PIEKUTOWSKA              MAŁGORZATA     </v>
          </cell>
          <cell r="G73" t="str">
            <v>U-13</v>
          </cell>
          <cell r="H73" t="str">
            <v>231</v>
          </cell>
          <cell r="I73" t="str">
            <v>20-02</v>
          </cell>
          <cell r="J73" t="str">
            <v>722</v>
          </cell>
          <cell r="K73" t="str">
            <v/>
          </cell>
          <cell r="L73" t="str">
            <v>0</v>
          </cell>
          <cell r="M73" t="str">
            <v/>
          </cell>
          <cell r="N73" t="str">
            <v/>
          </cell>
        </row>
        <row r="74">
          <cell r="A74" t="str">
            <v>STACJA ROBOCZA</v>
          </cell>
          <cell r="B74" t="str">
            <v>DELL Optiplex GX260 SD</v>
          </cell>
          <cell r="C74" t="str">
            <v>491-5083</v>
          </cell>
          <cell r="D74" t="str">
            <v>CKYGL0J</v>
          </cell>
          <cell r="E74" t="str">
            <v xml:space="preserve">AF </v>
          </cell>
          <cell r="F74" t="str">
            <v xml:space="preserve">KOWALSKA                 BOŻENA         </v>
          </cell>
          <cell r="G74" t="str">
            <v>U-14</v>
          </cell>
          <cell r="H74" t="str">
            <v>705</v>
          </cell>
          <cell r="I74" t="str">
            <v>23-30</v>
          </cell>
          <cell r="J74" t="str">
            <v>485</v>
          </cell>
          <cell r="K74" t="str">
            <v>491-05083</v>
          </cell>
          <cell r="L74" t="str">
            <v>2400</v>
          </cell>
          <cell r="M74" t="str">
            <v/>
          </cell>
          <cell r="N74" t="str">
            <v>254</v>
          </cell>
        </row>
        <row r="75">
          <cell r="A75" t="str">
            <v>STACJA ROBOCZA</v>
          </cell>
          <cell r="B75" t="str">
            <v>COMPAQ DESKPRO EXD PIII 733</v>
          </cell>
          <cell r="C75" t="str">
            <v>491-4452</v>
          </cell>
          <cell r="D75" t="str">
            <v>8036FR4ZE239</v>
          </cell>
          <cell r="E75" t="str">
            <v xml:space="preserve">AF </v>
          </cell>
          <cell r="F75" t="str">
            <v xml:space="preserve">ZIELONKA                 JERZY          </v>
          </cell>
          <cell r="G75" t="str">
            <v>U-13</v>
          </cell>
          <cell r="H75" t="str">
            <v>231</v>
          </cell>
          <cell r="I75" t="str">
            <v>14-27</v>
          </cell>
          <cell r="J75" t="str">
            <v>1122</v>
          </cell>
          <cell r="K75" t="str">
            <v>491-04452</v>
          </cell>
          <cell r="L75" t="str">
            <v>733</v>
          </cell>
          <cell r="M75" t="str">
            <v/>
          </cell>
          <cell r="N75" t="str">
            <v/>
          </cell>
        </row>
        <row r="76">
          <cell r="A76" t="str">
            <v>STACJA ROBOCZA</v>
          </cell>
          <cell r="B76" t="str">
            <v>DELL Optiplex GX150</v>
          </cell>
          <cell r="C76" t="str">
            <v>491-4780</v>
          </cell>
          <cell r="D76" t="str">
            <v>7LVX60J</v>
          </cell>
          <cell r="E76" t="str">
            <v xml:space="preserve">AF </v>
          </cell>
          <cell r="F76" t="str">
            <v xml:space="preserve">SŁODKOWSKI               MAREK          </v>
          </cell>
          <cell r="G76" t="str">
            <v>U-2</v>
          </cell>
          <cell r="H76" t="str">
            <v>219</v>
          </cell>
          <cell r="I76" t="str">
            <v>13-75</v>
          </cell>
          <cell r="J76" t="str">
            <v>997</v>
          </cell>
          <cell r="K76" t="str">
            <v>491-04780</v>
          </cell>
          <cell r="L76" t="str">
            <v>1000</v>
          </cell>
          <cell r="M76" t="str">
            <v/>
          </cell>
          <cell r="N76" t="str">
            <v>255</v>
          </cell>
        </row>
        <row r="77">
          <cell r="A77" t="str">
            <v>STACJA ROBOCZA</v>
          </cell>
          <cell r="B77" t="str">
            <v>DELL Optiplex GX1M 350</v>
          </cell>
          <cell r="C77" t="str">
            <v>491-3602</v>
          </cell>
          <cell r="D77" t="str">
            <v>PKGPS</v>
          </cell>
          <cell r="E77" t="str">
            <v xml:space="preserve">AF </v>
          </cell>
          <cell r="F77" t="str">
            <v xml:space="preserve">WIJATA                   MARIA          </v>
          </cell>
          <cell r="G77" t="str">
            <v>U-14</v>
          </cell>
          <cell r="H77" t="str">
            <v>601</v>
          </cell>
          <cell r="I77" t="str">
            <v>21-05</v>
          </cell>
          <cell r="J77" t="str">
            <v>1631</v>
          </cell>
          <cell r="K77" t="str">
            <v>491-03602</v>
          </cell>
          <cell r="L77" t="str">
            <v>350</v>
          </cell>
          <cell r="M77" t="str">
            <v/>
          </cell>
          <cell r="N77" t="str">
            <v>128</v>
          </cell>
        </row>
        <row r="78">
          <cell r="A78" t="str">
            <v>STACJA ROBOCZA</v>
          </cell>
          <cell r="B78" t="str">
            <v>DELL Optiplex GX150</v>
          </cell>
          <cell r="C78" t="str">
            <v>491-4779</v>
          </cell>
          <cell r="D78" t="str">
            <v>JLRX60J</v>
          </cell>
          <cell r="E78" t="str">
            <v xml:space="preserve">AF </v>
          </cell>
          <cell r="F78" t="str">
            <v xml:space="preserve">HARTWIK                  LIDIA          </v>
          </cell>
          <cell r="G78" t="str">
            <v>U-13</v>
          </cell>
          <cell r="H78" t="str">
            <v>231</v>
          </cell>
          <cell r="I78" t="str">
            <v>20-02</v>
          </cell>
          <cell r="J78" t="str">
            <v>2552</v>
          </cell>
          <cell r="K78" t="str">
            <v>491-04779</v>
          </cell>
          <cell r="L78" t="str">
            <v>1000</v>
          </cell>
          <cell r="M78" t="str">
            <v/>
          </cell>
          <cell r="N78" t="str">
            <v/>
          </cell>
        </row>
        <row r="79">
          <cell r="A79" t="str">
            <v>STACJA ROBOCZA</v>
          </cell>
          <cell r="B79" t="str">
            <v>DELL Optiplex GX1MT 350</v>
          </cell>
          <cell r="C79" t="str">
            <v>491-3617</v>
          </cell>
          <cell r="D79" t="str">
            <v>PFONN</v>
          </cell>
          <cell r="E79" t="str">
            <v xml:space="preserve">AF </v>
          </cell>
          <cell r="F79" t="str">
            <v xml:space="preserve">JELINEK                  KRYSTYNA       </v>
          </cell>
          <cell r="G79" t="str">
            <v>U-14</v>
          </cell>
          <cell r="H79" t="str">
            <v>705</v>
          </cell>
          <cell r="I79" t="str">
            <v>23-30</v>
          </cell>
          <cell r="J79" t="str">
            <v>4736</v>
          </cell>
          <cell r="K79" t="str">
            <v>491-03617</v>
          </cell>
          <cell r="L79" t="str">
            <v>350</v>
          </cell>
          <cell r="M79" t="str">
            <v/>
          </cell>
          <cell r="N79" t="str">
            <v>128</v>
          </cell>
        </row>
        <row r="80">
          <cell r="A80" t="str">
            <v>STACJA ROBOCZA</v>
          </cell>
          <cell r="B80" t="str">
            <v>DELL Optiplex GX1M 350</v>
          </cell>
          <cell r="C80" t="str">
            <v>491-3559</v>
          </cell>
          <cell r="D80" t="str">
            <v>PKH4W</v>
          </cell>
          <cell r="E80" t="str">
            <v xml:space="preserve">AF </v>
          </cell>
          <cell r="F80" t="str">
            <v xml:space="preserve">KAMIŃSKA                 GRAŻYNA        </v>
          </cell>
          <cell r="G80" t="str">
            <v>U-14</v>
          </cell>
          <cell r="H80" t="str">
            <v>604</v>
          </cell>
          <cell r="I80" t="str">
            <v>11-08</v>
          </cell>
          <cell r="J80" t="str">
            <v>461</v>
          </cell>
          <cell r="K80" t="str">
            <v>491-03559</v>
          </cell>
          <cell r="L80" t="str">
            <v>350</v>
          </cell>
          <cell r="M80" t="str">
            <v/>
          </cell>
          <cell r="N80" t="str">
            <v>64</v>
          </cell>
        </row>
        <row r="81">
          <cell r="A81" t="str">
            <v>STACJA ROBOCZA</v>
          </cell>
          <cell r="B81" t="str">
            <v>ZENITH Z STATION P166</v>
          </cell>
          <cell r="C81" t="str">
            <v>491-2991</v>
          </cell>
          <cell r="D81" t="str">
            <v>GVDD72904642</v>
          </cell>
          <cell r="E81" t="str">
            <v xml:space="preserve">AF </v>
          </cell>
          <cell r="F81" t="str">
            <v xml:space="preserve">NAJGEBAUER               WIESŁAWA       </v>
          </cell>
          <cell r="G81" t="str">
            <v>U-13</v>
          </cell>
          <cell r="H81" t="str">
            <v>220</v>
          </cell>
          <cell r="I81" t="str">
            <v>21-37</v>
          </cell>
          <cell r="J81" t="str">
            <v>1871</v>
          </cell>
          <cell r="K81" t="str">
            <v>491-02991</v>
          </cell>
          <cell r="L81" t="str">
            <v>166</v>
          </cell>
          <cell r="M81" t="str">
            <v/>
          </cell>
          <cell r="N81" t="str">
            <v>96</v>
          </cell>
        </row>
        <row r="82">
          <cell r="A82" t="str">
            <v>STACJA ROBOCZA</v>
          </cell>
          <cell r="B82" t="str">
            <v>DELL Optiplex GX1MT 350</v>
          </cell>
          <cell r="C82" t="str">
            <v>491-3504</v>
          </cell>
          <cell r="D82" t="str">
            <v>PKN3K</v>
          </cell>
          <cell r="E82" t="str">
            <v xml:space="preserve">AF </v>
          </cell>
          <cell r="F82" t="str">
            <v xml:space="preserve">WOJTCZAK                 ALINA          </v>
          </cell>
          <cell r="G82" t="str">
            <v>U-14</v>
          </cell>
          <cell r="H82" t="str">
            <v>705</v>
          </cell>
          <cell r="I82" t="str">
            <v>23-30</v>
          </cell>
          <cell r="J82" t="str">
            <v>4698</v>
          </cell>
          <cell r="K82" t="str">
            <v>491-03504</v>
          </cell>
          <cell r="L82" t="str">
            <v>350</v>
          </cell>
          <cell r="M82" t="str">
            <v/>
          </cell>
          <cell r="N82" t="str">
            <v>128</v>
          </cell>
        </row>
        <row r="83">
          <cell r="A83" t="str">
            <v>STACJA ROBOCZA</v>
          </cell>
          <cell r="B83" t="str">
            <v>NEC PMVT Desktop P III 450</v>
          </cell>
          <cell r="C83" t="str">
            <v>491-3824</v>
          </cell>
          <cell r="D83" t="str">
            <v>0738109</v>
          </cell>
          <cell r="E83" t="str">
            <v xml:space="preserve">AF </v>
          </cell>
          <cell r="F83" t="str">
            <v xml:space="preserve">PIEKUTOWSKA              MAŁGORZATA     </v>
          </cell>
          <cell r="G83" t="str">
            <v>U-13</v>
          </cell>
          <cell r="H83" t="str">
            <v>231</v>
          </cell>
          <cell r="I83" t="str">
            <v>20-02</v>
          </cell>
          <cell r="J83" t="str">
            <v>722</v>
          </cell>
          <cell r="K83" t="str">
            <v>491-03824</v>
          </cell>
          <cell r="L83" t="str">
            <v>450</v>
          </cell>
          <cell r="M83" t="str">
            <v/>
          </cell>
          <cell r="N83" t="str">
            <v/>
          </cell>
        </row>
        <row r="84">
          <cell r="A84" t="str">
            <v>STACJA ROBOCZA</v>
          </cell>
          <cell r="B84" t="str">
            <v>DELL Optiplex GX1MT 350</v>
          </cell>
          <cell r="C84" t="str">
            <v>491-3619</v>
          </cell>
          <cell r="D84" t="str">
            <v>PFONR</v>
          </cell>
          <cell r="E84" t="str">
            <v xml:space="preserve">AF </v>
          </cell>
          <cell r="F84" t="str">
            <v xml:space="preserve">SZTRAJT                  WACŁAW         </v>
          </cell>
          <cell r="G84" t="str">
            <v>U-13</v>
          </cell>
          <cell r="H84" t="str">
            <v>221</v>
          </cell>
          <cell r="I84" t="str">
            <v>27-74</v>
          </cell>
          <cell r="J84" t="str">
            <v>1523</v>
          </cell>
          <cell r="K84" t="str">
            <v>491-03619</v>
          </cell>
          <cell r="L84" t="str">
            <v>350</v>
          </cell>
          <cell r="M84" t="str">
            <v/>
          </cell>
          <cell r="N84" t="str">
            <v/>
          </cell>
        </row>
        <row r="85">
          <cell r="A85" t="str">
            <v>STACJA ROBOCZA</v>
          </cell>
          <cell r="B85" t="str">
            <v>NEC PMVT Desktop P III 450</v>
          </cell>
          <cell r="C85" t="str">
            <v>491-3838</v>
          </cell>
          <cell r="D85" t="str">
            <v>0205109</v>
          </cell>
          <cell r="E85" t="str">
            <v xml:space="preserve">AF </v>
          </cell>
          <cell r="F85" t="str">
            <v xml:space="preserve">POBUDEJSKI               WITOLD         </v>
          </cell>
          <cell r="G85" t="str">
            <v>U-14</v>
          </cell>
          <cell r="H85" t="str">
            <v>601A</v>
          </cell>
          <cell r="I85" t="str">
            <v>16-20</v>
          </cell>
          <cell r="J85" t="str">
            <v>710</v>
          </cell>
          <cell r="K85" t="str">
            <v>491-03838</v>
          </cell>
          <cell r="L85" t="str">
            <v>450</v>
          </cell>
          <cell r="M85" t="str">
            <v/>
          </cell>
          <cell r="N85" t="str">
            <v>128</v>
          </cell>
        </row>
        <row r="86">
          <cell r="A86" t="str">
            <v>STACJA ROBOCZA</v>
          </cell>
          <cell r="B86" t="str">
            <v>NEC PMVT Desktop P III 450</v>
          </cell>
          <cell r="C86" t="str">
            <v>491-3831</v>
          </cell>
          <cell r="D86" t="str">
            <v>0191109</v>
          </cell>
          <cell r="E86" t="str">
            <v xml:space="preserve">AF </v>
          </cell>
          <cell r="F86" t="str">
            <v xml:space="preserve">JANUS                    IRENA          </v>
          </cell>
          <cell r="G86" t="str">
            <v>U-14</v>
          </cell>
          <cell r="H86" t="str">
            <v>601</v>
          </cell>
          <cell r="I86" t="str">
            <v>21-05</v>
          </cell>
          <cell r="J86" t="str">
            <v>302</v>
          </cell>
          <cell r="K86" t="str">
            <v>491-03831</v>
          </cell>
          <cell r="L86" t="str">
            <v>450</v>
          </cell>
          <cell r="M86" t="str">
            <v/>
          </cell>
          <cell r="N86" t="str">
            <v>128</v>
          </cell>
        </row>
        <row r="87">
          <cell r="A87" t="str">
            <v>STACJA ROBOCZA</v>
          </cell>
          <cell r="B87" t="str">
            <v>COMPAQ DESKPRO 2000 DT 5120 M1080</v>
          </cell>
          <cell r="C87" t="str">
            <v>491-2797</v>
          </cell>
          <cell r="D87" t="str">
            <v>8650HVS50122</v>
          </cell>
          <cell r="E87" t="str">
            <v xml:space="preserve">AF </v>
          </cell>
          <cell r="F87" t="str">
            <v xml:space="preserve">HACHULSKA                DANUTA         </v>
          </cell>
          <cell r="G87" t="str">
            <v>U-13</v>
          </cell>
          <cell r="H87" t="str">
            <v>231</v>
          </cell>
          <cell r="I87" t="str">
            <v>20-02</v>
          </cell>
          <cell r="J87" t="str">
            <v>8187</v>
          </cell>
          <cell r="K87" t="str">
            <v/>
          </cell>
          <cell r="L87" t="str">
            <v>120</v>
          </cell>
          <cell r="M87" t="str">
            <v/>
          </cell>
          <cell r="N87" t="str">
            <v/>
          </cell>
        </row>
        <row r="88">
          <cell r="A88" t="str">
            <v>STACJA ROBOCZA</v>
          </cell>
          <cell r="B88" t="str">
            <v>DELL Optiplex GX260 SD</v>
          </cell>
          <cell r="C88" t="str">
            <v>491-5050</v>
          </cell>
          <cell r="D88" t="str">
            <v>8K2GL0J</v>
          </cell>
          <cell r="E88" t="str">
            <v xml:space="preserve">AF </v>
          </cell>
          <cell r="F88" t="str">
            <v xml:space="preserve">BARANEK                  BARBARA        </v>
          </cell>
          <cell r="G88" t="str">
            <v>U-13</v>
          </cell>
          <cell r="H88" t="str">
            <v>231</v>
          </cell>
          <cell r="I88" t="str">
            <v>20-02</v>
          </cell>
          <cell r="J88" t="str">
            <v>1427</v>
          </cell>
          <cell r="K88" t="str">
            <v>491-05050</v>
          </cell>
          <cell r="L88" t="str">
            <v>2400</v>
          </cell>
          <cell r="M88" t="str">
            <v/>
          </cell>
          <cell r="N88" t="str">
            <v/>
          </cell>
        </row>
        <row r="89">
          <cell r="A89" t="str">
            <v>STACJA ROBOCZA</v>
          </cell>
          <cell r="B89" t="str">
            <v>NEC Direction Minitower P III 450</v>
          </cell>
          <cell r="C89" t="str">
            <v>491-3753</v>
          </cell>
          <cell r="D89" t="str">
            <v>0159109</v>
          </cell>
          <cell r="E89" t="str">
            <v xml:space="preserve">AF </v>
          </cell>
          <cell r="F89" t="str">
            <v xml:space="preserve">LUCIMIŃSKI               ROMAN          </v>
          </cell>
          <cell r="G89" t="str">
            <v>U-14</v>
          </cell>
          <cell r="H89" t="str">
            <v>604</v>
          </cell>
          <cell r="I89" t="str">
            <v>27-70</v>
          </cell>
          <cell r="J89" t="str">
            <v>515</v>
          </cell>
          <cell r="K89" t="str">
            <v>491-03753</v>
          </cell>
          <cell r="L89" t="str">
            <v>450</v>
          </cell>
          <cell r="M89" t="str">
            <v/>
          </cell>
          <cell r="N89" t="str">
            <v>128</v>
          </cell>
        </row>
        <row r="90">
          <cell r="A90" t="str">
            <v>STACJA ROBOCZA</v>
          </cell>
          <cell r="B90" t="str">
            <v>DELL Optiplex GX1M 350</v>
          </cell>
          <cell r="C90" t="str">
            <v>491-3609</v>
          </cell>
          <cell r="D90" t="str">
            <v>PKH54</v>
          </cell>
          <cell r="E90" t="str">
            <v xml:space="preserve">AL </v>
          </cell>
          <cell r="F90" t="str">
            <v xml:space="preserve">STOBIENIECKI             STANISŁAW      </v>
          </cell>
          <cell r="G90" t="str">
            <v>U-13</v>
          </cell>
          <cell r="H90" t="str">
            <v>302</v>
          </cell>
          <cell r="I90" t="str">
            <v>14-29</v>
          </cell>
          <cell r="J90" t="str">
            <v>2008</v>
          </cell>
          <cell r="K90" t="str">
            <v>491-03609</v>
          </cell>
          <cell r="L90" t="str">
            <v>350</v>
          </cell>
          <cell r="M90" t="str">
            <v/>
          </cell>
          <cell r="N90" t="str">
            <v>128</v>
          </cell>
        </row>
        <row r="91">
          <cell r="A91" t="str">
            <v>STACJA ROBOCZA</v>
          </cell>
          <cell r="B91" t="str">
            <v>KOMPUTER 386DX</v>
          </cell>
          <cell r="C91" t="str">
            <v>491-2006</v>
          </cell>
          <cell r="D91" t="str">
            <v>3611/043</v>
          </cell>
          <cell r="E91" t="str">
            <v xml:space="preserve">AL </v>
          </cell>
          <cell r="F91" t="str">
            <v xml:space="preserve">PABIŚ                    BARBARA        </v>
          </cell>
          <cell r="G91" t="str">
            <v>U-13</v>
          </cell>
          <cell r="H91" t="str">
            <v>306</v>
          </cell>
          <cell r="I91" t="str">
            <v>21-38</v>
          </cell>
          <cell r="J91" t="str">
            <v>2634</v>
          </cell>
          <cell r="K91" t="str">
            <v>491-02006</v>
          </cell>
          <cell r="L91" t="str">
            <v>500</v>
          </cell>
          <cell r="M91" t="str">
            <v/>
          </cell>
          <cell r="N91" t="str">
            <v>64</v>
          </cell>
        </row>
        <row r="92">
          <cell r="A92" t="str">
            <v>STACJA ROBOCZA</v>
          </cell>
          <cell r="B92" t="str">
            <v>DELL Optiplex GX1M 350</v>
          </cell>
          <cell r="C92" t="str">
            <v>491-3562</v>
          </cell>
          <cell r="D92" t="str">
            <v>PKGZ2</v>
          </cell>
          <cell r="E92" t="str">
            <v xml:space="preserve">AL </v>
          </cell>
          <cell r="F92" t="str">
            <v xml:space="preserve">MARCZAK                  RENATA         </v>
          </cell>
          <cell r="G92" t="str">
            <v>U-13</v>
          </cell>
          <cell r="H92" t="str">
            <v>307</v>
          </cell>
          <cell r="I92" t="str">
            <v>21-39</v>
          </cell>
          <cell r="J92" t="str">
            <v>3349</v>
          </cell>
          <cell r="K92" t="str">
            <v>491-03562</v>
          </cell>
          <cell r="L92" t="str">
            <v>350</v>
          </cell>
          <cell r="M92" t="str">
            <v/>
          </cell>
          <cell r="N92" t="str">
            <v/>
          </cell>
        </row>
        <row r="93">
          <cell r="A93" t="str">
            <v>STACJA ROBOCZA</v>
          </cell>
          <cell r="B93" t="str">
            <v>DELL Optiplex GX150</v>
          </cell>
          <cell r="C93" t="str">
            <v>491-4781</v>
          </cell>
          <cell r="D93" t="str">
            <v>4NRX60J</v>
          </cell>
          <cell r="E93" t="str">
            <v xml:space="preserve">AL </v>
          </cell>
          <cell r="F93" t="str">
            <v xml:space="preserve">PUCHALSKI                BOGDAN         </v>
          </cell>
          <cell r="G93" t="str">
            <v>U-13</v>
          </cell>
          <cell r="H93" t="str">
            <v>322</v>
          </cell>
          <cell r="I93" t="str">
            <v>24-70</v>
          </cell>
          <cell r="J93" t="str">
            <v>5257</v>
          </cell>
          <cell r="K93" t="str">
            <v>491-04781</v>
          </cell>
          <cell r="L93" t="str">
            <v>1000</v>
          </cell>
          <cell r="M93" t="str">
            <v/>
          </cell>
          <cell r="N93" t="str">
            <v/>
          </cell>
        </row>
        <row r="94">
          <cell r="A94" t="str">
            <v>STACJA ROBOCZA</v>
          </cell>
          <cell r="B94" t="str">
            <v>DELL Optiplex GX1MT 350</v>
          </cell>
          <cell r="C94" t="str">
            <v>491-3495</v>
          </cell>
          <cell r="D94" t="str">
            <v>PKN4Q</v>
          </cell>
          <cell r="E94" t="str">
            <v xml:space="preserve">AL </v>
          </cell>
          <cell r="F94" t="str">
            <v xml:space="preserve">GRYGIEL                  JACEK          </v>
          </cell>
          <cell r="G94" t="str">
            <v>U-13</v>
          </cell>
          <cell r="H94" t="str">
            <v>329</v>
          </cell>
          <cell r="I94" t="str">
            <v>23-53</v>
          </cell>
          <cell r="J94" t="str">
            <v>5347</v>
          </cell>
          <cell r="K94" t="str">
            <v>491-03495</v>
          </cell>
          <cell r="L94" t="str">
            <v>350</v>
          </cell>
          <cell r="M94" t="str">
            <v/>
          </cell>
          <cell r="N94" t="str">
            <v>64</v>
          </cell>
        </row>
        <row r="95">
          <cell r="A95" t="str">
            <v>STACJA ROBOCZA</v>
          </cell>
          <cell r="B95" t="str">
            <v>IVERSON MIC-33</v>
          </cell>
          <cell r="C95" t="str">
            <v>491-1877</v>
          </cell>
          <cell r="D95" t="str">
            <v>792-0978-004</v>
          </cell>
          <cell r="E95" t="str">
            <v xml:space="preserve">AL </v>
          </cell>
          <cell r="F95" t="str">
            <v xml:space="preserve">BZDON                    HENRYK         </v>
          </cell>
          <cell r="G95" t="str">
            <v>U-13</v>
          </cell>
          <cell r="H95" t="str">
            <v>308</v>
          </cell>
          <cell r="I95" t="str">
            <v>21-34</v>
          </cell>
          <cell r="J95" t="str">
            <v>1874</v>
          </cell>
          <cell r="K95" t="str">
            <v/>
          </cell>
          <cell r="L95" t="str">
            <v>0</v>
          </cell>
          <cell r="M95" t="str">
            <v/>
          </cell>
          <cell r="N95" t="str">
            <v/>
          </cell>
        </row>
        <row r="96">
          <cell r="A96" t="str">
            <v>STACJA ROBOCZA</v>
          </cell>
          <cell r="B96" t="str">
            <v>KOMPUTER PC/AT</v>
          </cell>
          <cell r="C96" t="str">
            <v>491-1620/1593</v>
          </cell>
          <cell r="D96" t="str">
            <v>QT-102/0B23A</v>
          </cell>
          <cell r="E96" t="str">
            <v xml:space="preserve">AL </v>
          </cell>
          <cell r="F96" t="str">
            <v xml:space="preserve">MALEC                    SŁAWOMIR       </v>
          </cell>
          <cell r="G96" t="str">
            <v>U-13</v>
          </cell>
          <cell r="H96" t="str">
            <v>301</v>
          </cell>
          <cell r="I96" t="str">
            <v>14-37</v>
          </cell>
          <cell r="J96" t="str">
            <v>4280</v>
          </cell>
          <cell r="K96" t="str">
            <v>AF-BOZENAK</v>
          </cell>
          <cell r="L96" t="str">
            <v>550</v>
          </cell>
          <cell r="M96" t="str">
            <v/>
          </cell>
          <cell r="N96" t="str">
            <v/>
          </cell>
        </row>
        <row r="97">
          <cell r="A97" t="str">
            <v>STACJA ROBOCZA</v>
          </cell>
          <cell r="B97" t="str">
            <v>KOMPUTER PC/AT</v>
          </cell>
          <cell r="C97" t="str">
            <v>491-1285</v>
          </cell>
          <cell r="D97" t="str">
            <v>14 OK 16PC</v>
          </cell>
          <cell r="E97" t="str">
            <v xml:space="preserve">AL </v>
          </cell>
          <cell r="F97" t="str">
            <v xml:space="preserve">KONECKI                  TOMASZ         </v>
          </cell>
          <cell r="G97" t="str">
            <v>U-13</v>
          </cell>
          <cell r="H97" t="str">
            <v>305</v>
          </cell>
          <cell r="I97" t="str">
            <v>21-16</v>
          </cell>
          <cell r="J97" t="str">
            <v>4282</v>
          </cell>
          <cell r="K97" t="str">
            <v>491-01285</v>
          </cell>
          <cell r="L97" t="str">
            <v>120</v>
          </cell>
          <cell r="M97" t="str">
            <v/>
          </cell>
          <cell r="N97" t="str">
            <v>48</v>
          </cell>
        </row>
        <row r="98">
          <cell r="A98" t="str">
            <v>STACJA ROBOCZA</v>
          </cell>
          <cell r="B98" t="str">
            <v>DELL Optiplex GX1M 350</v>
          </cell>
          <cell r="C98" t="str">
            <v>491-3565</v>
          </cell>
          <cell r="D98" t="str">
            <v>PKGNS</v>
          </cell>
          <cell r="E98" t="str">
            <v xml:space="preserve">AL </v>
          </cell>
          <cell r="F98" t="str">
            <v xml:space="preserve">PUDZIANOWSKA             MAŁGORZATA     </v>
          </cell>
          <cell r="G98" t="str">
            <v>U-13</v>
          </cell>
          <cell r="H98" t="str">
            <v>309</v>
          </cell>
          <cell r="I98" t="str">
            <v>21-36</v>
          </cell>
          <cell r="J98" t="str">
            <v>1634</v>
          </cell>
          <cell r="K98" t="str">
            <v>491-03565</v>
          </cell>
          <cell r="L98" t="str">
            <v>350</v>
          </cell>
          <cell r="M98" t="str">
            <v/>
          </cell>
          <cell r="N98" t="str">
            <v>128</v>
          </cell>
        </row>
        <row r="99">
          <cell r="A99" t="str">
            <v>STACJA ROBOCZA</v>
          </cell>
          <cell r="B99" t="str">
            <v>DELL Optiplex GX260 SD</v>
          </cell>
          <cell r="C99" t="str">
            <v>491-5116</v>
          </cell>
          <cell r="D99" t="str">
            <v>1LYGL0J</v>
          </cell>
          <cell r="E99" t="str">
            <v xml:space="preserve">AL </v>
          </cell>
          <cell r="F99" t="str">
            <v xml:space="preserve">RAKOWICZ                 ANDRZEJ        </v>
          </cell>
          <cell r="G99" t="str">
            <v>U-13</v>
          </cell>
          <cell r="H99" t="str">
            <v>325</v>
          </cell>
          <cell r="I99" t="str">
            <v>14-73</v>
          </cell>
          <cell r="J99" t="str">
            <v>839</v>
          </cell>
          <cell r="K99" t="str">
            <v>491-05116</v>
          </cell>
          <cell r="L99" t="str">
            <v>2400</v>
          </cell>
          <cell r="M99" t="str">
            <v/>
          </cell>
          <cell r="N99" t="str">
            <v>254</v>
          </cell>
        </row>
        <row r="100">
          <cell r="A100" t="str">
            <v>STACJA ROBOCZA</v>
          </cell>
          <cell r="B100" t="str">
            <v>NEC PowerMate VT Destop P III 450</v>
          </cell>
          <cell r="C100" t="str">
            <v>491-3852</v>
          </cell>
          <cell r="D100" t="str">
            <v>0188109</v>
          </cell>
          <cell r="E100" t="str">
            <v xml:space="preserve">AL </v>
          </cell>
          <cell r="F100" t="str">
            <v xml:space="preserve">MICHALSKA                EWA            </v>
          </cell>
          <cell r="G100" t="str">
            <v>U-13</v>
          </cell>
          <cell r="H100" t="str">
            <v>307</v>
          </cell>
          <cell r="I100" t="str">
            <v>21-39</v>
          </cell>
          <cell r="J100" t="str">
            <v>1607</v>
          </cell>
          <cell r="K100" t="str">
            <v>491-03852</v>
          </cell>
          <cell r="L100" t="str">
            <v>450</v>
          </cell>
          <cell r="M100" t="str">
            <v/>
          </cell>
          <cell r="N100" t="str">
            <v/>
          </cell>
        </row>
        <row r="101">
          <cell r="A101" t="str">
            <v>STACJA ROBOCZA</v>
          </cell>
          <cell r="B101" t="str">
            <v>COMPAQ DESKPRO 2000 DT 5166 M1620</v>
          </cell>
          <cell r="C101" t="str">
            <v>491-2896</v>
          </cell>
          <cell r="D101" t="str">
            <v>8713HVU87141</v>
          </cell>
          <cell r="E101" t="str">
            <v xml:space="preserve">AL </v>
          </cell>
          <cell r="F101" t="str">
            <v xml:space="preserve">ROGOZIŃSKA               BOŻENA         </v>
          </cell>
          <cell r="G101" t="str">
            <v>U-13</v>
          </cell>
          <cell r="H101" t="str">
            <v>320</v>
          </cell>
          <cell r="I101" t="str">
            <v>21-88</v>
          </cell>
          <cell r="J101" t="str">
            <v>2301</v>
          </cell>
          <cell r="K101" t="str">
            <v/>
          </cell>
          <cell r="L101" t="str">
            <v>166</v>
          </cell>
          <cell r="M101" t="str">
            <v/>
          </cell>
          <cell r="N101" t="str">
            <v/>
          </cell>
        </row>
        <row r="102">
          <cell r="A102" t="str">
            <v>STACJA ROBOCZA</v>
          </cell>
          <cell r="B102" t="str">
            <v>DELL Optiplex GX1M 350</v>
          </cell>
          <cell r="C102" t="str">
            <v>491-3608</v>
          </cell>
          <cell r="D102" t="str">
            <v>PKH55</v>
          </cell>
          <cell r="E102" t="str">
            <v xml:space="preserve">AL </v>
          </cell>
          <cell r="F102" t="str">
            <v xml:space="preserve">GADECKI                  ROBERT         </v>
          </cell>
          <cell r="G102" t="str">
            <v>U-13</v>
          </cell>
          <cell r="H102" t="str">
            <v>102</v>
          </cell>
          <cell r="I102" t="str">
            <v>22-24</v>
          </cell>
          <cell r="J102" t="str">
            <v>3843</v>
          </cell>
          <cell r="K102" t="str">
            <v>491-03608</v>
          </cell>
          <cell r="L102" t="str">
            <v>350</v>
          </cell>
          <cell r="M102" t="str">
            <v/>
          </cell>
          <cell r="N102" t="str">
            <v>128</v>
          </cell>
        </row>
        <row r="103">
          <cell r="A103" t="str">
            <v>STACJA ROBOCZA</v>
          </cell>
          <cell r="B103" t="str">
            <v>DELL Optiplex GX1M 350</v>
          </cell>
          <cell r="C103" t="str">
            <v>491-3610</v>
          </cell>
          <cell r="D103" t="str">
            <v>PKH56</v>
          </cell>
          <cell r="E103" t="str">
            <v xml:space="preserve">AL </v>
          </cell>
          <cell r="F103" t="str">
            <v xml:space="preserve">KAJDANIAK                DARIUSZ        </v>
          </cell>
          <cell r="G103" t="str">
            <v>U-13</v>
          </cell>
          <cell r="H103" t="str">
            <v>306</v>
          </cell>
          <cell r="I103" t="str">
            <v>21-38</v>
          </cell>
          <cell r="J103" t="str">
            <v>1933</v>
          </cell>
          <cell r="K103" t="str">
            <v>491-03610</v>
          </cell>
          <cell r="L103" t="str">
            <v>350</v>
          </cell>
          <cell r="M103" t="str">
            <v/>
          </cell>
          <cell r="N103" t="str">
            <v/>
          </cell>
        </row>
        <row r="104">
          <cell r="A104" t="str">
            <v>STACJA ROBOCZA</v>
          </cell>
          <cell r="B104" t="str">
            <v>DELL Optiplex GX150</v>
          </cell>
          <cell r="C104" t="str">
            <v>491-4782</v>
          </cell>
          <cell r="D104" t="str">
            <v>DNRX60J</v>
          </cell>
          <cell r="E104" t="str">
            <v xml:space="preserve">AL </v>
          </cell>
          <cell r="F104" t="str">
            <v xml:space="preserve">MATYCH                   ELŻBIETA       </v>
          </cell>
          <cell r="G104" t="str">
            <v>U-13</v>
          </cell>
          <cell r="H104" t="str">
            <v>326</v>
          </cell>
          <cell r="I104" t="str">
            <v>15-50</v>
          </cell>
          <cell r="J104" t="str">
            <v>591</v>
          </cell>
          <cell r="K104" t="str">
            <v>491-04782</v>
          </cell>
          <cell r="L104" t="str">
            <v>1000</v>
          </cell>
          <cell r="M104" t="str">
            <v/>
          </cell>
          <cell r="N104" t="str">
            <v>255</v>
          </cell>
        </row>
        <row r="105">
          <cell r="A105" t="str">
            <v>NOTEBOOK</v>
          </cell>
          <cell r="B105" t="str">
            <v>COMPAQ ARMADA 1120</v>
          </cell>
          <cell r="C105" t="str">
            <v>491-2851</v>
          </cell>
          <cell r="D105" t="str">
            <v>7649HYC33758</v>
          </cell>
          <cell r="E105" t="str">
            <v xml:space="preserve">AL </v>
          </cell>
          <cell r="F105" t="str">
            <v xml:space="preserve">PUCHALSKI                BOGDAN         </v>
          </cell>
          <cell r="G105" t="str">
            <v>U-13</v>
          </cell>
          <cell r="H105" t="str">
            <v>322</v>
          </cell>
          <cell r="I105" t="str">
            <v>24-70</v>
          </cell>
          <cell r="J105" t="str">
            <v>5257</v>
          </cell>
          <cell r="K105" t="str">
            <v>491-02851</v>
          </cell>
          <cell r="L105" t="str">
            <v>120</v>
          </cell>
          <cell r="M105" t="str">
            <v>TMA nie instaluje się (prawd. Za mało ram</v>
          </cell>
          <cell r="N105" t="str">
            <v>16</v>
          </cell>
        </row>
        <row r="106">
          <cell r="A106" t="str">
            <v>STACJA ROBOCZA</v>
          </cell>
          <cell r="B106" t="str">
            <v>DELL Optiplex GX1L 266</v>
          </cell>
          <cell r="C106" t="str">
            <v>491-3328</v>
          </cell>
          <cell r="D106" t="str">
            <v>NM1HH</v>
          </cell>
          <cell r="E106" t="str">
            <v xml:space="preserve">AL </v>
          </cell>
          <cell r="F106" t="str">
            <v xml:space="preserve">ZYGUŁA                   JACEK          </v>
          </cell>
          <cell r="G106" t="str">
            <v>U-13</v>
          </cell>
          <cell r="H106" t="str">
            <v>330</v>
          </cell>
          <cell r="I106" t="str">
            <v>23-53</v>
          </cell>
          <cell r="J106" t="str">
            <v>4349</v>
          </cell>
          <cell r="K106" t="str">
            <v/>
          </cell>
          <cell r="L106" t="str">
            <v>266</v>
          </cell>
          <cell r="M106" t="str">
            <v/>
          </cell>
          <cell r="N106" t="str">
            <v/>
          </cell>
        </row>
        <row r="107">
          <cell r="A107" t="str">
            <v>STACJA ROBOCZA</v>
          </cell>
          <cell r="B107" t="str">
            <v>DELL Optiplex GX1M 350</v>
          </cell>
          <cell r="C107" t="str">
            <v>491-3612</v>
          </cell>
          <cell r="D107" t="str">
            <v>PKH51</v>
          </cell>
          <cell r="E107" t="str">
            <v xml:space="preserve">AL </v>
          </cell>
          <cell r="F107" t="str">
            <v xml:space="preserve">SZCZECHOWSKI             MARIUSZ        </v>
          </cell>
          <cell r="G107" t="str">
            <v>U-13</v>
          </cell>
          <cell r="H107" t="str">
            <v>304</v>
          </cell>
          <cell r="I107" t="str">
            <v>12-57</v>
          </cell>
          <cell r="J107" t="str">
            <v>3768</v>
          </cell>
          <cell r="K107" t="str">
            <v>491-03612</v>
          </cell>
          <cell r="L107" t="str">
            <v>350</v>
          </cell>
          <cell r="M107" t="str">
            <v/>
          </cell>
          <cell r="N107" t="str">
            <v/>
          </cell>
        </row>
        <row r="108">
          <cell r="A108" t="str">
            <v>STACJA ROBOCZA</v>
          </cell>
          <cell r="B108" t="str">
            <v>DELL Optiplex GX1M 350</v>
          </cell>
          <cell r="C108" t="str">
            <v>491-3613</v>
          </cell>
          <cell r="D108" t="str">
            <v>PKH4Z</v>
          </cell>
          <cell r="E108" t="str">
            <v xml:space="preserve">AL </v>
          </cell>
          <cell r="F108" t="str">
            <v xml:space="preserve">FRYDRYCH                 JACEK          </v>
          </cell>
          <cell r="G108" t="str">
            <v>U-13</v>
          </cell>
          <cell r="H108" t="str">
            <v>323</v>
          </cell>
          <cell r="I108" t="str">
            <v>14-36</v>
          </cell>
          <cell r="J108" t="str">
            <v>9013</v>
          </cell>
          <cell r="K108" t="str">
            <v>491-03613</v>
          </cell>
          <cell r="L108" t="str">
            <v>350</v>
          </cell>
          <cell r="M108" t="str">
            <v/>
          </cell>
          <cell r="N108" t="str">
            <v>128</v>
          </cell>
        </row>
        <row r="109">
          <cell r="A109" t="str">
            <v>STACJA ROBOCZA</v>
          </cell>
          <cell r="B109" t="str">
            <v>ZENITH Z STATION P200</v>
          </cell>
          <cell r="C109" t="str">
            <v>491-3029</v>
          </cell>
          <cell r="D109" t="str">
            <v>GVDD72905411</v>
          </cell>
          <cell r="E109" t="str">
            <v xml:space="preserve">AL </v>
          </cell>
          <cell r="F109" t="str">
            <v xml:space="preserve">HAŁADUS                  MACIEJ         </v>
          </cell>
          <cell r="G109" t="str">
            <v>U-13</v>
          </cell>
          <cell r="H109" t="str">
            <v>330</v>
          </cell>
          <cell r="I109" t="str">
            <v>23-53</v>
          </cell>
          <cell r="J109" t="str">
            <v>4922</v>
          </cell>
          <cell r="K109" t="str">
            <v/>
          </cell>
          <cell r="L109" t="str">
            <v>200</v>
          </cell>
          <cell r="M109" t="str">
            <v/>
          </cell>
          <cell r="N109" t="str">
            <v/>
          </cell>
        </row>
        <row r="110">
          <cell r="A110" t="str">
            <v>STACJA ROBOCZA</v>
          </cell>
          <cell r="B110" t="str">
            <v>KOMPUTER 386SX</v>
          </cell>
          <cell r="C110" t="str">
            <v>491-1819</v>
          </cell>
          <cell r="D110" t="str">
            <v>021695/1708</v>
          </cell>
          <cell r="E110" t="str">
            <v xml:space="preserve">AL </v>
          </cell>
          <cell r="F110" t="str">
            <v xml:space="preserve">KUŚMIEREK                ARKADIUSZ      </v>
          </cell>
          <cell r="G110" t="str">
            <v>U-13</v>
          </cell>
          <cell r="H110" t="str">
            <v>323</v>
          </cell>
          <cell r="I110" t="str">
            <v>11-61</v>
          </cell>
          <cell r="J110" t="str">
            <v>3859</v>
          </cell>
          <cell r="K110" t="str">
            <v>491-01819</v>
          </cell>
          <cell r="L110" t="str">
            <v>700</v>
          </cell>
          <cell r="M110" t="str">
            <v/>
          </cell>
          <cell r="N110" t="str">
            <v>128</v>
          </cell>
        </row>
        <row r="111">
          <cell r="A111" t="str">
            <v>STACJA ROBOCZA</v>
          </cell>
          <cell r="B111" t="str">
            <v>DELL Optiplex GX1L 266</v>
          </cell>
          <cell r="C111" t="str">
            <v>491-3277</v>
          </cell>
          <cell r="D111" t="str">
            <v>NM197</v>
          </cell>
          <cell r="E111" t="str">
            <v xml:space="preserve">AL </v>
          </cell>
          <cell r="F111" t="str">
            <v xml:space="preserve">SWĘDRAK                  SŁAWOMIR       </v>
          </cell>
          <cell r="G111" t="str">
            <v>U-13</v>
          </cell>
          <cell r="H111" t="str">
            <v>301</v>
          </cell>
          <cell r="I111" t="str">
            <v>14-37</v>
          </cell>
          <cell r="J111" t="str">
            <v>2456</v>
          </cell>
          <cell r="K111" t="str">
            <v>491-03277</v>
          </cell>
          <cell r="L111" t="str">
            <v>266</v>
          </cell>
          <cell r="M111" t="str">
            <v/>
          </cell>
          <cell r="N111" t="str">
            <v>160</v>
          </cell>
        </row>
        <row r="112">
          <cell r="A112" t="str">
            <v>STACJA ROBOCZA</v>
          </cell>
          <cell r="B112" t="str">
            <v>KOMPUTER 386DX</v>
          </cell>
          <cell r="C112" t="str">
            <v>491-2052</v>
          </cell>
          <cell r="D112" t="str">
            <v>3643/043</v>
          </cell>
          <cell r="E112" t="str">
            <v xml:space="preserve">AL </v>
          </cell>
          <cell r="F112" t="str">
            <v xml:space="preserve">KRAWCZYK                 MAREK          </v>
          </cell>
          <cell r="G112" t="str">
            <v>U-13</v>
          </cell>
          <cell r="H112" t="str">
            <v>303</v>
          </cell>
          <cell r="I112" t="str">
            <v>21-38</v>
          </cell>
          <cell r="J112" t="str">
            <v>3436</v>
          </cell>
          <cell r="K112" t="str">
            <v>491-02052</v>
          </cell>
          <cell r="L112" t="str">
            <v>0</v>
          </cell>
          <cell r="M112" t="str">
            <v/>
          </cell>
          <cell r="N112" t="str">
            <v/>
          </cell>
        </row>
        <row r="113">
          <cell r="A113" t="str">
            <v>STACJA ROBOCZA</v>
          </cell>
          <cell r="B113" t="str">
            <v>KOMPUTER 386DX</v>
          </cell>
          <cell r="C113" t="str">
            <v>491-1796</v>
          </cell>
          <cell r="D113" t="str">
            <v>019018/1699</v>
          </cell>
          <cell r="E113" t="str">
            <v xml:space="preserve">AL </v>
          </cell>
          <cell r="F113" t="str">
            <v xml:space="preserve">HAŁADAJ                  ANDRZEJ        </v>
          </cell>
          <cell r="G113" t="str">
            <v>U-13</v>
          </cell>
          <cell r="H113" t="str">
            <v>328</v>
          </cell>
          <cell r="I113" t="str">
            <v>23-53</v>
          </cell>
          <cell r="J113" t="str">
            <v>3321</v>
          </cell>
          <cell r="K113" t="str">
            <v>491-01796</v>
          </cell>
          <cell r="L113" t="str">
            <v>366</v>
          </cell>
          <cell r="M113" t="str">
            <v/>
          </cell>
          <cell r="N113" t="str">
            <v>64</v>
          </cell>
        </row>
        <row r="114">
          <cell r="A114" t="str">
            <v>NOTEBOOK</v>
          </cell>
          <cell r="B114" t="str">
            <v>Dell Latitude CPi 300XT</v>
          </cell>
          <cell r="C114" t="str">
            <v>491-3573</v>
          </cell>
          <cell r="D114" t="str">
            <v>ZL83Z</v>
          </cell>
          <cell r="E114" t="str">
            <v xml:space="preserve">AL </v>
          </cell>
          <cell r="F114" t="str">
            <v xml:space="preserve">FRYDRYCH                 JACEK          </v>
          </cell>
          <cell r="G114" t="str">
            <v>U-13</v>
          </cell>
          <cell r="H114" t="str">
            <v>323</v>
          </cell>
          <cell r="I114" t="str">
            <v>14-36</v>
          </cell>
          <cell r="J114" t="str">
            <v>9013</v>
          </cell>
          <cell r="K114" t="str">
            <v/>
          </cell>
          <cell r="L114" t="str">
            <v>300</v>
          </cell>
          <cell r="M114" t="str">
            <v/>
          </cell>
          <cell r="N114" t="str">
            <v/>
          </cell>
        </row>
        <row r="115">
          <cell r="A115" t="str">
            <v>STACJA ROBOCZA</v>
          </cell>
          <cell r="B115" t="str">
            <v>KOMPUTER PC/AT</v>
          </cell>
          <cell r="C115" t="str">
            <v>491-1620/1701</v>
          </cell>
          <cell r="D115" t="str">
            <v>238111</v>
          </cell>
          <cell r="E115" t="str">
            <v xml:space="preserve">AL </v>
          </cell>
          <cell r="F115" t="str">
            <v xml:space="preserve">WRÓBEL                   SŁAWOMIR       </v>
          </cell>
          <cell r="G115" t="str">
            <v>U-13</v>
          </cell>
          <cell r="H115" t="str">
            <v>106</v>
          </cell>
          <cell r="I115" t="str">
            <v>27-72</v>
          </cell>
          <cell r="J115" t="str">
            <v>4296</v>
          </cell>
          <cell r="K115" t="str">
            <v>491-01620-1701</v>
          </cell>
          <cell r="L115" t="str">
            <v>800</v>
          </cell>
          <cell r="M115" t="str">
            <v/>
          </cell>
          <cell r="N115" t="str">
            <v>256</v>
          </cell>
        </row>
        <row r="116">
          <cell r="A116" t="str">
            <v>STACJA ROBOCZA</v>
          </cell>
          <cell r="B116" t="str">
            <v>NEC PMVT Desktop P III 450</v>
          </cell>
          <cell r="C116" t="str">
            <v>491-3808</v>
          </cell>
          <cell r="D116" t="str">
            <v>0209109</v>
          </cell>
          <cell r="E116" t="str">
            <v xml:space="preserve">AL </v>
          </cell>
          <cell r="F116" t="str">
            <v xml:space="preserve">HAŁADAJ                  ANDRZEJ        </v>
          </cell>
          <cell r="G116" t="str">
            <v>U-13</v>
          </cell>
          <cell r="H116" t="str">
            <v>328</v>
          </cell>
          <cell r="I116" t="str">
            <v>23-53</v>
          </cell>
          <cell r="J116" t="str">
            <v>3321</v>
          </cell>
          <cell r="K116" t="str">
            <v>491-03808</v>
          </cell>
          <cell r="L116" t="str">
            <v>450</v>
          </cell>
          <cell r="M116" t="str">
            <v/>
          </cell>
          <cell r="N116" t="str">
            <v/>
          </cell>
        </row>
        <row r="117">
          <cell r="A117" t="str">
            <v>STACJA ROBOCZA</v>
          </cell>
          <cell r="B117" t="str">
            <v>KOMPUTER 386DX</v>
          </cell>
          <cell r="C117" t="str">
            <v>491-2008</v>
          </cell>
          <cell r="D117" t="str">
            <v>3615/043</v>
          </cell>
          <cell r="E117" t="str">
            <v xml:space="preserve">AL </v>
          </cell>
          <cell r="F117" t="str">
            <v xml:space="preserve">KOWALCZYK                WŁODZIMIERZ    </v>
          </cell>
          <cell r="G117" t="str">
            <v>U-13</v>
          </cell>
          <cell r="H117" t="str">
            <v>320</v>
          </cell>
          <cell r="I117" t="str">
            <v>23-53</v>
          </cell>
          <cell r="J117" t="str">
            <v>1469</v>
          </cell>
          <cell r="K117" t="str">
            <v>AN-STANISLAWZ2</v>
          </cell>
          <cell r="L117" t="str">
            <v>600</v>
          </cell>
          <cell r="M117" t="str">
            <v/>
          </cell>
          <cell r="N117" t="str">
            <v/>
          </cell>
        </row>
        <row r="118">
          <cell r="A118" t="str">
            <v>STACJA ROBOCZA</v>
          </cell>
          <cell r="B118" t="str">
            <v>NEC PMVT Desktop P III 450</v>
          </cell>
          <cell r="C118" t="str">
            <v>491-3807</v>
          </cell>
          <cell r="D118" t="str">
            <v>0201109</v>
          </cell>
          <cell r="E118" t="str">
            <v xml:space="preserve">AL </v>
          </cell>
          <cell r="F118" t="str">
            <v xml:space="preserve">ANDRYNOWSKI              ARKADIUSZ      </v>
          </cell>
          <cell r="G118" t="str">
            <v>U-13</v>
          </cell>
          <cell r="H118" t="str">
            <v>330</v>
          </cell>
          <cell r="I118" t="str">
            <v>23-53</v>
          </cell>
          <cell r="J118" t="str">
            <v>1702</v>
          </cell>
          <cell r="K118" t="str">
            <v>491-03807</v>
          </cell>
          <cell r="L118" t="str">
            <v>450</v>
          </cell>
          <cell r="M118" t="str">
            <v/>
          </cell>
          <cell r="N118" t="str">
            <v/>
          </cell>
        </row>
        <row r="119">
          <cell r="A119" t="str">
            <v>STACJA ROBOCZA</v>
          </cell>
          <cell r="B119" t="str">
            <v>COMPAQ DESKPRO EXD PIII 733</v>
          </cell>
          <cell r="C119" t="str">
            <v>491-4511</v>
          </cell>
          <cell r="D119" t="str">
            <v>8036FR4ZE229</v>
          </cell>
          <cell r="E119" t="str">
            <v xml:space="preserve">AL </v>
          </cell>
          <cell r="F119" t="str">
            <v xml:space="preserve">GASZTKOWSKI              JAN            </v>
          </cell>
          <cell r="G119" t="str">
            <v>U-13</v>
          </cell>
          <cell r="H119" t="str">
            <v>327</v>
          </cell>
          <cell r="I119" t="str">
            <v>23-28</v>
          </cell>
          <cell r="J119" t="str">
            <v>226</v>
          </cell>
          <cell r="K119" t="str">
            <v>491-04511</v>
          </cell>
          <cell r="L119" t="str">
            <v>733</v>
          </cell>
          <cell r="M119" t="str">
            <v/>
          </cell>
          <cell r="N119" t="str">
            <v>127</v>
          </cell>
        </row>
        <row r="120">
          <cell r="A120" t="str">
            <v>NOTEBOOK</v>
          </cell>
          <cell r="B120" t="str">
            <v>Dell Latitude CPi 300XT</v>
          </cell>
          <cell r="C120" t="str">
            <v>491-3615</v>
          </cell>
          <cell r="D120" t="str">
            <v>ZL84O</v>
          </cell>
          <cell r="E120" t="str">
            <v xml:space="preserve">AL </v>
          </cell>
          <cell r="F120" t="str">
            <v xml:space="preserve">RAKOWICZ                 ANDRZEJ        </v>
          </cell>
          <cell r="G120" t="str">
            <v>U-13</v>
          </cell>
          <cell r="H120" t="str">
            <v>325</v>
          </cell>
          <cell r="I120" t="str">
            <v>14-73</v>
          </cell>
          <cell r="J120" t="str">
            <v>839</v>
          </cell>
          <cell r="K120" t="str">
            <v/>
          </cell>
          <cell r="L120" t="str">
            <v>300</v>
          </cell>
          <cell r="M120" t="str">
            <v/>
          </cell>
          <cell r="N120" t="str">
            <v/>
          </cell>
        </row>
        <row r="121">
          <cell r="A121" t="str">
            <v>STACJA ROBOCZA</v>
          </cell>
          <cell r="B121" t="str">
            <v>NEC Direction Minitower P III 450</v>
          </cell>
          <cell r="C121" t="str">
            <v>491-3797</v>
          </cell>
          <cell r="D121" t="str">
            <v>0170109</v>
          </cell>
          <cell r="E121" t="str">
            <v xml:space="preserve">AL </v>
          </cell>
          <cell r="F121" t="str">
            <v xml:space="preserve">KACZOROWSKI              JAROSŁAW       </v>
          </cell>
          <cell r="G121" t="str">
            <v>U-13</v>
          </cell>
          <cell r="H121" t="str">
            <v>322</v>
          </cell>
          <cell r="I121" t="str">
            <v>21-63</v>
          </cell>
          <cell r="J121" t="str">
            <v>9091</v>
          </cell>
          <cell r="K121" t="str">
            <v>491-03797</v>
          </cell>
          <cell r="L121" t="str">
            <v>450</v>
          </cell>
          <cell r="M121" t="str">
            <v/>
          </cell>
          <cell r="N121" t="str">
            <v>192</v>
          </cell>
        </row>
        <row r="122">
          <cell r="A122" t="str">
            <v>STACJA ROBOCZA</v>
          </cell>
          <cell r="B122" t="str">
            <v>DELL Optiplex GX1L 266</v>
          </cell>
          <cell r="C122" t="str">
            <v>491-3372</v>
          </cell>
          <cell r="D122" t="str">
            <v>NM1C8</v>
          </cell>
          <cell r="E122" t="str">
            <v xml:space="preserve">AL </v>
          </cell>
          <cell r="F122" t="str">
            <v xml:space="preserve">BZDON                    HENRYK         </v>
          </cell>
          <cell r="G122" t="str">
            <v>U-13</v>
          </cell>
          <cell r="H122" t="str">
            <v>308</v>
          </cell>
          <cell r="I122" t="str">
            <v>21-34</v>
          </cell>
          <cell r="J122" t="str">
            <v>1874</v>
          </cell>
          <cell r="K122" t="str">
            <v>491-03372</v>
          </cell>
          <cell r="L122" t="str">
            <v>266</v>
          </cell>
          <cell r="M122" t="str">
            <v/>
          </cell>
          <cell r="N122" t="str">
            <v>128</v>
          </cell>
        </row>
        <row r="123">
          <cell r="A123" t="str">
            <v>STACJA ROBOCZA</v>
          </cell>
          <cell r="B123" t="str">
            <v>KOMPUTER PC/AT</v>
          </cell>
          <cell r="C123" t="str">
            <v>491-1620/1707</v>
          </cell>
          <cell r="D123" t="str">
            <v>238101</v>
          </cell>
          <cell r="E123" t="str">
            <v xml:space="preserve">AL </v>
          </cell>
          <cell r="F123" t="str">
            <v xml:space="preserve">KARDYNI                  STANISŁAW      </v>
          </cell>
          <cell r="G123" t="str">
            <v>U-13</v>
          </cell>
          <cell r="H123" t="str">
            <v>331</v>
          </cell>
          <cell r="I123" t="str">
            <v>23-54</v>
          </cell>
          <cell r="J123" t="str">
            <v>2974</v>
          </cell>
          <cell r="K123" t="str">
            <v>491-01620-1707</v>
          </cell>
          <cell r="L123" t="str">
            <v>300</v>
          </cell>
          <cell r="M123" t="str">
            <v/>
          </cell>
          <cell r="N123" t="str">
            <v>32</v>
          </cell>
        </row>
        <row r="124">
          <cell r="A124" t="str">
            <v>STACJA ROBOCZA</v>
          </cell>
          <cell r="B124" t="str">
            <v>COMPAQ DESKPRO EXD PIII 733</v>
          </cell>
          <cell r="C124" t="str">
            <v>491-4469</v>
          </cell>
          <cell r="D124" t="str">
            <v>8036FR4ZE254</v>
          </cell>
          <cell r="E124" t="str">
            <v xml:space="preserve">AL </v>
          </cell>
          <cell r="F124" t="str">
            <v xml:space="preserve">ŁUMIŃSKI                 WIESŁAW        </v>
          </cell>
          <cell r="G124" t="str">
            <v>U-13</v>
          </cell>
          <cell r="H124" t="str">
            <v>323</v>
          </cell>
          <cell r="I124" t="str">
            <v>14-30</v>
          </cell>
          <cell r="J124" t="str">
            <v>542</v>
          </cell>
          <cell r="K124" t="str">
            <v>491-04469</v>
          </cell>
          <cell r="L124" t="str">
            <v>733</v>
          </cell>
          <cell r="M124" t="str">
            <v/>
          </cell>
          <cell r="N124" t="str">
            <v>127</v>
          </cell>
        </row>
        <row r="125">
          <cell r="A125" t="str">
            <v>STACJA ROBOCZA</v>
          </cell>
          <cell r="B125" t="str">
            <v>NEC PowerMate VT Destop P III 450</v>
          </cell>
          <cell r="C125" t="str">
            <v>491-3871</v>
          </cell>
          <cell r="D125" t="str">
            <v>0676109</v>
          </cell>
          <cell r="E125" t="str">
            <v xml:space="preserve">AN </v>
          </cell>
          <cell r="F125" t="str">
            <v xml:space="preserve">GALER                    PAWEŁ          </v>
          </cell>
          <cell r="G125" t="str">
            <v>U-13</v>
          </cell>
          <cell r="H125" t="str">
            <v>404</v>
          </cell>
          <cell r="I125" t="str">
            <v>12-42</v>
          </cell>
          <cell r="J125" t="str">
            <v>279</v>
          </cell>
          <cell r="K125" t="str">
            <v>491-03871</v>
          </cell>
          <cell r="L125" t="str">
            <v>450</v>
          </cell>
          <cell r="M125" t="str">
            <v/>
          </cell>
          <cell r="N125" t="str">
            <v>128</v>
          </cell>
        </row>
        <row r="126">
          <cell r="A126" t="str">
            <v>STACJA ROBOCZA</v>
          </cell>
          <cell r="B126" t="str">
            <v>NEC PowerMate VT Destop P III 450</v>
          </cell>
          <cell r="C126" t="str">
            <v>491-3865</v>
          </cell>
          <cell r="D126" t="str">
            <v>0733109</v>
          </cell>
          <cell r="E126" t="str">
            <v xml:space="preserve">AN </v>
          </cell>
          <cell r="F126" t="str">
            <v xml:space="preserve">STASIAK                  EWA            </v>
          </cell>
          <cell r="G126" t="str">
            <v>U-14/1</v>
          </cell>
          <cell r="H126" t="str">
            <v>1</v>
          </cell>
          <cell r="I126" t="str">
            <v>10-51</v>
          </cell>
          <cell r="J126" t="str">
            <v>8189</v>
          </cell>
          <cell r="K126" t="str">
            <v>491-03865</v>
          </cell>
          <cell r="L126" t="str">
            <v>450</v>
          </cell>
          <cell r="M126" t="str">
            <v/>
          </cell>
          <cell r="N126" t="str">
            <v>64</v>
          </cell>
        </row>
        <row r="127">
          <cell r="A127" t="str">
            <v>STACJA ROBOCZA</v>
          </cell>
          <cell r="B127" t="str">
            <v>DELL Optiplex GX150</v>
          </cell>
          <cell r="C127" t="str">
            <v>491-4815</v>
          </cell>
          <cell r="D127" t="str">
            <v>FVLZ60J</v>
          </cell>
          <cell r="E127" t="str">
            <v xml:space="preserve">AN </v>
          </cell>
          <cell r="F127" t="str">
            <v xml:space="preserve">PORCZYŃSKI               JAROSŁAW       </v>
          </cell>
          <cell r="G127" t="str">
            <v>U-14/1</v>
          </cell>
          <cell r="H127" t="str">
            <v>1</v>
          </cell>
          <cell r="I127" t="str">
            <v>22-57</v>
          </cell>
          <cell r="J127" t="str">
            <v>794</v>
          </cell>
          <cell r="K127" t="str">
            <v>491-04815</v>
          </cell>
          <cell r="L127" t="str">
            <v>1000</v>
          </cell>
          <cell r="M127" t="str">
            <v/>
          </cell>
          <cell r="N127" t="str">
            <v>255</v>
          </cell>
        </row>
        <row r="128">
          <cell r="A128" t="str">
            <v>STACJA ROBOCZA</v>
          </cell>
          <cell r="B128" t="str">
            <v>COMPAQ DESKPRO EXD PIII 733</v>
          </cell>
          <cell r="C128" t="str">
            <v>491-4488</v>
          </cell>
          <cell r="D128" t="str">
            <v>8036FR4ZE529</v>
          </cell>
          <cell r="E128" t="str">
            <v xml:space="preserve">AN </v>
          </cell>
          <cell r="F128" t="str">
            <v xml:space="preserve">ZIMNY                    STANISŁAW      </v>
          </cell>
          <cell r="G128" t="str">
            <v>U-20</v>
          </cell>
          <cell r="H128" t="str">
            <v>5</v>
          </cell>
          <cell r="I128" t="str">
            <v>22-56</v>
          </cell>
          <cell r="J128" t="str">
            <v>1143</v>
          </cell>
          <cell r="K128" t="str">
            <v>491-04488</v>
          </cell>
          <cell r="L128" t="str">
            <v>733</v>
          </cell>
          <cell r="M128" t="str">
            <v/>
          </cell>
          <cell r="N128" t="str">
            <v>127</v>
          </cell>
        </row>
        <row r="129">
          <cell r="A129" t="str">
            <v>STACJA ROBOCZA</v>
          </cell>
          <cell r="B129" t="str">
            <v>DELL Optiplex GX150</v>
          </cell>
          <cell r="C129" t="str">
            <v>491-4817</v>
          </cell>
          <cell r="D129" t="str">
            <v>2WLZ60J</v>
          </cell>
          <cell r="E129" t="str">
            <v xml:space="preserve">AN </v>
          </cell>
          <cell r="F129" t="str">
            <v xml:space="preserve">KOWALCZYK                LECH           </v>
          </cell>
          <cell r="G129" t="str">
            <v>U-14/1</v>
          </cell>
          <cell r="H129" t="str">
            <v>6</v>
          </cell>
          <cell r="I129" t="str">
            <v>22-47</v>
          </cell>
          <cell r="J129" t="str">
            <v>6662</v>
          </cell>
          <cell r="K129" t="str">
            <v>491-04817</v>
          </cell>
          <cell r="L129" t="str">
            <v>1000</v>
          </cell>
          <cell r="M129" t="str">
            <v/>
          </cell>
          <cell r="N129" t="str">
            <v>255</v>
          </cell>
        </row>
        <row r="130">
          <cell r="A130" t="str">
            <v>NOTEBOOK</v>
          </cell>
          <cell r="B130" t="str">
            <v>COMPAQ ARMADA E500  PIII 600</v>
          </cell>
          <cell r="C130" t="str">
            <v>491-4351</v>
          </cell>
          <cell r="D130" t="str">
            <v>7J0ADN98Y01F</v>
          </cell>
          <cell r="E130" t="str">
            <v xml:space="preserve">AN </v>
          </cell>
          <cell r="F130" t="str">
            <v xml:space="preserve">KOWALCZYK                LECH           </v>
          </cell>
          <cell r="G130" t="str">
            <v>U-14/1</v>
          </cell>
          <cell r="H130" t="str">
            <v>6</v>
          </cell>
          <cell r="I130" t="str">
            <v>22-47</v>
          </cell>
          <cell r="J130" t="str">
            <v>6662</v>
          </cell>
          <cell r="K130" t="str">
            <v>491-04351</v>
          </cell>
          <cell r="L130" t="str">
            <v>600</v>
          </cell>
          <cell r="M130" t="str">
            <v/>
          </cell>
          <cell r="N130" t="str">
            <v>128</v>
          </cell>
        </row>
        <row r="131">
          <cell r="A131" t="str">
            <v>STACJA ROBOCZA</v>
          </cell>
          <cell r="B131" t="str">
            <v>COMPAQ DESKPRO EXD PIII 733</v>
          </cell>
          <cell r="C131" t="str">
            <v>491-4287</v>
          </cell>
          <cell r="D131" t="str">
            <v>8036FR4Z3896</v>
          </cell>
          <cell r="E131" t="str">
            <v xml:space="preserve">AN </v>
          </cell>
          <cell r="F131" t="str">
            <v xml:space="preserve">BERŁOWSKA                JOLANTA        </v>
          </cell>
          <cell r="G131" t="str">
            <v>U-14/1</v>
          </cell>
          <cell r="H131" t="str">
            <v>7</v>
          </cell>
          <cell r="I131" t="str">
            <v>22-47</v>
          </cell>
          <cell r="J131" t="str">
            <v>79</v>
          </cell>
          <cell r="K131" t="str">
            <v>491-04287</v>
          </cell>
          <cell r="L131" t="str">
            <v>733</v>
          </cell>
          <cell r="M131" t="str">
            <v/>
          </cell>
          <cell r="N131" t="str">
            <v>127</v>
          </cell>
        </row>
        <row r="132">
          <cell r="A132" t="str">
            <v>STACJA ROBOCZA</v>
          </cell>
          <cell r="B132" t="str">
            <v>DELL Optiplex GX1L 266</v>
          </cell>
          <cell r="C132" t="str">
            <v>491-3254</v>
          </cell>
          <cell r="D132" t="str">
            <v>NM16Q</v>
          </cell>
          <cell r="E132" t="str">
            <v xml:space="preserve">AN </v>
          </cell>
          <cell r="F132" t="str">
            <v xml:space="preserve">GRZESIAK                 MAŁGORZATA     </v>
          </cell>
          <cell r="G132" t="str">
            <v>U-20/5</v>
          </cell>
          <cell r="H132" t="str">
            <v>1</v>
          </cell>
          <cell r="I132" t="str">
            <v>13-47</v>
          </cell>
          <cell r="J132" t="str">
            <v>3352</v>
          </cell>
          <cell r="K132" t="str">
            <v>491-03254</v>
          </cell>
          <cell r="L132" t="str">
            <v>266</v>
          </cell>
          <cell r="M132" t="str">
            <v/>
          </cell>
          <cell r="N132" t="str">
            <v>128</v>
          </cell>
        </row>
        <row r="133">
          <cell r="A133" t="str">
            <v>STACJA ROBOCZA</v>
          </cell>
          <cell r="B133" t="str">
            <v>NEC Direction Minitower P III 450</v>
          </cell>
          <cell r="C133" t="str">
            <v>491-3798</v>
          </cell>
          <cell r="D133" t="str">
            <v>0161109</v>
          </cell>
          <cell r="E133" t="str">
            <v xml:space="preserve">AN </v>
          </cell>
          <cell r="F133" t="str">
            <v xml:space="preserve">ZIMNY                    STANISŁAW      </v>
          </cell>
          <cell r="G133" t="str">
            <v>U-20</v>
          </cell>
          <cell r="H133" t="str">
            <v>5</v>
          </cell>
          <cell r="I133" t="str">
            <v>22-56</v>
          </cell>
          <cell r="J133" t="str">
            <v>1143</v>
          </cell>
          <cell r="K133" t="str">
            <v>491-03798</v>
          </cell>
          <cell r="L133" t="str">
            <v>450</v>
          </cell>
          <cell r="M133" t="str">
            <v/>
          </cell>
          <cell r="N133" t="str">
            <v>128</v>
          </cell>
        </row>
        <row r="134">
          <cell r="A134" t="str">
            <v>NOTEBOOK</v>
          </cell>
          <cell r="B134" t="str">
            <v>NEC VERSA SX PII 366 14.1" XGA TFT</v>
          </cell>
          <cell r="C134" t="str">
            <v>491-3848</v>
          </cell>
          <cell r="D134" t="str">
            <v>G834900009</v>
          </cell>
          <cell r="E134" t="str">
            <v xml:space="preserve">AN </v>
          </cell>
          <cell r="F134" t="str">
            <v xml:space="preserve">SZCZYGIEŁ                KAZIMIERZ      </v>
          </cell>
          <cell r="G134" t="str">
            <v>U-14/1</v>
          </cell>
          <cell r="H134" t="str">
            <v>1</v>
          </cell>
          <cell r="I134" t="str">
            <v>10-51</v>
          </cell>
          <cell r="J134" t="str">
            <v>919</v>
          </cell>
          <cell r="K134" t="str">
            <v/>
          </cell>
          <cell r="L134" t="str">
            <v>366</v>
          </cell>
          <cell r="M134" t="str">
            <v/>
          </cell>
          <cell r="N134" t="str">
            <v/>
          </cell>
        </row>
        <row r="135">
          <cell r="A135" t="str">
            <v>STACJA ROBOCZA</v>
          </cell>
          <cell r="B135" t="str">
            <v>COMPAQ DESKPRO EXD PIII 733</v>
          </cell>
          <cell r="C135" t="str">
            <v>491-4239</v>
          </cell>
          <cell r="D135" t="str">
            <v>8036FR4ZE522</v>
          </cell>
          <cell r="E135" t="str">
            <v xml:space="preserve">AN </v>
          </cell>
          <cell r="F135" t="str">
            <v xml:space="preserve">KOMOROWSKI               WŁODZIMIERZ    </v>
          </cell>
          <cell r="G135" t="str">
            <v>U-13</v>
          </cell>
          <cell r="H135" t="str">
            <v>404</v>
          </cell>
          <cell r="I135" t="str">
            <v>22-77</v>
          </cell>
          <cell r="J135" t="str">
            <v>497</v>
          </cell>
          <cell r="K135" t="str">
            <v>491-04239</v>
          </cell>
          <cell r="L135" t="str">
            <v>733</v>
          </cell>
          <cell r="M135" t="str">
            <v/>
          </cell>
          <cell r="N135" t="str">
            <v>127</v>
          </cell>
        </row>
        <row r="136">
          <cell r="A136" t="str">
            <v>STACJA ROBOCZA</v>
          </cell>
          <cell r="B136" t="str">
            <v>DELL Optiplex GX1L 266</v>
          </cell>
          <cell r="C136" t="str">
            <v>491-3218</v>
          </cell>
          <cell r="D136" t="str">
            <v>NM15H</v>
          </cell>
          <cell r="E136" t="str">
            <v xml:space="preserve">AN </v>
          </cell>
          <cell r="F136" t="str">
            <v xml:space="preserve">OZIMEK                   BOGDAN         </v>
          </cell>
          <cell r="G136" t="str">
            <v>U-13</v>
          </cell>
          <cell r="H136" t="str">
            <v>403</v>
          </cell>
          <cell r="I136" t="str">
            <v>20-69</v>
          </cell>
          <cell r="J136" t="str">
            <v>1164</v>
          </cell>
          <cell r="K136" t="str">
            <v>491-03218</v>
          </cell>
          <cell r="L136" t="str">
            <v>266</v>
          </cell>
          <cell r="M136" t="str">
            <v/>
          </cell>
          <cell r="N136" t="str">
            <v/>
          </cell>
        </row>
        <row r="137">
          <cell r="A137" t="str">
            <v>STACJA ROBOCZA</v>
          </cell>
          <cell r="B137" t="str">
            <v>COMPAQ DESKPRO EXD PIII 733</v>
          </cell>
          <cell r="C137" t="str">
            <v>491-4251</v>
          </cell>
          <cell r="D137" t="str">
            <v>8036FR4ZE396</v>
          </cell>
          <cell r="E137" t="str">
            <v xml:space="preserve">AN </v>
          </cell>
          <cell r="F137" t="str">
            <v xml:space="preserve">SZCZYGIEŁ                KAZIMIERZ      </v>
          </cell>
          <cell r="G137" t="str">
            <v>U-14/1</v>
          </cell>
          <cell r="H137" t="str">
            <v>1</v>
          </cell>
          <cell r="I137" t="str">
            <v>10-51</v>
          </cell>
          <cell r="J137" t="str">
            <v>919</v>
          </cell>
          <cell r="K137" t="str">
            <v>491-04251</v>
          </cell>
          <cell r="L137" t="str">
            <v>733</v>
          </cell>
          <cell r="M137" t="str">
            <v/>
          </cell>
          <cell r="N137" t="str">
            <v>127</v>
          </cell>
        </row>
        <row r="138">
          <cell r="A138" t="str">
            <v>STACJA ROBOCZA</v>
          </cell>
          <cell r="B138" t="str">
            <v>DELL Optiplex GX150</v>
          </cell>
          <cell r="C138" t="str">
            <v>491-4816</v>
          </cell>
          <cell r="D138" t="str">
            <v>JVLZ60J</v>
          </cell>
          <cell r="E138" t="str">
            <v xml:space="preserve">AN </v>
          </cell>
          <cell r="F138" t="str">
            <v xml:space="preserve">KWAŚNIAK                 BOHDAN         </v>
          </cell>
          <cell r="G138" t="str">
            <v>U-14/1</v>
          </cell>
          <cell r="H138" t="str">
            <v>1</v>
          </cell>
          <cell r="I138" t="str">
            <v>22-57</v>
          </cell>
          <cell r="J138" t="str">
            <v>1680</v>
          </cell>
          <cell r="K138" t="str">
            <v>491-04816</v>
          </cell>
          <cell r="L138" t="str">
            <v>1000</v>
          </cell>
          <cell r="M138" t="str">
            <v/>
          </cell>
          <cell r="N138" t="str">
            <v/>
          </cell>
        </row>
        <row r="139">
          <cell r="A139" t="str">
            <v>STACJA ROBOCZA</v>
          </cell>
          <cell r="B139" t="str">
            <v>DELL Optiplex GX1L 266</v>
          </cell>
          <cell r="C139" t="str">
            <v>491-3239</v>
          </cell>
          <cell r="D139" t="str">
            <v>NM19M</v>
          </cell>
          <cell r="E139" t="str">
            <v xml:space="preserve">AN </v>
          </cell>
          <cell r="F139" t="str">
            <v xml:space="preserve">ROSTKOWSKI               JERZY          </v>
          </cell>
          <cell r="G139" t="str">
            <v>U-13</v>
          </cell>
          <cell r="H139" t="str">
            <v>405</v>
          </cell>
          <cell r="I139" t="str">
            <v>20-70</v>
          </cell>
          <cell r="J139" t="str">
            <v>2585</v>
          </cell>
          <cell r="K139" t="str">
            <v>491-03239</v>
          </cell>
          <cell r="L139" t="str">
            <v>266</v>
          </cell>
          <cell r="M139" t="str">
            <v/>
          </cell>
          <cell r="N139" t="str">
            <v>160</v>
          </cell>
        </row>
        <row r="140">
          <cell r="A140" t="str">
            <v>STACJA ROBOCZA</v>
          </cell>
          <cell r="B140" t="str">
            <v>ZENITH Z STATION P166</v>
          </cell>
          <cell r="C140" t="str">
            <v>491-3008</v>
          </cell>
          <cell r="D140" t="str">
            <v>GVDD72904616</v>
          </cell>
          <cell r="E140" t="str">
            <v xml:space="preserve">AN </v>
          </cell>
          <cell r="F140" t="str">
            <v xml:space="preserve">KOWALCZYK                LECH           </v>
          </cell>
          <cell r="G140" t="str">
            <v>U-14/1</v>
          </cell>
          <cell r="H140" t="str">
            <v>6</v>
          </cell>
          <cell r="I140" t="str">
            <v>22-47</v>
          </cell>
          <cell r="J140" t="str">
            <v>6662</v>
          </cell>
          <cell r="K140" t="str">
            <v/>
          </cell>
          <cell r="L140" t="str">
            <v>166</v>
          </cell>
          <cell r="M140" t="str">
            <v/>
          </cell>
          <cell r="N140" t="str">
            <v/>
          </cell>
        </row>
        <row r="141">
          <cell r="A141" t="str">
            <v>STACJA ROBOCZA</v>
          </cell>
          <cell r="B141" t="str">
            <v>DELL Optiplex GX260 SD</v>
          </cell>
          <cell r="C141" t="str">
            <v>491-5118</v>
          </cell>
          <cell r="D141" t="str">
            <v>2KYGL0J</v>
          </cell>
          <cell r="E141" t="str">
            <v xml:space="preserve">AN </v>
          </cell>
          <cell r="F141" t="str">
            <v xml:space="preserve">MARKIEWICZ               ARKADIUSZ      </v>
          </cell>
          <cell r="G141" t="str">
            <v>U-20</v>
          </cell>
          <cell r="H141" t="str">
            <v>5</v>
          </cell>
          <cell r="I141" t="str">
            <v>13-47</v>
          </cell>
          <cell r="J141" t="str">
            <v>5309</v>
          </cell>
          <cell r="K141" t="str">
            <v>491-05118</v>
          </cell>
          <cell r="L141" t="str">
            <v>2400</v>
          </cell>
          <cell r="M141" t="str">
            <v/>
          </cell>
          <cell r="N141" t="str">
            <v>254</v>
          </cell>
        </row>
        <row r="142">
          <cell r="A142" t="str">
            <v>STACJA ROBOCZA</v>
          </cell>
          <cell r="B142" t="str">
            <v>NEC PMVT Desktop P III 450</v>
          </cell>
          <cell r="C142" t="str">
            <v>491-3832</v>
          </cell>
          <cell r="D142" t="str">
            <v>0679109</v>
          </cell>
          <cell r="E142" t="str">
            <v xml:space="preserve">AN </v>
          </cell>
          <cell r="F142" t="str">
            <v xml:space="preserve">LIS                      KRYSTYNA       </v>
          </cell>
          <cell r="G142" t="str">
            <v>U-20/5</v>
          </cell>
          <cell r="H142" t="str">
            <v>1</v>
          </cell>
          <cell r="I142" t="str">
            <v>22-58</v>
          </cell>
          <cell r="J142" t="str">
            <v>4737</v>
          </cell>
          <cell r="K142" t="str">
            <v>491-03832</v>
          </cell>
          <cell r="L142" t="str">
            <v>450</v>
          </cell>
          <cell r="M142" t="str">
            <v/>
          </cell>
          <cell r="N142" t="str">
            <v>128</v>
          </cell>
        </row>
        <row r="143">
          <cell r="A143" t="str">
            <v>STACJA ROBOCZA</v>
          </cell>
          <cell r="B143" t="str">
            <v>NEC PMVT Desktop P III 450</v>
          </cell>
          <cell r="C143" t="str">
            <v>491-3822</v>
          </cell>
          <cell r="D143" t="str">
            <v>0703109</v>
          </cell>
          <cell r="E143" t="str">
            <v xml:space="preserve">AN </v>
          </cell>
          <cell r="F143" t="str">
            <v xml:space="preserve">MARKIEWICZ               ARKADIUSZ      </v>
          </cell>
          <cell r="G143" t="str">
            <v>U-20</v>
          </cell>
          <cell r="H143" t="str">
            <v>5</v>
          </cell>
          <cell r="I143" t="str">
            <v>13-47</v>
          </cell>
          <cell r="J143" t="str">
            <v>5309</v>
          </cell>
          <cell r="K143" t="str">
            <v>491-03822</v>
          </cell>
          <cell r="L143" t="str">
            <v>450</v>
          </cell>
          <cell r="M143" t="str">
            <v/>
          </cell>
          <cell r="N143" t="str">
            <v/>
          </cell>
        </row>
        <row r="144">
          <cell r="A144" t="str">
            <v>STACJA ROBOCZA</v>
          </cell>
          <cell r="B144" t="str">
            <v>COMPAQ DESKPRO EXD PIII 733</v>
          </cell>
          <cell r="C144" t="str">
            <v>491-4330</v>
          </cell>
          <cell r="D144" t="str">
            <v>8036FR4ZE275</v>
          </cell>
          <cell r="E144" t="str">
            <v xml:space="preserve">AP </v>
          </cell>
          <cell r="F144" t="str">
            <v xml:space="preserve">GRZEGORSKI               STEFAN         </v>
          </cell>
          <cell r="G144" t="str">
            <v>U-14</v>
          </cell>
          <cell r="H144" t="str">
            <v>603</v>
          </cell>
          <cell r="I144" t="str">
            <v>14-23</v>
          </cell>
          <cell r="J144" t="str">
            <v>265</v>
          </cell>
          <cell r="K144" t="str">
            <v>491-04330</v>
          </cell>
          <cell r="L144" t="str">
            <v>733</v>
          </cell>
          <cell r="M144" t="str">
            <v/>
          </cell>
          <cell r="N144" t="str">
            <v>127</v>
          </cell>
        </row>
        <row r="145">
          <cell r="A145" t="str">
            <v>STACJA ROBOCZA</v>
          </cell>
          <cell r="B145" t="str">
            <v>NEC PowerMate VT Destop P III 450</v>
          </cell>
          <cell r="C145" t="str">
            <v>491-3863</v>
          </cell>
          <cell r="D145" t="str">
            <v>0664109</v>
          </cell>
          <cell r="E145" t="str">
            <v xml:space="preserve">AP </v>
          </cell>
          <cell r="F145" t="str">
            <v xml:space="preserve">PRUDŁO                   ZBIGNIEW       </v>
          </cell>
          <cell r="G145" t="str">
            <v>W6/1</v>
          </cell>
          <cell r="H145" t="str">
            <v>7</v>
          </cell>
          <cell r="I145" t="str">
            <v>24-41</v>
          </cell>
          <cell r="J145" t="str">
            <v>1698</v>
          </cell>
          <cell r="K145" t="str">
            <v>491-03863</v>
          </cell>
          <cell r="L145" t="str">
            <v>450</v>
          </cell>
          <cell r="M145" t="str">
            <v/>
          </cell>
          <cell r="N145" t="str">
            <v>128</v>
          </cell>
        </row>
        <row r="146">
          <cell r="A146" t="str">
            <v>STACJA ROBOCZA</v>
          </cell>
          <cell r="B146" t="str">
            <v>DELL Optiplex GX260 SD</v>
          </cell>
          <cell r="C146" t="str">
            <v>491-5149</v>
          </cell>
          <cell r="D146" t="str">
            <v>JKYGL0J</v>
          </cell>
          <cell r="E146" t="str">
            <v xml:space="preserve">AP </v>
          </cell>
          <cell r="F146" t="str">
            <v xml:space="preserve">KRÓLIKOWSKI              BŁAŻEJ         </v>
          </cell>
          <cell r="G146" t="str">
            <v>U-14</v>
          </cell>
          <cell r="H146" t="str">
            <v>608</v>
          </cell>
          <cell r="I146" t="str">
            <v>13-03</v>
          </cell>
          <cell r="J146" t="str">
            <v>384</v>
          </cell>
          <cell r="K146" t="str">
            <v>491-05149</v>
          </cell>
          <cell r="L146" t="str">
            <v>2400</v>
          </cell>
          <cell r="M146" t="str">
            <v/>
          </cell>
          <cell r="N146" t="str">
            <v>254</v>
          </cell>
        </row>
        <row r="147">
          <cell r="A147" t="str">
            <v>STACJA ROBOCZA</v>
          </cell>
          <cell r="B147" t="str">
            <v>NEC PowerMate VT Destop P III 450</v>
          </cell>
          <cell r="C147" t="str">
            <v>491-3853</v>
          </cell>
          <cell r="D147" t="str">
            <v>0183109</v>
          </cell>
          <cell r="E147" t="str">
            <v xml:space="preserve">AP </v>
          </cell>
          <cell r="F147" t="str">
            <v xml:space="preserve">HERTEL                   JAN            </v>
          </cell>
          <cell r="G147" t="str">
            <v>P1/12</v>
          </cell>
          <cell r="H147" t="str">
            <v>NASTAWNIA</v>
          </cell>
          <cell r="I147" t="str">
            <v>13-69</v>
          </cell>
          <cell r="J147" t="str">
            <v>1789</v>
          </cell>
          <cell r="K147" t="str">
            <v>491-03853</v>
          </cell>
          <cell r="L147" t="str">
            <v>450</v>
          </cell>
          <cell r="M147" t="str">
            <v/>
          </cell>
          <cell r="N147" t="str">
            <v>128</v>
          </cell>
        </row>
        <row r="148">
          <cell r="A148" t="str">
            <v>STACJA ROBOCZA</v>
          </cell>
          <cell r="B148" t="str">
            <v>ZENITH Z STATION P166</v>
          </cell>
          <cell r="C148" t="str">
            <v>491-2981</v>
          </cell>
          <cell r="D148" t="str">
            <v>GVDD72904565</v>
          </cell>
          <cell r="E148" t="str">
            <v xml:space="preserve">AP </v>
          </cell>
          <cell r="F148" t="str">
            <v xml:space="preserve">KUBIAK                   MARIUSZ        </v>
          </cell>
          <cell r="G148" t="str">
            <v>W6/1</v>
          </cell>
          <cell r="H148" t="str">
            <v>1</v>
          </cell>
          <cell r="I148" t="str">
            <v>13-68</v>
          </cell>
          <cell r="J148" t="str">
            <v>1851</v>
          </cell>
          <cell r="K148" t="str">
            <v>491-02981</v>
          </cell>
          <cell r="L148" t="str">
            <v>166</v>
          </cell>
          <cell r="M148" t="str">
            <v/>
          </cell>
          <cell r="N148" t="str">
            <v/>
          </cell>
        </row>
        <row r="149">
          <cell r="A149" t="str">
            <v>STACJA ROBOCZA</v>
          </cell>
          <cell r="B149" t="str">
            <v>KOMPUTER 386DX</v>
          </cell>
          <cell r="C149" t="str">
            <v>491-2080</v>
          </cell>
          <cell r="D149" t="str">
            <v>3813/053</v>
          </cell>
          <cell r="E149" t="str">
            <v xml:space="preserve">AP </v>
          </cell>
          <cell r="F149" t="str">
            <v xml:space="preserve">ZIELONKA                 SYLWESTER      </v>
          </cell>
          <cell r="G149" t="str">
            <v>U-2</v>
          </cell>
          <cell r="H149" t="str">
            <v>209</v>
          </cell>
          <cell r="I149" t="str">
            <v>13-75</v>
          </cell>
          <cell r="J149" t="str">
            <v>4089</v>
          </cell>
          <cell r="K149" t="str">
            <v>491-02080</v>
          </cell>
          <cell r="L149" t="str">
            <v>366</v>
          </cell>
          <cell r="M149" t="str">
            <v>do zdania</v>
          </cell>
          <cell r="N149" t="str">
            <v>192</v>
          </cell>
        </row>
        <row r="150">
          <cell r="A150" t="str">
            <v>STACJA ROBOCZA</v>
          </cell>
          <cell r="B150" t="str">
            <v>DELL Optiplex GX1MT 350</v>
          </cell>
          <cell r="C150" t="str">
            <v>491-3506</v>
          </cell>
          <cell r="D150" t="str">
            <v>PKN3F</v>
          </cell>
          <cell r="E150" t="str">
            <v xml:space="preserve">AP </v>
          </cell>
          <cell r="F150" t="str">
            <v xml:space="preserve">PAPUGA                   JERZY          </v>
          </cell>
          <cell r="G150" t="str">
            <v>U-21</v>
          </cell>
          <cell r="H150" t="str">
            <v>19</v>
          </cell>
          <cell r="I150" t="str">
            <v>13-59</v>
          </cell>
          <cell r="J150" t="str">
            <v>1351</v>
          </cell>
          <cell r="K150" t="str">
            <v>491-03506</v>
          </cell>
          <cell r="L150" t="str">
            <v>350</v>
          </cell>
          <cell r="M150" t="str">
            <v/>
          </cell>
          <cell r="N150" t="str">
            <v>128</v>
          </cell>
        </row>
        <row r="151">
          <cell r="A151" t="str">
            <v>STACJA ROBOCZA</v>
          </cell>
          <cell r="B151" t="str">
            <v>NEC PMVT Desktop P III 450</v>
          </cell>
          <cell r="C151" t="str">
            <v>491-3820</v>
          </cell>
          <cell r="D151" t="str">
            <v>0195109</v>
          </cell>
          <cell r="E151" t="str">
            <v xml:space="preserve">AP </v>
          </cell>
          <cell r="F151" t="str">
            <v xml:space="preserve">WYSOCKA                  MARIANNA       </v>
          </cell>
          <cell r="G151" t="str">
            <v>U-14</v>
          </cell>
          <cell r="H151" t="str">
            <v>607</v>
          </cell>
          <cell r="I151" t="str">
            <v>13-03</v>
          </cell>
          <cell r="J151" t="str">
            <v>3398</v>
          </cell>
          <cell r="K151" t="str">
            <v>491-03820</v>
          </cell>
          <cell r="L151" t="str">
            <v>450</v>
          </cell>
          <cell r="M151" t="str">
            <v/>
          </cell>
          <cell r="N151" t="str">
            <v>192</v>
          </cell>
        </row>
        <row r="152">
          <cell r="A152" t="str">
            <v>STACJA ROBOCZA</v>
          </cell>
          <cell r="B152" t="str">
            <v>DELL Optiplex GX150</v>
          </cell>
          <cell r="C152" t="str">
            <v>491-4783</v>
          </cell>
          <cell r="D152" t="str">
            <v>DWLZ60J</v>
          </cell>
          <cell r="E152" t="str">
            <v xml:space="preserve">AP </v>
          </cell>
          <cell r="F152" t="str">
            <v xml:space="preserve">BOREK                    ROMUALDA       </v>
          </cell>
          <cell r="G152" t="str">
            <v>U-14</v>
          </cell>
          <cell r="H152" t="str">
            <v>607</v>
          </cell>
          <cell r="I152" t="str">
            <v>13-03</v>
          </cell>
          <cell r="J152" t="str">
            <v>82</v>
          </cell>
          <cell r="K152" t="str">
            <v>491-04783</v>
          </cell>
          <cell r="L152" t="str">
            <v>1000</v>
          </cell>
          <cell r="M152" t="str">
            <v/>
          </cell>
          <cell r="N152" t="str">
            <v>255</v>
          </cell>
        </row>
        <row r="153">
          <cell r="A153" t="str">
            <v>NOTEBOOK</v>
          </cell>
          <cell r="B153" t="str">
            <v>COMPAQ ARMADA E500  PIII 600</v>
          </cell>
          <cell r="C153" t="str">
            <v>491-4356</v>
          </cell>
          <cell r="D153" t="str">
            <v>7J0ADN98Y014</v>
          </cell>
          <cell r="E153" t="str">
            <v xml:space="preserve">AP </v>
          </cell>
          <cell r="F153" t="str">
            <v xml:space="preserve">KRÓL                     ZBIGNIEW       </v>
          </cell>
          <cell r="G153" t="str">
            <v>U-21</v>
          </cell>
          <cell r="H153" t="str">
            <v>18</v>
          </cell>
          <cell r="I153" t="str">
            <v>28-86</v>
          </cell>
          <cell r="J153" t="str">
            <v>5457</v>
          </cell>
          <cell r="K153" t="str">
            <v/>
          </cell>
          <cell r="L153" t="str">
            <v>600</v>
          </cell>
          <cell r="M153" t="str">
            <v/>
          </cell>
          <cell r="N153" t="str">
            <v/>
          </cell>
        </row>
        <row r="154">
          <cell r="A154" t="str">
            <v>NOTEBOOK</v>
          </cell>
          <cell r="B154" t="str">
            <v>NEC VERSA SX PII 366 14.1" XGA TFT</v>
          </cell>
          <cell r="C154" t="str">
            <v>491-3844</v>
          </cell>
          <cell r="D154" t="str">
            <v>G834900006</v>
          </cell>
          <cell r="E154" t="str">
            <v xml:space="preserve">AP </v>
          </cell>
          <cell r="F154" t="str">
            <v xml:space="preserve">GRZEGORSKI               STEFAN         </v>
          </cell>
          <cell r="G154" t="str">
            <v>U-14</v>
          </cell>
          <cell r="H154" t="str">
            <v>603</v>
          </cell>
          <cell r="I154" t="str">
            <v>14-23</v>
          </cell>
          <cell r="J154" t="str">
            <v>265</v>
          </cell>
          <cell r="K154" t="str">
            <v>491-03844</v>
          </cell>
          <cell r="L154" t="str">
            <v>366</v>
          </cell>
          <cell r="M154" t="str">
            <v/>
          </cell>
          <cell r="N154" t="str">
            <v>64</v>
          </cell>
        </row>
        <row r="155">
          <cell r="A155" t="str">
            <v>STACJA ROBOCZA</v>
          </cell>
          <cell r="B155" t="str">
            <v>KOMPUTER 386DX</v>
          </cell>
          <cell r="C155" t="str">
            <v>491-1620/K030</v>
          </cell>
          <cell r="D155" t="str">
            <v>0B23A</v>
          </cell>
          <cell r="E155" t="str">
            <v xml:space="preserve">AP </v>
          </cell>
          <cell r="F155" t="str">
            <v xml:space="preserve">KOMICZ                   GRZEGORZ       </v>
          </cell>
          <cell r="G155" t="str">
            <v>U-6.1</v>
          </cell>
          <cell r="H155" t="str">
            <v>9</v>
          </cell>
          <cell r="I155" t="str">
            <v>13-66</v>
          </cell>
          <cell r="J155" t="str">
            <v>9621</v>
          </cell>
          <cell r="K155" t="str">
            <v/>
          </cell>
          <cell r="L155" t="str">
            <v>0</v>
          </cell>
          <cell r="M155" t="str">
            <v/>
          </cell>
          <cell r="N155" t="str">
            <v/>
          </cell>
        </row>
        <row r="156">
          <cell r="A156" t="str">
            <v>STACJA ROBOCZA</v>
          </cell>
          <cell r="B156" t="str">
            <v>DELL Optiplex GX1L 266</v>
          </cell>
          <cell r="C156" t="str">
            <v>491-3264</v>
          </cell>
          <cell r="D156" t="str">
            <v>NM15W</v>
          </cell>
          <cell r="E156" t="str">
            <v xml:space="preserve">AP </v>
          </cell>
          <cell r="F156" t="str">
            <v xml:space="preserve">OSMÓLSKI                 SŁAWOMIR       </v>
          </cell>
          <cell r="G156" t="str">
            <v>R-8</v>
          </cell>
          <cell r="H156" t="str">
            <v>1</v>
          </cell>
          <cell r="I156" t="str">
            <v>28-81</v>
          </cell>
          <cell r="J156" t="str">
            <v>9357</v>
          </cell>
          <cell r="K156" t="str">
            <v>491-03264</v>
          </cell>
          <cell r="L156" t="str">
            <v>266</v>
          </cell>
          <cell r="M156" t="str">
            <v/>
          </cell>
          <cell r="N156" t="str">
            <v>128</v>
          </cell>
        </row>
        <row r="157">
          <cell r="A157" t="str">
            <v>STACJA ROBOCZA</v>
          </cell>
          <cell r="B157" t="str">
            <v>COMPAQ DESKPRO EXD PIII 733</v>
          </cell>
          <cell r="C157" t="str">
            <v>491-4327</v>
          </cell>
          <cell r="D157" t="str">
            <v>8036FR4ZE465</v>
          </cell>
          <cell r="E157" t="str">
            <v xml:space="preserve">AP </v>
          </cell>
          <cell r="F157" t="str">
            <v xml:space="preserve">KRÓL                     ZBIGNIEW       </v>
          </cell>
          <cell r="G157" t="str">
            <v>U-21</v>
          </cell>
          <cell r="H157" t="str">
            <v>18</v>
          </cell>
          <cell r="I157" t="str">
            <v>28-86</v>
          </cell>
          <cell r="J157" t="str">
            <v>5457</v>
          </cell>
          <cell r="K157" t="str">
            <v>491-04327</v>
          </cell>
          <cell r="L157" t="str">
            <v>733</v>
          </cell>
          <cell r="M157" t="str">
            <v/>
          </cell>
          <cell r="N157" t="str">
            <v>127</v>
          </cell>
        </row>
        <row r="158">
          <cell r="A158" t="str">
            <v>STACJA ROBOCZA</v>
          </cell>
          <cell r="B158" t="str">
            <v>DELL Optiplex GX260 SD</v>
          </cell>
          <cell r="C158" t="str">
            <v>491-5148</v>
          </cell>
          <cell r="D158" t="str">
            <v>DKYGL0J</v>
          </cell>
          <cell r="E158" t="str">
            <v xml:space="preserve">AP </v>
          </cell>
          <cell r="F158" t="str">
            <v xml:space="preserve">CHMIELEWSKI              TADEUSZ        </v>
          </cell>
          <cell r="G158" t="str">
            <v>U-14</v>
          </cell>
          <cell r="H158" t="str">
            <v>603</v>
          </cell>
          <cell r="I158" t="str">
            <v>21-83</v>
          </cell>
          <cell r="J158" t="str">
            <v>111</v>
          </cell>
          <cell r="K158" t="str">
            <v>491-05148</v>
          </cell>
          <cell r="L158" t="str">
            <v>2400</v>
          </cell>
          <cell r="M158" t="str">
            <v/>
          </cell>
          <cell r="N158" t="str">
            <v>254</v>
          </cell>
        </row>
        <row r="159">
          <cell r="A159" t="str">
            <v>STACJA ROBOCZA</v>
          </cell>
          <cell r="B159" t="str">
            <v>NEC Direction Minitower P III 450</v>
          </cell>
          <cell r="C159" t="str">
            <v>491-3802</v>
          </cell>
          <cell r="D159" t="str">
            <v>0160109</v>
          </cell>
          <cell r="E159" t="str">
            <v xml:space="preserve">AP </v>
          </cell>
          <cell r="F159" t="str">
            <v xml:space="preserve">NOWAKOWSKI               MARIUSZ        </v>
          </cell>
          <cell r="G159" t="str">
            <v>U-21</v>
          </cell>
          <cell r="H159" t="str">
            <v>18</v>
          </cell>
          <cell r="I159" t="str">
            <v>28-86</v>
          </cell>
          <cell r="J159" t="str">
            <v>4392</v>
          </cell>
          <cell r="K159" t="str">
            <v>491-03802</v>
          </cell>
          <cell r="L159" t="str">
            <v>450</v>
          </cell>
          <cell r="M159" t="str">
            <v/>
          </cell>
          <cell r="N159" t="str">
            <v/>
          </cell>
        </row>
        <row r="160">
          <cell r="A160" t="str">
            <v>STACJA ROBOCZA</v>
          </cell>
          <cell r="B160" t="str">
            <v>DELL Optiplex GX1L 350</v>
          </cell>
          <cell r="C160" t="str">
            <v>491-3530</v>
          </cell>
          <cell r="D160" t="str">
            <v>PKGNV</v>
          </cell>
          <cell r="E160" t="str">
            <v xml:space="preserve">AP </v>
          </cell>
          <cell r="F160" t="str">
            <v xml:space="preserve">ROJEK                    EUGENIUSZ      </v>
          </cell>
          <cell r="G160" t="str">
            <v>P1/12</v>
          </cell>
          <cell r="H160" t="str">
            <v>NASTAWNIA</v>
          </cell>
          <cell r="I160" t="str">
            <v>13-69</v>
          </cell>
          <cell r="J160" t="str">
            <v>2628</v>
          </cell>
          <cell r="K160" t="str">
            <v>491-03530</v>
          </cell>
          <cell r="L160" t="str">
            <v>350</v>
          </cell>
          <cell r="M160" t="str">
            <v/>
          </cell>
          <cell r="N160" t="str">
            <v>128</v>
          </cell>
        </row>
        <row r="161">
          <cell r="A161" t="str">
            <v>STACJA ROBOCZA</v>
          </cell>
          <cell r="B161" t="str">
            <v>COMPAQ DESKPRO EXD PIII 733</v>
          </cell>
          <cell r="C161" t="str">
            <v>491-4441</v>
          </cell>
          <cell r="D161" t="str">
            <v>8037FR4Z2718</v>
          </cell>
          <cell r="E161" t="str">
            <v xml:space="preserve">AP </v>
          </cell>
          <cell r="F161" t="str">
            <v xml:space="preserve">STACEWICZ                KAZIMIERZ      </v>
          </cell>
          <cell r="G161" t="str">
            <v>U-14</v>
          </cell>
          <cell r="H161" t="str">
            <v>602</v>
          </cell>
          <cell r="I161" t="str">
            <v>28-64</v>
          </cell>
          <cell r="J161" t="str">
            <v>889</v>
          </cell>
          <cell r="K161" t="str">
            <v>491-04441</v>
          </cell>
          <cell r="L161" t="str">
            <v>733</v>
          </cell>
          <cell r="M161" t="str">
            <v/>
          </cell>
          <cell r="N161" t="str">
            <v>127</v>
          </cell>
        </row>
        <row r="162">
          <cell r="A162" t="str">
            <v>STACJA ROBOCZA</v>
          </cell>
          <cell r="B162" t="str">
            <v>NEC PowerMate VT Destop P III 450</v>
          </cell>
          <cell r="C162" t="str">
            <v>491-4044</v>
          </cell>
          <cell r="D162" t="str">
            <v>0691109</v>
          </cell>
          <cell r="E162" t="str">
            <v xml:space="preserve">AP </v>
          </cell>
          <cell r="F162" t="str">
            <v xml:space="preserve">KOZIEŁ                   DARIUSZ        </v>
          </cell>
          <cell r="G162" t="str">
            <v>U-13</v>
          </cell>
          <cell r="H162" t="str">
            <v>409</v>
          </cell>
          <cell r="I162" t="str">
            <v>27-13</v>
          </cell>
          <cell r="J162" t="str">
            <v>3239</v>
          </cell>
          <cell r="K162" t="str">
            <v>491-04044</v>
          </cell>
          <cell r="L162" t="str">
            <v>450</v>
          </cell>
          <cell r="M162" t="str">
            <v/>
          </cell>
          <cell r="N162" t="str">
            <v>128</v>
          </cell>
        </row>
        <row r="163">
          <cell r="A163" t="str">
            <v>STACJA ROBOCZA</v>
          </cell>
          <cell r="B163" t="str">
            <v>DELL Optiplex GX1L 266</v>
          </cell>
          <cell r="C163" t="str">
            <v>491-3318</v>
          </cell>
          <cell r="D163" t="str">
            <v>NM185</v>
          </cell>
          <cell r="E163" t="str">
            <v xml:space="preserve">AP </v>
          </cell>
          <cell r="F163" t="str">
            <v xml:space="preserve">SOCHACKI                 PIOTR          </v>
          </cell>
          <cell r="G163" t="str">
            <v>W6/1</v>
          </cell>
          <cell r="H163" t="str">
            <v>8</v>
          </cell>
          <cell r="I163" t="str">
            <v>13-64</v>
          </cell>
          <cell r="J163" t="str">
            <v>9459</v>
          </cell>
          <cell r="K163" t="str">
            <v>491-03318</v>
          </cell>
          <cell r="L163" t="str">
            <v>266</v>
          </cell>
          <cell r="M163" t="str">
            <v/>
          </cell>
          <cell r="N163" t="str">
            <v/>
          </cell>
        </row>
        <row r="164">
          <cell r="A164" t="str">
            <v>STACJA ROBOCZA</v>
          </cell>
          <cell r="B164" t="str">
            <v>NEC PowerMate VT Destop P III 450</v>
          </cell>
          <cell r="C164" t="str">
            <v>491-3864</v>
          </cell>
          <cell r="D164" t="str">
            <v>0681109</v>
          </cell>
          <cell r="E164" t="str">
            <v xml:space="preserve">AP </v>
          </cell>
          <cell r="F164" t="str">
            <v xml:space="preserve">DUDKIEWICZ               JACEK          </v>
          </cell>
          <cell r="G164" t="str">
            <v>W6/1</v>
          </cell>
          <cell r="H164" t="str">
            <v>8</v>
          </cell>
          <cell r="I164" t="str">
            <v>14-26</v>
          </cell>
          <cell r="J164" t="str">
            <v>1574</v>
          </cell>
          <cell r="K164" t="str">
            <v>491-03864</v>
          </cell>
          <cell r="L164" t="str">
            <v>450</v>
          </cell>
          <cell r="M164" t="str">
            <v/>
          </cell>
          <cell r="N164" t="str">
            <v>64</v>
          </cell>
        </row>
        <row r="165">
          <cell r="A165" t="str">
            <v>NOTEBOOK</v>
          </cell>
          <cell r="B165" t="str">
            <v>COMPAQ ARMADA E500  PIII 600</v>
          </cell>
          <cell r="C165" t="str">
            <v>491-4359</v>
          </cell>
          <cell r="D165" t="str">
            <v>7J0ADN98Y023</v>
          </cell>
          <cell r="E165" t="str">
            <v xml:space="preserve">AP </v>
          </cell>
          <cell r="F165" t="str">
            <v xml:space="preserve">BEDNAREK                 PAWEŁ          </v>
          </cell>
          <cell r="G165" t="str">
            <v>U-14</v>
          </cell>
          <cell r="H165" t="str">
            <v>602</v>
          </cell>
          <cell r="I165" t="str">
            <v>13-70</v>
          </cell>
          <cell r="J165" t="str">
            <v>9315</v>
          </cell>
          <cell r="K165" t="str">
            <v/>
          </cell>
          <cell r="L165" t="str">
            <v>600</v>
          </cell>
          <cell r="M165" t="str">
            <v/>
          </cell>
          <cell r="N165" t="str">
            <v/>
          </cell>
        </row>
        <row r="166">
          <cell r="A166" t="str">
            <v>NOTEBOOK</v>
          </cell>
          <cell r="B166" t="str">
            <v>COMPAQ ARMADA 1120</v>
          </cell>
          <cell r="C166" t="str">
            <v>491-2852</v>
          </cell>
          <cell r="D166" t="str">
            <v>7649HYC34143</v>
          </cell>
          <cell r="E166" t="str">
            <v xml:space="preserve">AP </v>
          </cell>
          <cell r="F166" t="str">
            <v xml:space="preserve">BEDNAREK                 PAWEŁ          </v>
          </cell>
          <cell r="G166" t="str">
            <v>U-14</v>
          </cell>
          <cell r="H166" t="str">
            <v>602</v>
          </cell>
          <cell r="I166" t="str">
            <v>13-70</v>
          </cell>
          <cell r="J166" t="str">
            <v>9315</v>
          </cell>
          <cell r="K166" t="str">
            <v/>
          </cell>
          <cell r="L166" t="str">
            <v>120</v>
          </cell>
          <cell r="M166" t="str">
            <v>JMAS: za slaby</v>
          </cell>
          <cell r="N166" t="str">
            <v/>
          </cell>
        </row>
        <row r="167">
          <cell r="A167" t="str">
            <v>STACJA ROBOCZA</v>
          </cell>
          <cell r="B167" t="str">
            <v>COMPAQ DESKPRO 2000 DT 5120 M1080</v>
          </cell>
          <cell r="C167" t="str">
            <v>491-2761</v>
          </cell>
          <cell r="D167" t="str">
            <v>8651HVS50701</v>
          </cell>
          <cell r="E167" t="str">
            <v xml:space="preserve">AP </v>
          </cell>
          <cell r="F167" t="str">
            <v xml:space="preserve">HERTEL                   JAN            </v>
          </cell>
          <cell r="G167" t="str">
            <v>P1/12</v>
          </cell>
          <cell r="H167" t="str">
            <v>NASTAWNIA</v>
          </cell>
          <cell r="I167" t="str">
            <v>13-69</v>
          </cell>
          <cell r="J167" t="str">
            <v>1789</v>
          </cell>
          <cell r="K167" t="str">
            <v>491-02761</v>
          </cell>
          <cell r="L167" t="str">
            <v>120</v>
          </cell>
          <cell r="M167" t="str">
            <v/>
          </cell>
          <cell r="N167" t="str">
            <v>64</v>
          </cell>
        </row>
        <row r="168">
          <cell r="A168" t="str">
            <v>NOTEBOOK</v>
          </cell>
          <cell r="B168" t="str">
            <v>NEC VERSA SX PII 366</v>
          </cell>
          <cell r="C168" t="str">
            <v>491-3949</v>
          </cell>
          <cell r="D168" t="str">
            <v>H055300008</v>
          </cell>
          <cell r="E168" t="str">
            <v xml:space="preserve">AP </v>
          </cell>
          <cell r="F168" t="str">
            <v xml:space="preserve">LASAK                    TOMASZ         </v>
          </cell>
          <cell r="G168" t="str">
            <v>PB-3</v>
          </cell>
          <cell r="H168" t="str">
            <v>PB-3</v>
          </cell>
          <cell r="I168" t="str">
            <v>21-85</v>
          </cell>
          <cell r="J168" t="str">
            <v>5277</v>
          </cell>
          <cell r="K168" t="str">
            <v/>
          </cell>
          <cell r="L168" t="str">
            <v>366</v>
          </cell>
          <cell r="M168" t="str">
            <v/>
          </cell>
          <cell r="N168" t="str">
            <v/>
          </cell>
        </row>
        <row r="169">
          <cell r="A169" t="str">
            <v>STACJA ROBOCZA</v>
          </cell>
          <cell r="B169" t="str">
            <v>DELL Optiplex GX1L 266</v>
          </cell>
          <cell r="C169" t="str">
            <v>491-3311</v>
          </cell>
          <cell r="D169" t="str">
            <v>NM14H</v>
          </cell>
          <cell r="E169" t="str">
            <v xml:space="preserve">AP </v>
          </cell>
          <cell r="F169" t="str">
            <v xml:space="preserve">KĘSY                     GRZEGORZ       </v>
          </cell>
          <cell r="G169" t="str">
            <v>U-21</v>
          </cell>
          <cell r="H169" t="str">
            <v>19</v>
          </cell>
          <cell r="I169" t="str">
            <v>34-27</v>
          </cell>
          <cell r="J169" t="str">
            <v>9451</v>
          </cell>
          <cell r="K169" t="str">
            <v>491-03311</v>
          </cell>
          <cell r="L169" t="str">
            <v>266</v>
          </cell>
          <cell r="M169" t="str">
            <v/>
          </cell>
          <cell r="N169" t="str">
            <v/>
          </cell>
        </row>
        <row r="170">
          <cell r="A170" t="str">
            <v>NOTEBOOK</v>
          </cell>
          <cell r="B170" t="str">
            <v>DELL Latitude C600</v>
          </cell>
          <cell r="C170" t="str">
            <v>491-4806</v>
          </cell>
          <cell r="D170" t="str">
            <v>CLXY60J</v>
          </cell>
          <cell r="E170" t="str">
            <v xml:space="preserve">AP </v>
          </cell>
          <cell r="F170" t="str">
            <v xml:space="preserve">KUBIAK                   MARIUSZ        </v>
          </cell>
          <cell r="G170" t="str">
            <v>W6/1</v>
          </cell>
          <cell r="H170" t="str">
            <v>1</v>
          </cell>
          <cell r="I170" t="str">
            <v>13-68</v>
          </cell>
          <cell r="J170" t="str">
            <v>1851</v>
          </cell>
          <cell r="K170" t="str">
            <v/>
          </cell>
          <cell r="L170" t="str">
            <v>700</v>
          </cell>
          <cell r="M170" t="str">
            <v/>
          </cell>
          <cell r="N170" t="str">
            <v/>
          </cell>
        </row>
        <row r="171">
          <cell r="A171" t="str">
            <v>STACJA ROBOCZA</v>
          </cell>
          <cell r="B171" t="str">
            <v>ZENITH Z STATION P200</v>
          </cell>
          <cell r="C171" t="str">
            <v>491-3095</v>
          </cell>
          <cell r="D171" t="str">
            <v>GVDD72904555</v>
          </cell>
          <cell r="E171" t="str">
            <v xml:space="preserve">AP </v>
          </cell>
          <cell r="F171" t="str">
            <v xml:space="preserve">BOGUSŁAWSKI              MIROSŁAW       </v>
          </cell>
          <cell r="G171" t="str">
            <v>U-14</v>
          </cell>
          <cell r="H171" t="str">
            <v>805</v>
          </cell>
          <cell r="I171" t="str">
            <v>13-69</v>
          </cell>
          <cell r="J171" t="str">
            <v>1462</v>
          </cell>
          <cell r="K171" t="str">
            <v/>
          </cell>
          <cell r="L171" t="str">
            <v>200</v>
          </cell>
          <cell r="M171" t="str">
            <v/>
          </cell>
          <cell r="N171" t="str">
            <v/>
          </cell>
        </row>
        <row r="172">
          <cell r="A172" t="str">
            <v>STACJA ROBOCZA</v>
          </cell>
          <cell r="B172" t="str">
            <v>COMPAQ DESKPRO 2000 DT 5120 M1080</v>
          </cell>
          <cell r="C172" t="str">
            <v>491-2774</v>
          </cell>
          <cell r="D172" t="str">
            <v>8651HVS50612</v>
          </cell>
          <cell r="E172" t="str">
            <v xml:space="preserve">AP </v>
          </cell>
          <cell r="F172" t="str">
            <v xml:space="preserve">ZDUŃSKI                  WIEŃCZYSŁAW    </v>
          </cell>
          <cell r="G172" t="str">
            <v>W6/1</v>
          </cell>
          <cell r="H172" t="str">
            <v>11</v>
          </cell>
          <cell r="I172" t="str">
            <v>14-26</v>
          </cell>
          <cell r="J172" t="str">
            <v>2620</v>
          </cell>
          <cell r="K172" t="str">
            <v>491-02774</v>
          </cell>
          <cell r="L172" t="str">
            <v>120</v>
          </cell>
          <cell r="M172" t="str">
            <v/>
          </cell>
          <cell r="N172" t="str">
            <v>32</v>
          </cell>
        </row>
        <row r="173">
          <cell r="A173" t="str">
            <v>STACJA ROBOCZA</v>
          </cell>
          <cell r="B173" t="str">
            <v>DELL Optiplex GX150</v>
          </cell>
          <cell r="C173" t="str">
            <v>491-4784</v>
          </cell>
          <cell r="D173" t="str">
            <v>FLRX60J</v>
          </cell>
          <cell r="E173" t="str">
            <v xml:space="preserve">AP </v>
          </cell>
          <cell r="F173" t="str">
            <v xml:space="preserve">BEDNAREK                 PAWEŁ          </v>
          </cell>
          <cell r="G173" t="str">
            <v>U-14</v>
          </cell>
          <cell r="H173" t="str">
            <v>602</v>
          </cell>
          <cell r="I173" t="str">
            <v>13-70</v>
          </cell>
          <cell r="J173" t="str">
            <v>9315</v>
          </cell>
          <cell r="K173" t="str">
            <v>491-04784</v>
          </cell>
          <cell r="L173" t="str">
            <v>1000</v>
          </cell>
          <cell r="M173" t="str">
            <v/>
          </cell>
          <cell r="N173" t="str">
            <v/>
          </cell>
        </row>
        <row r="174">
          <cell r="A174" t="str">
            <v>STACJA ROBOCZA</v>
          </cell>
          <cell r="B174" t="str">
            <v>NEC Direction Minitower P III 450</v>
          </cell>
          <cell r="C174" t="str">
            <v>491-3741</v>
          </cell>
          <cell r="D174" t="str">
            <v>0130109</v>
          </cell>
          <cell r="E174" t="str">
            <v xml:space="preserve">AT </v>
          </cell>
          <cell r="F174" t="str">
            <v xml:space="preserve">CIESIELSKI               MAREK          </v>
          </cell>
          <cell r="G174" t="str">
            <v>U-12</v>
          </cell>
          <cell r="H174" t="str">
            <v>324</v>
          </cell>
          <cell r="I174" t="str">
            <v>14-10</v>
          </cell>
          <cell r="J174" t="str">
            <v>135</v>
          </cell>
          <cell r="K174" t="str">
            <v>491-03741</v>
          </cell>
          <cell r="L174" t="str">
            <v>450</v>
          </cell>
          <cell r="M174" t="str">
            <v/>
          </cell>
          <cell r="N174" t="str">
            <v/>
          </cell>
        </row>
        <row r="175">
          <cell r="A175" t="str">
            <v>STACJA ROBOCZA</v>
          </cell>
          <cell r="B175" t="str">
            <v>DELL Optiplex GX150</v>
          </cell>
          <cell r="C175" t="str">
            <v>491-4797</v>
          </cell>
          <cell r="D175" t="str">
            <v>JRRX60J</v>
          </cell>
          <cell r="E175" t="str">
            <v xml:space="preserve">AT </v>
          </cell>
          <cell r="F175" t="str">
            <v xml:space="preserve">KOBIELA                  IRENEUSZ       </v>
          </cell>
          <cell r="G175" t="str">
            <v>U-12</v>
          </cell>
          <cell r="H175" t="str">
            <v>329</v>
          </cell>
          <cell r="I175" t="str">
            <v>14-00</v>
          </cell>
          <cell r="J175" t="str">
            <v>504</v>
          </cell>
          <cell r="K175" t="str">
            <v>AT-IRENEUSZK_NT</v>
          </cell>
          <cell r="L175" t="str">
            <v>1000</v>
          </cell>
          <cell r="M175" t="str">
            <v/>
          </cell>
          <cell r="N175" t="str">
            <v/>
          </cell>
        </row>
        <row r="176">
          <cell r="A176" t="str">
            <v>STACJA ROBOCZA</v>
          </cell>
          <cell r="B176" t="str">
            <v>DELL Optiplex GX150</v>
          </cell>
          <cell r="C176" t="str">
            <v>491-4799</v>
          </cell>
          <cell r="D176" t="str">
            <v>9QRX60J</v>
          </cell>
          <cell r="E176" t="str">
            <v xml:space="preserve">AT </v>
          </cell>
          <cell r="F176" t="str">
            <v xml:space="preserve">WILCZEK                  ROBERT         </v>
          </cell>
          <cell r="G176" t="str">
            <v>U-12</v>
          </cell>
          <cell r="H176" t="str">
            <v>324</v>
          </cell>
          <cell r="I176" t="str">
            <v>14-11</v>
          </cell>
          <cell r="J176" t="str">
            <v>5062</v>
          </cell>
          <cell r="K176" t="str">
            <v>491-04799</v>
          </cell>
          <cell r="L176" t="str">
            <v>1000</v>
          </cell>
          <cell r="M176" t="str">
            <v/>
          </cell>
          <cell r="N176" t="str">
            <v/>
          </cell>
        </row>
        <row r="177">
          <cell r="A177" t="str">
            <v>STACJA ROBOCZA</v>
          </cell>
          <cell r="B177" t="str">
            <v>NEC PMVT Desktop P III 450</v>
          </cell>
          <cell r="C177" t="str">
            <v>491-3829</v>
          </cell>
          <cell r="D177" t="str">
            <v>0177109</v>
          </cell>
          <cell r="E177" t="str">
            <v xml:space="preserve">AT </v>
          </cell>
          <cell r="F177" t="str">
            <v xml:space="preserve">KOWALSKI                 MAREK          </v>
          </cell>
          <cell r="G177" t="str">
            <v>U-12</v>
          </cell>
          <cell r="H177" t="str">
            <v>324</v>
          </cell>
          <cell r="I177" t="str">
            <v>14-12</v>
          </cell>
          <cell r="J177" t="str">
            <v>1314</v>
          </cell>
          <cell r="K177" t="str">
            <v>491-03829</v>
          </cell>
          <cell r="L177" t="str">
            <v>450</v>
          </cell>
          <cell r="M177" t="str">
            <v/>
          </cell>
          <cell r="N177" t="str">
            <v>128</v>
          </cell>
        </row>
        <row r="178">
          <cell r="A178" t="str">
            <v>STACJA ROBOCZA</v>
          </cell>
          <cell r="B178" t="str">
            <v>COMPAQ DESKPRO EXD PIII 733</v>
          </cell>
          <cell r="C178" t="str">
            <v>491-4247</v>
          </cell>
          <cell r="D178" t="str">
            <v>8036FR4ZE428</v>
          </cell>
          <cell r="E178" t="str">
            <v xml:space="preserve">AT </v>
          </cell>
          <cell r="F178" t="str">
            <v xml:space="preserve">MŁYNARCZYK               MAREK          </v>
          </cell>
          <cell r="G178" t="str">
            <v>U-12</v>
          </cell>
          <cell r="H178" t="str">
            <v>213B</v>
          </cell>
          <cell r="I178" t="str">
            <v>39-18</v>
          </cell>
          <cell r="J178" t="str">
            <v>1821</v>
          </cell>
          <cell r="K178" t="str">
            <v>491-04247</v>
          </cell>
          <cell r="L178" t="str">
            <v>733</v>
          </cell>
          <cell r="M178" t="str">
            <v/>
          </cell>
          <cell r="N178" t="str">
            <v>127</v>
          </cell>
        </row>
        <row r="179">
          <cell r="A179" t="str">
            <v>STACJA ROBOCZA</v>
          </cell>
          <cell r="B179" t="str">
            <v>DELL PRECISION 650</v>
          </cell>
          <cell r="C179" t="str">
            <v>491-5082</v>
          </cell>
          <cell r="D179" t="str">
            <v>682WL0J</v>
          </cell>
          <cell r="E179" t="str">
            <v xml:space="preserve">AT </v>
          </cell>
          <cell r="F179" t="str">
            <v xml:space="preserve">SZYMACHA                 JANUSZ         </v>
          </cell>
          <cell r="G179" t="str">
            <v>U-12</v>
          </cell>
          <cell r="H179" t="str">
            <v>312</v>
          </cell>
          <cell r="I179" t="str">
            <v>22-49</v>
          </cell>
          <cell r="J179" t="str">
            <v>7759</v>
          </cell>
          <cell r="K179" t="str">
            <v>491-05082</v>
          </cell>
          <cell r="L179" t="str">
            <v>2400</v>
          </cell>
          <cell r="M179" t="str">
            <v/>
          </cell>
          <cell r="N179" t="str">
            <v/>
          </cell>
        </row>
        <row r="180">
          <cell r="A180" t="str">
            <v>STACJA ROBOCZA</v>
          </cell>
          <cell r="B180" t="str">
            <v>COMPAQ DESKPRO EXD PIII 733</v>
          </cell>
          <cell r="C180" t="str">
            <v>491-4439</v>
          </cell>
          <cell r="D180" t="str">
            <v>8036FR4Z6649</v>
          </cell>
          <cell r="E180" t="str">
            <v xml:space="preserve">AT </v>
          </cell>
          <cell r="F180" t="str">
            <v xml:space="preserve">KONIECZNA                ELZBIETA       </v>
          </cell>
          <cell r="G180" t="str">
            <v>U-12</v>
          </cell>
          <cell r="H180" t="str">
            <v>213B</v>
          </cell>
          <cell r="I180" t="str">
            <v>14-05</v>
          </cell>
          <cell r="J180" t="str">
            <v>1332</v>
          </cell>
          <cell r="K180" t="str">
            <v>491-04439</v>
          </cell>
          <cell r="L180" t="str">
            <v>733</v>
          </cell>
          <cell r="M180" t="str">
            <v/>
          </cell>
          <cell r="N180" t="str">
            <v>127</v>
          </cell>
        </row>
        <row r="181">
          <cell r="A181" t="str">
            <v>STACJA ROBOCZA</v>
          </cell>
          <cell r="B181" t="str">
            <v>NEC Direction Minitower P III 450</v>
          </cell>
          <cell r="C181" t="str">
            <v>491-3745</v>
          </cell>
          <cell r="D181" t="str">
            <v>0126109</v>
          </cell>
          <cell r="E181" t="str">
            <v xml:space="preserve">AT </v>
          </cell>
          <cell r="F181" t="str">
            <v xml:space="preserve">MILCZAK                  BOŻENA         </v>
          </cell>
          <cell r="G181" t="str">
            <v>U-12</v>
          </cell>
          <cell r="H181" t="str">
            <v>213B</v>
          </cell>
          <cell r="I181" t="str">
            <v>14-05</v>
          </cell>
          <cell r="J181" t="str">
            <v>2564</v>
          </cell>
          <cell r="K181" t="str">
            <v>491-03745</v>
          </cell>
          <cell r="L181" t="str">
            <v>450</v>
          </cell>
          <cell r="M181" t="str">
            <v/>
          </cell>
          <cell r="N181" t="str">
            <v/>
          </cell>
        </row>
        <row r="182">
          <cell r="A182" t="str">
            <v>NOTEBOOK</v>
          </cell>
          <cell r="B182" t="str">
            <v>NEC VERSA SX PII 366 14.1" XGA TFT</v>
          </cell>
          <cell r="C182" t="str">
            <v>491-3851</v>
          </cell>
          <cell r="D182" t="str">
            <v>G834900004</v>
          </cell>
          <cell r="E182" t="str">
            <v xml:space="preserve">AT </v>
          </cell>
          <cell r="F182" t="str">
            <v xml:space="preserve">MŁYNARCZYK               MAREK          </v>
          </cell>
          <cell r="G182" t="str">
            <v>U-12</v>
          </cell>
          <cell r="H182" t="str">
            <v>213B</v>
          </cell>
          <cell r="I182" t="str">
            <v>39-18</v>
          </cell>
          <cell r="J182" t="str">
            <v>1821</v>
          </cell>
          <cell r="K182" t="str">
            <v/>
          </cell>
          <cell r="L182" t="str">
            <v>366</v>
          </cell>
          <cell r="M182" t="str">
            <v/>
          </cell>
          <cell r="N182" t="str">
            <v/>
          </cell>
        </row>
        <row r="183">
          <cell r="A183" t="str">
            <v>STACJA ROBOCZA</v>
          </cell>
          <cell r="B183" t="str">
            <v>DELL Optiplex GX1L 266</v>
          </cell>
          <cell r="C183" t="str">
            <v>491-3305</v>
          </cell>
          <cell r="D183" t="str">
            <v>NM149</v>
          </cell>
          <cell r="E183" t="str">
            <v xml:space="preserve">AT </v>
          </cell>
          <cell r="F183" t="str">
            <v xml:space="preserve">RUSZKOWSKI               KAZIMIERZ      </v>
          </cell>
          <cell r="G183" t="str">
            <v>U-12</v>
          </cell>
          <cell r="H183" t="str">
            <v>34</v>
          </cell>
          <cell r="I183" t="str">
            <v>14-07</v>
          </cell>
          <cell r="J183" t="str">
            <v>1236</v>
          </cell>
          <cell r="K183" t="str">
            <v>491-03305</v>
          </cell>
          <cell r="L183" t="str">
            <v>266</v>
          </cell>
          <cell r="M183" t="str">
            <v/>
          </cell>
          <cell r="N183" t="str">
            <v>64</v>
          </cell>
        </row>
        <row r="184">
          <cell r="A184" t="str">
            <v>STACJA ROBOCZA</v>
          </cell>
          <cell r="B184" t="str">
            <v>NEC PMVT Desktop P III 450</v>
          </cell>
          <cell r="C184" t="str">
            <v>491-3819</v>
          </cell>
          <cell r="D184" t="str">
            <v>0696109</v>
          </cell>
          <cell r="E184" t="str">
            <v xml:space="preserve">AT </v>
          </cell>
          <cell r="F184" t="str">
            <v xml:space="preserve">KOZIOROWICZ              IRENA          </v>
          </cell>
          <cell r="G184" t="str">
            <v>U-13</v>
          </cell>
          <cell r="H184" t="str">
            <v>217</v>
          </cell>
          <cell r="I184" t="str">
            <v>14-09</v>
          </cell>
          <cell r="J184" t="str">
            <v>3641</v>
          </cell>
          <cell r="K184" t="str">
            <v>491-03819</v>
          </cell>
          <cell r="L184" t="str">
            <v>450</v>
          </cell>
          <cell r="M184" t="str">
            <v/>
          </cell>
          <cell r="N184" t="str">
            <v/>
          </cell>
        </row>
        <row r="185">
          <cell r="A185" t="str">
            <v>STACJA ROBOCZA</v>
          </cell>
          <cell r="B185" t="str">
            <v>DELL Optiplex GX1L 266</v>
          </cell>
          <cell r="C185" t="str">
            <v>491-3411</v>
          </cell>
          <cell r="D185" t="str">
            <v>NM1G8</v>
          </cell>
          <cell r="E185" t="str">
            <v xml:space="preserve">AT </v>
          </cell>
          <cell r="F185" t="str">
            <v xml:space="preserve">FIGURA                   SŁAWOMIR       </v>
          </cell>
          <cell r="G185" t="str">
            <v>U-12</v>
          </cell>
          <cell r="H185" t="str">
            <v>324</v>
          </cell>
          <cell r="I185" t="str">
            <v>14-10</v>
          </cell>
          <cell r="J185" t="str">
            <v>5543</v>
          </cell>
          <cell r="K185" t="str">
            <v>491-03411</v>
          </cell>
          <cell r="L185" t="str">
            <v>266</v>
          </cell>
          <cell r="M185" t="str">
            <v/>
          </cell>
          <cell r="N185" t="str">
            <v>128</v>
          </cell>
        </row>
        <row r="186">
          <cell r="A186" t="str">
            <v>STACJA ROBOCZA</v>
          </cell>
          <cell r="B186" t="str">
            <v>COMPAQ DESKPRO EXD PIII 733</v>
          </cell>
          <cell r="C186" t="str">
            <v>491-4454</v>
          </cell>
          <cell r="D186" t="str">
            <v>8036FR4ZE433</v>
          </cell>
          <cell r="E186" t="str">
            <v xml:space="preserve">AT </v>
          </cell>
          <cell r="F186" t="str">
            <v xml:space="preserve">KLIMCZAK                 WIESŁAW        </v>
          </cell>
          <cell r="G186" t="str">
            <v>U-12</v>
          </cell>
          <cell r="H186" t="str">
            <v>324</v>
          </cell>
          <cell r="I186" t="str">
            <v>14-10</v>
          </cell>
          <cell r="J186" t="str">
            <v>1552</v>
          </cell>
          <cell r="K186" t="str">
            <v>491-04454</v>
          </cell>
          <cell r="L186" t="str">
            <v>733</v>
          </cell>
          <cell r="M186" t="str">
            <v/>
          </cell>
          <cell r="N186" t="str">
            <v>127</v>
          </cell>
        </row>
        <row r="187">
          <cell r="A187" t="str">
            <v>STACJA ROBOCZA</v>
          </cell>
          <cell r="B187" t="str">
            <v>NEC Direction Minitower P III 450</v>
          </cell>
          <cell r="C187" t="str">
            <v>491-3751</v>
          </cell>
          <cell r="D187" t="str">
            <v>0138109</v>
          </cell>
          <cell r="E187" t="str">
            <v xml:space="preserve">AT </v>
          </cell>
          <cell r="F187" t="str">
            <v xml:space="preserve">KOBIELA                  IRENEUSZ       </v>
          </cell>
          <cell r="G187" t="str">
            <v>U-12</v>
          </cell>
          <cell r="H187" t="str">
            <v>329</v>
          </cell>
          <cell r="I187" t="str">
            <v>14-00</v>
          </cell>
          <cell r="J187" t="str">
            <v>504</v>
          </cell>
          <cell r="K187" t="str">
            <v/>
          </cell>
          <cell r="L187" t="str">
            <v>450</v>
          </cell>
          <cell r="M187" t="str">
            <v>stacja operatorska</v>
          </cell>
          <cell r="N187" t="str">
            <v/>
          </cell>
        </row>
        <row r="188">
          <cell r="A188" t="str">
            <v>STACJA ROBOCZA</v>
          </cell>
          <cell r="B188" t="str">
            <v>ZENITH Z STATION P200</v>
          </cell>
          <cell r="C188" t="str">
            <v>491-3046</v>
          </cell>
          <cell r="D188" t="str">
            <v>GVDD72905441</v>
          </cell>
          <cell r="E188" t="str">
            <v xml:space="preserve">AT </v>
          </cell>
          <cell r="F188" t="str">
            <v xml:space="preserve">ZIELONKA                 DOROTA         </v>
          </cell>
          <cell r="G188" t="str">
            <v>U-12</v>
          </cell>
          <cell r="H188" t="str">
            <v>328</v>
          </cell>
          <cell r="I188" t="str">
            <v>14-00</v>
          </cell>
          <cell r="J188" t="str">
            <v>1569</v>
          </cell>
          <cell r="K188" t="str">
            <v>491-03046</v>
          </cell>
          <cell r="L188" t="str">
            <v>200</v>
          </cell>
          <cell r="M188" t="str">
            <v>NIE DZIALA</v>
          </cell>
          <cell r="N188" t="str">
            <v/>
          </cell>
        </row>
        <row r="189">
          <cell r="A189" t="str">
            <v>STACJA ROBOCZA</v>
          </cell>
          <cell r="B189" t="str">
            <v>NEC Direction Minitower P III 450</v>
          </cell>
          <cell r="C189" t="str">
            <v>491-3799</v>
          </cell>
          <cell r="D189" t="str">
            <v>0154109</v>
          </cell>
          <cell r="E189" t="str">
            <v xml:space="preserve">AT </v>
          </cell>
          <cell r="F189" t="str">
            <v xml:space="preserve">DOBIECKI                 RYSZARD        </v>
          </cell>
          <cell r="G189" t="str">
            <v>U-12</v>
          </cell>
          <cell r="H189" t="str">
            <v>324</v>
          </cell>
          <cell r="I189" t="str">
            <v>39-20</v>
          </cell>
          <cell r="J189" t="str">
            <v>2544</v>
          </cell>
          <cell r="K189" t="str">
            <v>491-03799</v>
          </cell>
          <cell r="L189" t="str">
            <v>450</v>
          </cell>
          <cell r="M189" t="str">
            <v/>
          </cell>
          <cell r="N189" t="str">
            <v>256</v>
          </cell>
        </row>
        <row r="190">
          <cell r="A190" t="str">
            <v>NOTEBOOK</v>
          </cell>
          <cell r="B190" t="str">
            <v>NEC VERSA SX PII 366</v>
          </cell>
          <cell r="C190" t="str">
            <v>491-3946</v>
          </cell>
          <cell r="D190" t="str">
            <v>H021500009</v>
          </cell>
          <cell r="E190" t="str">
            <v xml:space="preserve">AT </v>
          </cell>
          <cell r="F190" t="str">
            <v xml:space="preserve">CIESIELSKI               MAREK          </v>
          </cell>
          <cell r="G190" t="str">
            <v>U-12</v>
          </cell>
          <cell r="H190" t="str">
            <v>324</v>
          </cell>
          <cell r="I190" t="str">
            <v>14-10</v>
          </cell>
          <cell r="J190" t="str">
            <v>135</v>
          </cell>
          <cell r="K190" t="str">
            <v/>
          </cell>
          <cell r="L190" t="str">
            <v>366</v>
          </cell>
          <cell r="M190" t="str">
            <v>JMAS: uszkodzona karta sieciowa</v>
          </cell>
          <cell r="N190" t="str">
            <v/>
          </cell>
        </row>
        <row r="191">
          <cell r="A191" t="str">
            <v>STACJA ROBOCZA</v>
          </cell>
          <cell r="B191" t="str">
            <v>KOMPUTER 386SX</v>
          </cell>
          <cell r="C191" t="str">
            <v>491-1817</v>
          </cell>
          <cell r="D191" t="str">
            <v>019024/1680</v>
          </cell>
          <cell r="E191" t="str">
            <v xml:space="preserve">AT </v>
          </cell>
          <cell r="F191" t="str">
            <v xml:space="preserve">KOWALSKI                 MAREK          </v>
          </cell>
          <cell r="G191" t="str">
            <v>U-12</v>
          </cell>
          <cell r="H191" t="str">
            <v>324</v>
          </cell>
          <cell r="I191" t="str">
            <v>14-12</v>
          </cell>
          <cell r="J191" t="str">
            <v>1314</v>
          </cell>
          <cell r="K191" t="str">
            <v/>
          </cell>
          <cell r="L191" t="str">
            <v>0</v>
          </cell>
          <cell r="M191" t="str">
            <v>NIE DZIALA</v>
          </cell>
          <cell r="N191" t="str">
            <v/>
          </cell>
        </row>
        <row r="192">
          <cell r="A192" t="str">
            <v>STACJA ROBOCZA</v>
          </cell>
          <cell r="B192" t="str">
            <v>KOMPUTER 386SX</v>
          </cell>
          <cell r="C192" t="str">
            <v>491-1787</v>
          </cell>
          <cell r="D192" t="str">
            <v>1674</v>
          </cell>
          <cell r="E192" t="str">
            <v xml:space="preserve">AT </v>
          </cell>
          <cell r="F192" t="str">
            <v xml:space="preserve">DOBIECKI                 RYSZARD        </v>
          </cell>
          <cell r="G192" t="str">
            <v>U-12</v>
          </cell>
          <cell r="H192" t="str">
            <v>324</v>
          </cell>
          <cell r="I192" t="str">
            <v>39-20</v>
          </cell>
          <cell r="J192" t="str">
            <v>2544</v>
          </cell>
          <cell r="K192" t="str">
            <v/>
          </cell>
          <cell r="L192" t="str">
            <v>0</v>
          </cell>
          <cell r="M192" t="str">
            <v>BEZ SIECI</v>
          </cell>
          <cell r="N192" t="str">
            <v/>
          </cell>
        </row>
        <row r="193">
          <cell r="A193" t="str">
            <v>STACJA ROBOCZA</v>
          </cell>
          <cell r="B193" t="str">
            <v>NEC PMVT Desktop P III 450</v>
          </cell>
          <cell r="C193" t="str">
            <v>491-3828</v>
          </cell>
          <cell r="D193" t="str">
            <v>0182109</v>
          </cell>
          <cell r="E193" t="str">
            <v xml:space="preserve">AT </v>
          </cell>
          <cell r="F193" t="str">
            <v xml:space="preserve">WŁOCZKA                  LESZEK         </v>
          </cell>
          <cell r="G193" t="str">
            <v>U-13</v>
          </cell>
          <cell r="H193" t="str">
            <v>406</v>
          </cell>
          <cell r="I193" t="str">
            <v>12-50</v>
          </cell>
          <cell r="J193" t="str">
            <v>9600</v>
          </cell>
          <cell r="K193" t="str">
            <v>491-03828</v>
          </cell>
          <cell r="L193" t="str">
            <v>450</v>
          </cell>
          <cell r="M193" t="str">
            <v/>
          </cell>
          <cell r="N193" t="str">
            <v>128</v>
          </cell>
        </row>
        <row r="194">
          <cell r="A194" t="str">
            <v>NOTEBOOK</v>
          </cell>
          <cell r="B194" t="str">
            <v>COMPAQ ARMADA E500  PIII 600</v>
          </cell>
          <cell r="C194" t="str">
            <v>491-4376</v>
          </cell>
          <cell r="D194" t="str">
            <v>7J0ADN98Y020</v>
          </cell>
          <cell r="E194" t="str">
            <v xml:space="preserve">AT </v>
          </cell>
          <cell r="F194" t="str">
            <v xml:space="preserve">DOBIECKI                 RYSZARD        </v>
          </cell>
          <cell r="G194" t="str">
            <v>U-12</v>
          </cell>
          <cell r="H194" t="str">
            <v>324</v>
          </cell>
          <cell r="I194" t="str">
            <v>39-20</v>
          </cell>
          <cell r="J194" t="str">
            <v>2544</v>
          </cell>
          <cell r="K194" t="str">
            <v/>
          </cell>
          <cell r="L194" t="str">
            <v>600</v>
          </cell>
          <cell r="M194" t="str">
            <v/>
          </cell>
          <cell r="N194" t="str">
            <v/>
          </cell>
        </row>
        <row r="195">
          <cell r="A195" t="str">
            <v>STACJA ROBOCZA</v>
          </cell>
          <cell r="B195" t="str">
            <v>NEC PMVT Desktop P III 450</v>
          </cell>
          <cell r="C195" t="str">
            <v>491-3814</v>
          </cell>
          <cell r="D195" t="str">
            <v>0176109</v>
          </cell>
          <cell r="E195" t="str">
            <v xml:space="preserve">AT </v>
          </cell>
          <cell r="F195" t="str">
            <v xml:space="preserve">STROJNA                  IWONA          </v>
          </cell>
          <cell r="G195" t="str">
            <v>U-12</v>
          </cell>
          <cell r="H195" t="str">
            <v>328</v>
          </cell>
          <cell r="I195" t="str">
            <v>14-00</v>
          </cell>
          <cell r="J195" t="str">
            <v>2573</v>
          </cell>
          <cell r="K195" t="str">
            <v>491-03814</v>
          </cell>
          <cell r="L195" t="str">
            <v>450</v>
          </cell>
          <cell r="M195" t="str">
            <v/>
          </cell>
          <cell r="N195" t="str">
            <v>128</v>
          </cell>
        </row>
        <row r="196">
          <cell r="A196" t="str">
            <v>NOTEBOOK</v>
          </cell>
          <cell r="B196" t="str">
            <v>NEC VERSA SX PII 366</v>
          </cell>
          <cell r="C196" t="str">
            <v>491-3952</v>
          </cell>
          <cell r="D196" t="str">
            <v>H055300002</v>
          </cell>
          <cell r="E196" t="str">
            <v xml:space="preserve">AT </v>
          </cell>
          <cell r="F196" t="str">
            <v xml:space="preserve">KOBIELA                  IRENEUSZ       </v>
          </cell>
          <cell r="G196" t="str">
            <v>U-12</v>
          </cell>
          <cell r="H196" t="str">
            <v>329</v>
          </cell>
          <cell r="I196" t="str">
            <v>14-00</v>
          </cell>
          <cell r="J196" t="str">
            <v>504</v>
          </cell>
          <cell r="K196" t="str">
            <v/>
          </cell>
          <cell r="L196" t="str">
            <v>366</v>
          </cell>
          <cell r="M196" t="str">
            <v/>
          </cell>
          <cell r="N196" t="str">
            <v/>
          </cell>
        </row>
        <row r="197">
          <cell r="A197" t="str">
            <v>STACJA ROBOCZA</v>
          </cell>
          <cell r="B197" t="str">
            <v>DELL Optiplex GX150</v>
          </cell>
          <cell r="C197" t="str">
            <v>491-4798</v>
          </cell>
          <cell r="D197" t="str">
            <v>DRRX60J</v>
          </cell>
          <cell r="E197" t="str">
            <v xml:space="preserve">AT </v>
          </cell>
          <cell r="F197" t="str">
            <v xml:space="preserve">CHOJAK                   JACEK          </v>
          </cell>
          <cell r="G197" t="str">
            <v>U-13</v>
          </cell>
          <cell r="H197" t="str">
            <v>217</v>
          </cell>
          <cell r="I197" t="str">
            <v>14-09</v>
          </cell>
          <cell r="J197" t="str">
            <v>3323</v>
          </cell>
          <cell r="K197" t="str">
            <v>491-04798</v>
          </cell>
          <cell r="L197" t="str">
            <v>1000</v>
          </cell>
          <cell r="M197" t="str">
            <v/>
          </cell>
          <cell r="N197" t="str">
            <v/>
          </cell>
        </row>
        <row r="198">
          <cell r="A198" t="str">
            <v>NOTEBOOK</v>
          </cell>
          <cell r="B198" t="str">
            <v>DELL Latitude C600</v>
          </cell>
          <cell r="C198" t="str">
            <v>491-4807</v>
          </cell>
          <cell r="D198" t="str">
            <v>FLXY60J</v>
          </cell>
          <cell r="E198" t="str">
            <v xml:space="preserve">AT </v>
          </cell>
          <cell r="F198" t="str">
            <v xml:space="preserve">SZYMACHA                 JANUSZ         </v>
          </cell>
          <cell r="G198" t="str">
            <v>U-12</v>
          </cell>
          <cell r="H198" t="str">
            <v>312</v>
          </cell>
          <cell r="I198" t="str">
            <v>22-49</v>
          </cell>
          <cell r="J198" t="str">
            <v>7759</v>
          </cell>
          <cell r="K198" t="str">
            <v/>
          </cell>
          <cell r="L198" t="str">
            <v>700</v>
          </cell>
          <cell r="M198" t="str">
            <v/>
          </cell>
          <cell r="N198" t="str">
            <v/>
          </cell>
        </row>
        <row r="199">
          <cell r="A199" t="str">
            <v>STACJA ROBOCZA</v>
          </cell>
          <cell r="B199" t="str">
            <v>NEC PowerMate VT Destop P III 450</v>
          </cell>
          <cell r="C199" t="str">
            <v>491-4026</v>
          </cell>
          <cell r="D199" t="str">
            <v>0672109</v>
          </cell>
          <cell r="E199" t="str">
            <v xml:space="preserve">AT </v>
          </cell>
          <cell r="F199" t="str">
            <v xml:space="preserve">KOCIUGA                  JANINA         </v>
          </cell>
          <cell r="G199" t="str">
            <v>U-12</v>
          </cell>
          <cell r="H199" t="str">
            <v>324</v>
          </cell>
          <cell r="I199" t="str">
            <v>14-10</v>
          </cell>
          <cell r="J199" t="str">
            <v>3299</v>
          </cell>
          <cell r="K199" t="str">
            <v>491-04026</v>
          </cell>
          <cell r="L199" t="str">
            <v>450</v>
          </cell>
          <cell r="M199" t="str">
            <v/>
          </cell>
          <cell r="N199" t="str">
            <v>128</v>
          </cell>
        </row>
        <row r="200">
          <cell r="A200" t="str">
            <v>STACJA ROBOCZA</v>
          </cell>
          <cell r="B200" t="str">
            <v>NEC PMVT Desktop P III 450</v>
          </cell>
          <cell r="C200" t="str">
            <v>491-3786</v>
          </cell>
          <cell r="D200" t="str">
            <v>0736109</v>
          </cell>
          <cell r="E200" t="str">
            <v xml:space="preserve">AT </v>
          </cell>
          <cell r="F200" t="str">
            <v xml:space="preserve">ZIELIŃSKI                TADEUSZ        </v>
          </cell>
          <cell r="G200" t="str">
            <v>U-12</v>
          </cell>
          <cell r="H200" t="str">
            <v>35</v>
          </cell>
          <cell r="I200" t="str">
            <v>14-08</v>
          </cell>
          <cell r="J200" t="str">
            <v>1232</v>
          </cell>
          <cell r="K200" t="str">
            <v>491-03786</v>
          </cell>
          <cell r="L200" t="str">
            <v>450</v>
          </cell>
          <cell r="M200" t="str">
            <v/>
          </cell>
          <cell r="N200" t="str">
            <v>64</v>
          </cell>
        </row>
        <row r="201">
          <cell r="A201" t="str">
            <v>STACJA ROBOCZA</v>
          </cell>
          <cell r="B201" t="str">
            <v>COMPAQ DESKPRO EXD PIII 733</v>
          </cell>
          <cell r="C201" t="str">
            <v>491-4478</v>
          </cell>
          <cell r="D201" t="str">
            <v>8036FR4ZE249</v>
          </cell>
          <cell r="E201" t="str">
            <v xml:space="preserve">AT </v>
          </cell>
          <cell r="F201" t="str">
            <v xml:space="preserve">ZIELONKA                 DOROTA         </v>
          </cell>
          <cell r="G201" t="str">
            <v>U-12</v>
          </cell>
          <cell r="H201" t="str">
            <v>328</v>
          </cell>
          <cell r="I201" t="str">
            <v>14-00</v>
          </cell>
          <cell r="J201" t="str">
            <v>1569</v>
          </cell>
          <cell r="K201" t="str">
            <v>491-04478</v>
          </cell>
          <cell r="L201" t="str">
            <v>733</v>
          </cell>
          <cell r="M201" t="str">
            <v/>
          </cell>
          <cell r="N201" t="str">
            <v>127</v>
          </cell>
        </row>
        <row r="202">
          <cell r="A202" t="str">
            <v>STACJA ROBOCZA</v>
          </cell>
          <cell r="B202" t="str">
            <v>DELL Optiplex GX1MT 350</v>
          </cell>
          <cell r="C202" t="str">
            <v>491-3618</v>
          </cell>
          <cell r="D202" t="str">
            <v>PFONJ</v>
          </cell>
          <cell r="E202" t="str">
            <v xml:space="preserve">AT </v>
          </cell>
          <cell r="F202" t="str">
            <v xml:space="preserve">SZYMACHA                 JANUSZ         </v>
          </cell>
          <cell r="G202" t="str">
            <v>U-12</v>
          </cell>
          <cell r="H202" t="str">
            <v>312</v>
          </cell>
          <cell r="I202" t="str">
            <v>22-49</v>
          </cell>
          <cell r="J202" t="str">
            <v>7759</v>
          </cell>
          <cell r="K202" t="str">
            <v>491-03618</v>
          </cell>
          <cell r="L202" t="str">
            <v>350</v>
          </cell>
          <cell r="M202" t="str">
            <v/>
          </cell>
          <cell r="N202" t="str">
            <v/>
          </cell>
        </row>
        <row r="203">
          <cell r="A203" t="str">
            <v>STACJA ROBOCZA</v>
          </cell>
          <cell r="B203" t="str">
            <v>NEC PMVT Desktop P III 450</v>
          </cell>
          <cell r="C203" t="str">
            <v>491-3796</v>
          </cell>
          <cell r="D203" t="str">
            <v>0175109</v>
          </cell>
          <cell r="E203" t="str">
            <v xml:space="preserve">AT </v>
          </cell>
          <cell r="F203" t="str">
            <v xml:space="preserve">WILCZEK                  BRONISŁAW      </v>
          </cell>
          <cell r="G203" t="str">
            <v>U-4</v>
          </cell>
          <cell r="H203" t="str">
            <v>10</v>
          </cell>
          <cell r="I203" t="str">
            <v>11-62</v>
          </cell>
          <cell r="J203" t="str">
            <v>1111</v>
          </cell>
          <cell r="K203" t="str">
            <v>491-03796</v>
          </cell>
          <cell r="L203" t="str">
            <v>450</v>
          </cell>
          <cell r="M203" t="str">
            <v/>
          </cell>
          <cell r="N203" t="str">
            <v>64</v>
          </cell>
        </row>
        <row r="204">
          <cell r="A204" t="str">
            <v>STACJA ROBOCZA</v>
          </cell>
          <cell r="B204" t="str">
            <v>COMPAQ DESKPRO EXD PIII 733</v>
          </cell>
          <cell r="C204" t="str">
            <v>491-4336</v>
          </cell>
          <cell r="D204" t="str">
            <v>8036FR4Z5638</v>
          </cell>
          <cell r="E204" t="str">
            <v xml:space="preserve">AT </v>
          </cell>
          <cell r="F204" t="str">
            <v xml:space="preserve">BUTKIEWICZ               CZESŁAW        </v>
          </cell>
          <cell r="G204" t="str">
            <v>U-4</v>
          </cell>
          <cell r="H204" t="str">
            <v>10</v>
          </cell>
          <cell r="I204" t="str">
            <v>11-62</v>
          </cell>
          <cell r="J204" t="str">
            <v>63</v>
          </cell>
          <cell r="K204" t="str">
            <v>491-04336</v>
          </cell>
          <cell r="L204" t="str">
            <v>733</v>
          </cell>
          <cell r="M204" t="str">
            <v/>
          </cell>
          <cell r="N204" t="str">
            <v>127</v>
          </cell>
        </row>
        <row r="205">
          <cell r="A205" t="str">
            <v>STACJA ROBOCZA</v>
          </cell>
          <cell r="B205" t="str">
            <v>NEC PowerMate VT Destop P III 450</v>
          </cell>
          <cell r="C205" t="str">
            <v>491-4028</v>
          </cell>
          <cell r="D205" t="str">
            <v>0668109</v>
          </cell>
          <cell r="E205" t="str">
            <v xml:space="preserve">AT </v>
          </cell>
          <cell r="F205" t="str">
            <v xml:space="preserve">RUSZKOWSKI               KAZIMIERZ      </v>
          </cell>
          <cell r="G205" t="str">
            <v>U-12</v>
          </cell>
          <cell r="H205" t="str">
            <v>34</v>
          </cell>
          <cell r="I205" t="str">
            <v>14-07</v>
          </cell>
          <cell r="J205" t="str">
            <v>1236</v>
          </cell>
          <cell r="K205" t="str">
            <v>491-04028</v>
          </cell>
          <cell r="L205" t="str">
            <v>450</v>
          </cell>
          <cell r="M205" t="str">
            <v/>
          </cell>
          <cell r="N205" t="str">
            <v>64</v>
          </cell>
        </row>
        <row r="206">
          <cell r="A206" t="str">
            <v>STACJA ROBOCZA</v>
          </cell>
          <cell r="B206" t="str">
            <v>DELL Optiplex GX260 SD</v>
          </cell>
          <cell r="C206" t="str">
            <v>491-5018</v>
          </cell>
          <cell r="D206" t="str">
            <v>1NPFL0J</v>
          </cell>
          <cell r="E206" t="str">
            <v xml:space="preserve">AT </v>
          </cell>
          <cell r="F206" t="str">
            <v xml:space="preserve">CIESIELSKI               MAREK          </v>
          </cell>
          <cell r="G206" t="str">
            <v>U-12</v>
          </cell>
          <cell r="H206" t="str">
            <v>324</v>
          </cell>
          <cell r="I206" t="str">
            <v>14-10</v>
          </cell>
          <cell r="J206" t="str">
            <v>135</v>
          </cell>
          <cell r="K206" t="str">
            <v>491-05018</v>
          </cell>
          <cell r="L206" t="str">
            <v>2400</v>
          </cell>
          <cell r="M206" t="str">
            <v/>
          </cell>
          <cell r="N206" t="str">
            <v>254</v>
          </cell>
        </row>
        <row r="207">
          <cell r="A207" t="str">
            <v>NOTEBOOK</v>
          </cell>
          <cell r="B207" t="str">
            <v>Dell Latitude CPi 300XT</v>
          </cell>
          <cell r="C207" t="str">
            <v>491-3616</v>
          </cell>
          <cell r="D207" t="str">
            <v>ZL83W</v>
          </cell>
          <cell r="E207" t="str">
            <v xml:space="preserve">AT </v>
          </cell>
          <cell r="F207" t="str">
            <v xml:space="preserve">FIGURA                   SŁAWOMIR       </v>
          </cell>
          <cell r="G207" t="str">
            <v>U-12</v>
          </cell>
          <cell r="H207" t="str">
            <v>324</v>
          </cell>
          <cell r="I207" t="str">
            <v>14-10</v>
          </cell>
          <cell r="J207" t="str">
            <v>5543</v>
          </cell>
          <cell r="K207" t="str">
            <v>ZENONT</v>
          </cell>
          <cell r="L207" t="str">
            <v>300</v>
          </cell>
          <cell r="M207" t="str">
            <v/>
          </cell>
          <cell r="N207" t="str">
            <v/>
          </cell>
        </row>
        <row r="208">
          <cell r="A208" t="str">
            <v>STACJA ROBOCZA</v>
          </cell>
          <cell r="B208" t="str">
            <v>COMPAQ DESKPRO EXD PIII 733</v>
          </cell>
          <cell r="C208" t="str">
            <v>491-4304</v>
          </cell>
          <cell r="D208" t="str">
            <v>8036FR4Z3895</v>
          </cell>
          <cell r="E208" t="str">
            <v xml:space="preserve">AT </v>
          </cell>
          <cell r="F208" t="str">
            <v xml:space="preserve">WARDA                    DARIUSZ        </v>
          </cell>
          <cell r="G208" t="str">
            <v>U-12</v>
          </cell>
          <cell r="H208" t="str">
            <v>324</v>
          </cell>
          <cell r="I208" t="str">
            <v>14-10</v>
          </cell>
          <cell r="J208" t="str">
            <v>5102</v>
          </cell>
          <cell r="K208" t="str">
            <v>491-04304</v>
          </cell>
          <cell r="L208" t="str">
            <v>733</v>
          </cell>
          <cell r="M208" t="str">
            <v/>
          </cell>
          <cell r="N208" t="str">
            <v/>
          </cell>
        </row>
        <row r="209">
          <cell r="A209" t="str">
            <v>STACJA ROBOCZA</v>
          </cell>
          <cell r="B209" t="str">
            <v>COMPAQ DESKPRO EXD PIII 733</v>
          </cell>
          <cell r="C209" t="str">
            <v>491-4516</v>
          </cell>
          <cell r="D209" t="str">
            <v>8036FR4ZE277</v>
          </cell>
          <cell r="E209" t="str">
            <v xml:space="preserve">AZ </v>
          </cell>
          <cell r="F209" t="str">
            <v xml:space="preserve">GRACZYKOWSKI             WALDEMAR       </v>
          </cell>
          <cell r="G209" t="str">
            <v>U-14</v>
          </cell>
          <cell r="H209" t="str">
            <v>709</v>
          </cell>
          <cell r="I209" t="str">
            <v>20-58</v>
          </cell>
          <cell r="J209" t="str">
            <v>234</v>
          </cell>
          <cell r="K209" t="str">
            <v>491-04516</v>
          </cell>
          <cell r="L209" t="str">
            <v>733</v>
          </cell>
          <cell r="M209" t="str">
            <v/>
          </cell>
          <cell r="N209" t="str">
            <v>127</v>
          </cell>
        </row>
        <row r="210">
          <cell r="A210" t="str">
            <v>NOTEBOOK</v>
          </cell>
          <cell r="B210" t="str">
            <v>DELL Latitude C600</v>
          </cell>
          <cell r="C210" t="str">
            <v>491-4808</v>
          </cell>
          <cell r="D210" t="str">
            <v>6LXY60J</v>
          </cell>
          <cell r="E210" t="str">
            <v xml:space="preserve">AZ </v>
          </cell>
          <cell r="F210" t="str">
            <v xml:space="preserve">BĄCZYŃSKI                WŁADYSŁAW      </v>
          </cell>
          <cell r="G210" t="str">
            <v>U-14</v>
          </cell>
          <cell r="H210" t="str">
            <v>503A</v>
          </cell>
          <cell r="I210" t="str">
            <v>39-61</v>
          </cell>
          <cell r="J210" t="str">
            <v>5726</v>
          </cell>
          <cell r="K210" t="str">
            <v>491-04808</v>
          </cell>
          <cell r="L210" t="str">
            <v>700</v>
          </cell>
          <cell r="M210" t="str">
            <v/>
          </cell>
          <cell r="N210" t="str">
            <v>128</v>
          </cell>
        </row>
        <row r="211">
          <cell r="A211" t="str">
            <v>STACJA ROBOCZA</v>
          </cell>
          <cell r="B211" t="str">
            <v>KOMPUTER 486DX</v>
          </cell>
          <cell r="C211" t="str">
            <v>491-1620/8818</v>
          </cell>
          <cell r="D211" t="str">
            <v>8818/114</v>
          </cell>
          <cell r="E211" t="str">
            <v xml:space="preserve">AZ </v>
          </cell>
          <cell r="F211" t="str">
            <v xml:space="preserve">KAŁUŻNA                  MAŁGORZATA     </v>
          </cell>
          <cell r="G211" t="str">
            <v>U-14</v>
          </cell>
          <cell r="H211" t="str">
            <v>707</v>
          </cell>
          <cell r="I211" t="str">
            <v>13-45</v>
          </cell>
          <cell r="J211" t="str">
            <v>2627</v>
          </cell>
          <cell r="K211" t="str">
            <v>491-01620-8818</v>
          </cell>
          <cell r="L211" t="str">
            <v>500</v>
          </cell>
          <cell r="M211" t="str">
            <v/>
          </cell>
          <cell r="N211" t="str">
            <v>64</v>
          </cell>
        </row>
        <row r="212">
          <cell r="A212" t="str">
            <v>STACJA ROBOCZA</v>
          </cell>
          <cell r="B212" t="str">
            <v>NEC PowerMate VT Destop P III 450</v>
          </cell>
          <cell r="C212" t="str">
            <v>491-3996</v>
          </cell>
          <cell r="D212" t="str">
            <v>0706109</v>
          </cell>
          <cell r="E212" t="str">
            <v xml:space="preserve">AZ </v>
          </cell>
          <cell r="F212" t="str">
            <v xml:space="preserve">WARZECHA                 DARIUSZ        </v>
          </cell>
          <cell r="G212" t="str">
            <v>U-14</v>
          </cell>
          <cell r="H212" t="str">
            <v>503</v>
          </cell>
          <cell r="I212" t="str">
            <v>22-00</v>
          </cell>
          <cell r="J212" t="str">
            <v>1116</v>
          </cell>
          <cell r="K212" t="str">
            <v>491-03996</v>
          </cell>
          <cell r="L212" t="str">
            <v>450</v>
          </cell>
          <cell r="M212" t="str">
            <v/>
          </cell>
          <cell r="N212" t="str">
            <v>64</v>
          </cell>
        </row>
        <row r="213">
          <cell r="A213" t="str">
            <v>STACJA ROBOCZA</v>
          </cell>
          <cell r="B213" t="str">
            <v>NEC Direction Minitower P III 450</v>
          </cell>
          <cell r="C213" t="str">
            <v>491-3744</v>
          </cell>
          <cell r="D213" t="str">
            <v>0128109</v>
          </cell>
          <cell r="E213" t="str">
            <v xml:space="preserve">AZ </v>
          </cell>
          <cell r="F213" t="str">
            <v xml:space="preserve">SZTAJNERT                TOMASZ         </v>
          </cell>
          <cell r="G213" t="str">
            <v>U-14</v>
          </cell>
          <cell r="H213" t="str">
            <v>703</v>
          </cell>
          <cell r="I213" t="str">
            <v>20-04</v>
          </cell>
          <cell r="J213" t="str">
            <v>1797</v>
          </cell>
          <cell r="K213" t="str">
            <v>491-03744</v>
          </cell>
          <cell r="L213" t="str">
            <v>450</v>
          </cell>
          <cell r="M213" t="str">
            <v/>
          </cell>
          <cell r="N213" t="str">
            <v>128</v>
          </cell>
        </row>
        <row r="214">
          <cell r="A214" t="str">
            <v>STACJA ROBOCZA</v>
          </cell>
          <cell r="B214" t="str">
            <v>DELL Optiplex GX150</v>
          </cell>
          <cell r="C214" t="str">
            <v>491-4802</v>
          </cell>
          <cell r="D214" t="str">
            <v>8SRX60J</v>
          </cell>
          <cell r="E214" t="str">
            <v xml:space="preserve">AZ </v>
          </cell>
          <cell r="F214" t="str">
            <v xml:space="preserve">BUJAK                    WITOLD         </v>
          </cell>
          <cell r="G214" t="str">
            <v>U-14</v>
          </cell>
          <cell r="H214" t="str">
            <v>707</v>
          </cell>
          <cell r="I214" t="str">
            <v>13-45</v>
          </cell>
          <cell r="J214" t="str">
            <v>90</v>
          </cell>
          <cell r="K214" t="str">
            <v>491-04802</v>
          </cell>
          <cell r="L214" t="str">
            <v>1000</v>
          </cell>
          <cell r="M214" t="str">
            <v/>
          </cell>
          <cell r="N214" t="str">
            <v/>
          </cell>
        </row>
        <row r="215">
          <cell r="A215" t="str">
            <v>STACJA ROBOCZA</v>
          </cell>
          <cell r="B215" t="str">
            <v>DELL Optiplex GX1L 266</v>
          </cell>
          <cell r="C215" t="str">
            <v>491-3388</v>
          </cell>
          <cell r="D215" t="str">
            <v>NM1BC</v>
          </cell>
          <cell r="E215" t="str">
            <v xml:space="preserve">AZ </v>
          </cell>
          <cell r="F215" t="str">
            <v xml:space="preserve">MARCHWIŃSKA              NINA           </v>
          </cell>
          <cell r="G215" t="str">
            <v>U-14</v>
          </cell>
          <cell r="H215" t="str">
            <v>504</v>
          </cell>
          <cell r="I215" t="str">
            <v>13-48</v>
          </cell>
          <cell r="J215" t="str">
            <v>589</v>
          </cell>
          <cell r="K215" t="str">
            <v>491-03388</v>
          </cell>
          <cell r="L215" t="str">
            <v>266</v>
          </cell>
          <cell r="M215" t="str">
            <v/>
          </cell>
          <cell r="N215" t="str">
            <v>128</v>
          </cell>
        </row>
        <row r="216">
          <cell r="A216" t="str">
            <v>STACJA ROBOCZA</v>
          </cell>
          <cell r="B216" t="str">
            <v>DELL Optiplex GX1L 266</v>
          </cell>
          <cell r="C216" t="str">
            <v>491-3217</v>
          </cell>
          <cell r="D216" t="str">
            <v>NM15G</v>
          </cell>
          <cell r="E216" t="str">
            <v xml:space="preserve">AZ </v>
          </cell>
          <cell r="F216" t="str">
            <v xml:space="preserve">CHMIELEWSKI              RYSZARD        </v>
          </cell>
          <cell r="G216" t="str">
            <v>U-14</v>
          </cell>
          <cell r="H216" t="str">
            <v>706</v>
          </cell>
          <cell r="I216" t="str">
            <v>13-65</v>
          </cell>
          <cell r="J216" t="str">
            <v>2047</v>
          </cell>
          <cell r="K216" t="str">
            <v>491-03217</v>
          </cell>
          <cell r="L216" t="str">
            <v>266</v>
          </cell>
          <cell r="M216" t="str">
            <v/>
          </cell>
          <cell r="N216" t="str">
            <v/>
          </cell>
        </row>
        <row r="217">
          <cell r="A217" t="str">
            <v>STACJA ROBOCZA</v>
          </cell>
          <cell r="B217" t="str">
            <v>COMPAQ DESKPRO EXD PIII 733</v>
          </cell>
          <cell r="C217" t="str">
            <v>491-4440</v>
          </cell>
          <cell r="D217" t="str">
            <v>8036FR4Z6658</v>
          </cell>
          <cell r="E217" t="str">
            <v xml:space="preserve">AZ </v>
          </cell>
          <cell r="F217" t="str">
            <v xml:space="preserve">WALASEK                  WALDEMAR       </v>
          </cell>
          <cell r="G217" t="str">
            <v>U-14</v>
          </cell>
          <cell r="H217" t="str">
            <v>709</v>
          </cell>
          <cell r="I217" t="str">
            <v>30-58</v>
          </cell>
          <cell r="J217" t="str">
            <v>1108</v>
          </cell>
          <cell r="K217" t="str">
            <v>491-04440</v>
          </cell>
          <cell r="L217" t="str">
            <v>733</v>
          </cell>
          <cell r="M217" t="str">
            <v/>
          </cell>
          <cell r="N217" t="str">
            <v/>
          </cell>
        </row>
        <row r="218">
          <cell r="A218" t="str">
            <v>STACJA ROBOCZA</v>
          </cell>
          <cell r="B218" t="str">
            <v>DELL Optiplex GX150</v>
          </cell>
          <cell r="C218" t="str">
            <v>491-4803</v>
          </cell>
          <cell r="D218" t="str">
            <v>5RRX60J</v>
          </cell>
          <cell r="E218" t="str">
            <v xml:space="preserve">AZ </v>
          </cell>
          <cell r="F218" t="str">
            <v xml:space="preserve">POTOK                    ANDRZEJ        </v>
          </cell>
          <cell r="G218" t="str">
            <v>U-14</v>
          </cell>
          <cell r="H218" t="str">
            <v>709</v>
          </cell>
          <cell r="I218" t="str">
            <v>39-71</v>
          </cell>
          <cell r="J218" t="str">
            <v>5642</v>
          </cell>
          <cell r="K218" t="str">
            <v>491-04803</v>
          </cell>
          <cell r="L218" t="str">
            <v>1000</v>
          </cell>
          <cell r="M218" t="str">
            <v/>
          </cell>
          <cell r="N218" t="str">
            <v/>
          </cell>
        </row>
        <row r="219">
          <cell r="A219" t="str">
            <v>STACJA ROBOCZA</v>
          </cell>
          <cell r="B219" t="str">
            <v>NEC PMVT Desktop P III 450</v>
          </cell>
          <cell r="C219" t="str">
            <v>491-3781</v>
          </cell>
          <cell r="D219" t="str">
            <v>0665109</v>
          </cell>
          <cell r="E219" t="str">
            <v xml:space="preserve">AZ </v>
          </cell>
          <cell r="F219" t="str">
            <v xml:space="preserve">SZKOPEK                  REMIGIUSZ      </v>
          </cell>
          <cell r="G219" t="str">
            <v>U-14</v>
          </cell>
          <cell r="H219" t="str">
            <v>503</v>
          </cell>
          <cell r="I219" t="str">
            <v>13-40</v>
          </cell>
          <cell r="J219" t="str">
            <v>932</v>
          </cell>
          <cell r="K219" t="str">
            <v>491-03781</v>
          </cell>
          <cell r="L219" t="str">
            <v>450</v>
          </cell>
          <cell r="M219" t="str">
            <v/>
          </cell>
          <cell r="N219" t="str">
            <v>128</v>
          </cell>
        </row>
        <row r="220">
          <cell r="A220" t="str">
            <v>STACJA ROBOCZA</v>
          </cell>
          <cell r="B220" t="str">
            <v>KOMPUTER PC/AT</v>
          </cell>
          <cell r="C220" t="str">
            <v>491-1806</v>
          </cell>
          <cell r="D220" t="str">
            <v>017716/1647</v>
          </cell>
          <cell r="E220" t="str">
            <v xml:space="preserve">AZ </v>
          </cell>
          <cell r="F220" t="str">
            <v xml:space="preserve">NOWACKI                  ANDRZEJ        </v>
          </cell>
          <cell r="G220" t="str">
            <v>U-14</v>
          </cell>
          <cell r="H220" t="str">
            <v>507</v>
          </cell>
          <cell r="I220" t="str">
            <v>13-58</v>
          </cell>
          <cell r="J220" t="str">
            <v>3880</v>
          </cell>
          <cell r="K220" t="str">
            <v>491-01806</v>
          </cell>
          <cell r="L220" t="str">
            <v>400</v>
          </cell>
          <cell r="M220" t="str">
            <v/>
          </cell>
          <cell r="N220" t="str">
            <v>64</v>
          </cell>
        </row>
        <row r="221">
          <cell r="A221" t="str">
            <v>STACJA ROBOCZA</v>
          </cell>
          <cell r="B221" t="str">
            <v>NEC PMVT Desktop P III 450</v>
          </cell>
          <cell r="C221" t="str">
            <v>491-3834</v>
          </cell>
          <cell r="D221" t="str">
            <v>0693109</v>
          </cell>
          <cell r="E221" t="str">
            <v xml:space="preserve">AZ </v>
          </cell>
          <cell r="F221" t="str">
            <v xml:space="preserve">MUSZYŃSKI                DARIUSZ        </v>
          </cell>
          <cell r="G221" t="str">
            <v>U-14</v>
          </cell>
          <cell r="H221" t="str">
            <v>501</v>
          </cell>
          <cell r="I221" t="str">
            <v>39-60</v>
          </cell>
          <cell r="J221" t="str">
            <v>640</v>
          </cell>
          <cell r="K221" t="str">
            <v>491-03834</v>
          </cell>
          <cell r="L221" t="str">
            <v>450</v>
          </cell>
          <cell r="M221" t="str">
            <v/>
          </cell>
          <cell r="N221" t="str">
            <v>256</v>
          </cell>
        </row>
        <row r="222">
          <cell r="A222" t="str">
            <v>STACJA ROBOCZA</v>
          </cell>
          <cell r="B222" t="str">
            <v>DELL 466/LE OPTIPLEX</v>
          </cell>
          <cell r="C222" t="str">
            <v>491-2585</v>
          </cell>
          <cell r="D222" t="str">
            <v>JR354</v>
          </cell>
          <cell r="E222" t="str">
            <v xml:space="preserve">AZ </v>
          </cell>
          <cell r="F222" t="str">
            <v xml:space="preserve">GLICNER                  ADAM           </v>
          </cell>
          <cell r="G222" t="str">
            <v>U-14</v>
          </cell>
          <cell r="H222" t="str">
            <v>704</v>
          </cell>
          <cell r="I222" t="str">
            <v>20-04</v>
          </cell>
          <cell r="J222" t="str">
            <v>5047</v>
          </cell>
          <cell r="K222" t="str">
            <v/>
          </cell>
          <cell r="L222" t="str">
            <v>66</v>
          </cell>
          <cell r="M222" t="str">
            <v>uszkodzony</v>
          </cell>
          <cell r="N222" t="str">
            <v/>
          </cell>
        </row>
        <row r="223">
          <cell r="A223" t="str">
            <v>NOTEBOOK</v>
          </cell>
          <cell r="B223" t="str">
            <v>COMPAQ ARMADA 1120</v>
          </cell>
          <cell r="C223" t="str">
            <v>491-2834</v>
          </cell>
          <cell r="D223" t="str">
            <v>7649HYC34136</v>
          </cell>
          <cell r="E223" t="str">
            <v xml:space="preserve">AZ </v>
          </cell>
          <cell r="F223" t="str">
            <v xml:space="preserve">NOWACKI                  ANDRZEJ        </v>
          </cell>
          <cell r="G223" t="str">
            <v>U-14</v>
          </cell>
          <cell r="H223" t="str">
            <v>507</v>
          </cell>
          <cell r="I223" t="str">
            <v>13-58</v>
          </cell>
          <cell r="J223" t="str">
            <v>3880</v>
          </cell>
          <cell r="K223" t="str">
            <v/>
          </cell>
          <cell r="L223" t="str">
            <v>120</v>
          </cell>
          <cell r="M223" t="str">
            <v>JMAS: za slaby</v>
          </cell>
          <cell r="N223" t="str">
            <v/>
          </cell>
        </row>
        <row r="224">
          <cell r="A224" t="str">
            <v>STACJA ROBOCZA</v>
          </cell>
          <cell r="B224" t="str">
            <v>COMPAQ DESKPRO EXD PIII 733</v>
          </cell>
          <cell r="C224" t="str">
            <v>491-4307</v>
          </cell>
          <cell r="D224" t="str">
            <v>8036FR4ZE564</v>
          </cell>
          <cell r="E224" t="str">
            <v xml:space="preserve">AZ </v>
          </cell>
          <cell r="F224" t="str">
            <v xml:space="preserve">MARKIEWICZ               ZDZISŁAW       </v>
          </cell>
          <cell r="G224" t="str">
            <v>U-14</v>
          </cell>
          <cell r="H224" t="str">
            <v>503A</v>
          </cell>
          <cell r="I224" t="str">
            <v>13-41</v>
          </cell>
          <cell r="J224" t="str">
            <v>576</v>
          </cell>
          <cell r="K224" t="str">
            <v>491-04307</v>
          </cell>
          <cell r="L224" t="str">
            <v>733</v>
          </cell>
          <cell r="M224" t="str">
            <v/>
          </cell>
          <cell r="N224" t="str">
            <v>127</v>
          </cell>
        </row>
        <row r="225">
          <cell r="A225" t="str">
            <v>NOTEBOOK</v>
          </cell>
          <cell r="B225" t="str">
            <v>COMPAQ ARMADA E500  PIII 600</v>
          </cell>
          <cell r="C225" t="str">
            <v>491-4358</v>
          </cell>
          <cell r="D225" t="str">
            <v>7J0ADN98Y01S</v>
          </cell>
          <cell r="E225" t="str">
            <v xml:space="preserve">AZ </v>
          </cell>
          <cell r="F225" t="str">
            <v xml:space="preserve">MUSZYŃSKI                DARIUSZ        </v>
          </cell>
          <cell r="G225" t="str">
            <v>U-14</v>
          </cell>
          <cell r="H225" t="str">
            <v>501</v>
          </cell>
          <cell r="I225" t="str">
            <v>39-60</v>
          </cell>
          <cell r="J225" t="str">
            <v>640</v>
          </cell>
          <cell r="K225" t="str">
            <v>491-04358</v>
          </cell>
          <cell r="L225" t="str">
            <v>600</v>
          </cell>
          <cell r="M225" t="str">
            <v/>
          </cell>
          <cell r="N225" t="str">
            <v>128</v>
          </cell>
        </row>
        <row r="226">
          <cell r="A226" t="str">
            <v>STACJA ROBOCZA</v>
          </cell>
          <cell r="B226" t="str">
            <v>DELL Optiplex GX1MT 350</v>
          </cell>
          <cell r="C226" t="str">
            <v>491-3510</v>
          </cell>
          <cell r="D226" t="str">
            <v>PKN35</v>
          </cell>
          <cell r="E226" t="str">
            <v xml:space="preserve">AZ </v>
          </cell>
          <cell r="F226" t="str">
            <v xml:space="preserve">KAŁUŻNA                  MAŁGORZATA     </v>
          </cell>
          <cell r="G226" t="str">
            <v>U-14</v>
          </cell>
          <cell r="H226" t="str">
            <v>707</v>
          </cell>
          <cell r="I226" t="str">
            <v>13-45</v>
          </cell>
          <cell r="J226" t="str">
            <v>2627</v>
          </cell>
          <cell r="K226" t="str">
            <v>491-03510</v>
          </cell>
          <cell r="L226" t="str">
            <v>350</v>
          </cell>
          <cell r="M226" t="str">
            <v/>
          </cell>
          <cell r="N226" t="str">
            <v/>
          </cell>
        </row>
        <row r="227">
          <cell r="A227" t="str">
            <v>STACJA ROBOCZA</v>
          </cell>
          <cell r="B227" t="str">
            <v>COMPAQ DESKPRO EXD PIII 733</v>
          </cell>
          <cell r="C227" t="str">
            <v>491-4322</v>
          </cell>
          <cell r="D227" t="str">
            <v>8036FR4Z3708</v>
          </cell>
          <cell r="E227" t="str">
            <v xml:space="preserve">AZ </v>
          </cell>
          <cell r="F227" t="str">
            <v xml:space="preserve">BĄCZYŃSKI                WŁADYSŁAW      </v>
          </cell>
          <cell r="G227" t="str">
            <v>U-14</v>
          </cell>
          <cell r="H227" t="str">
            <v>503A</v>
          </cell>
          <cell r="I227" t="str">
            <v>39-61</v>
          </cell>
          <cell r="J227" t="str">
            <v>5726</v>
          </cell>
          <cell r="K227" t="str">
            <v>491-04322</v>
          </cell>
          <cell r="L227" t="str">
            <v>733</v>
          </cell>
          <cell r="M227" t="str">
            <v/>
          </cell>
          <cell r="N227" t="str">
            <v>127</v>
          </cell>
        </row>
        <row r="228">
          <cell r="A228" t="str">
            <v>NOTEBOOK</v>
          </cell>
          <cell r="B228" t="str">
            <v>NEC VERSA SX PII 366 14.1" XGA TFT</v>
          </cell>
          <cell r="C228" t="str">
            <v>491-3725</v>
          </cell>
          <cell r="D228" t="str">
            <v>G697700003</v>
          </cell>
          <cell r="E228" t="str">
            <v xml:space="preserve">AZ </v>
          </cell>
          <cell r="F228" t="str">
            <v xml:space="preserve">SZKOPEK                  REMIGIUSZ      </v>
          </cell>
          <cell r="G228" t="str">
            <v>U-14</v>
          </cell>
          <cell r="H228" t="str">
            <v>503</v>
          </cell>
          <cell r="I228" t="str">
            <v>13-40</v>
          </cell>
          <cell r="J228" t="str">
            <v>932</v>
          </cell>
          <cell r="K228" t="str">
            <v>491-03725</v>
          </cell>
          <cell r="L228" t="str">
            <v>366</v>
          </cell>
          <cell r="M228" t="str">
            <v/>
          </cell>
          <cell r="N228" t="str">
            <v>128</v>
          </cell>
        </row>
        <row r="229">
          <cell r="A229" t="str">
            <v>STACJA ROBOCZA</v>
          </cell>
          <cell r="B229" t="str">
            <v>COMPAQ DESKPRO 2000 DT 5166 M1620</v>
          </cell>
          <cell r="C229" t="str">
            <v>491-2847</v>
          </cell>
          <cell r="D229" t="str">
            <v>8651HVU80594</v>
          </cell>
          <cell r="E229" t="str">
            <v xml:space="preserve">AZ </v>
          </cell>
          <cell r="F229" t="str">
            <v xml:space="preserve">NIEPSUJ                  ANDRZEJ        </v>
          </cell>
          <cell r="G229" t="str">
            <v>U-14</v>
          </cell>
          <cell r="H229" t="str">
            <v>702</v>
          </cell>
          <cell r="I229" t="str">
            <v>27-71</v>
          </cell>
          <cell r="J229" t="str">
            <v>1864</v>
          </cell>
          <cell r="K229" t="str">
            <v>491-02847</v>
          </cell>
          <cell r="L229" t="str">
            <v>166</v>
          </cell>
          <cell r="M229" t="str">
            <v/>
          </cell>
          <cell r="N229" t="str">
            <v>64</v>
          </cell>
        </row>
        <row r="230">
          <cell r="A230" t="str">
            <v>STACJA ROBOCZA</v>
          </cell>
          <cell r="B230" t="str">
            <v>NEC PMVT Desktop P III 450</v>
          </cell>
          <cell r="C230" t="str">
            <v>491-3816</v>
          </cell>
          <cell r="D230" t="str">
            <v>0192109</v>
          </cell>
          <cell r="E230" t="str">
            <v xml:space="preserve">AZ </v>
          </cell>
          <cell r="F230" t="str">
            <v xml:space="preserve">NIEPSUJ                  ANDRZEJ        </v>
          </cell>
          <cell r="G230" t="str">
            <v>U-14</v>
          </cell>
          <cell r="H230" t="str">
            <v>702</v>
          </cell>
          <cell r="I230" t="str">
            <v>27-71</v>
          </cell>
          <cell r="J230" t="str">
            <v>1864</v>
          </cell>
          <cell r="K230" t="str">
            <v>491-03816</v>
          </cell>
          <cell r="L230" t="str">
            <v>450</v>
          </cell>
          <cell r="M230" t="str">
            <v/>
          </cell>
          <cell r="N230" t="str">
            <v>128</v>
          </cell>
        </row>
        <row r="231">
          <cell r="A231" t="str">
            <v>STACJA ROBOCZA</v>
          </cell>
          <cell r="B231" t="str">
            <v>KOMPUTER PC/AT</v>
          </cell>
          <cell r="C231" t="str">
            <v>491-1620/1639</v>
          </cell>
          <cell r="D231" t="str">
            <v>021375</v>
          </cell>
          <cell r="E231" t="str">
            <v xml:space="preserve">AZ </v>
          </cell>
          <cell r="F231" t="str">
            <v xml:space="preserve">IGNASIAK                 ZYGMUNT        </v>
          </cell>
          <cell r="G231" t="str">
            <v>U-14</v>
          </cell>
          <cell r="H231" t="str">
            <v>506</v>
          </cell>
          <cell r="I231" t="str">
            <v>13-60</v>
          </cell>
          <cell r="J231" t="str">
            <v>1653</v>
          </cell>
          <cell r="K231" t="str">
            <v/>
          </cell>
          <cell r="L231" t="str">
            <v>0</v>
          </cell>
          <cell r="M231" t="str">
            <v>NIE PRACUJE</v>
          </cell>
          <cell r="N231" t="str">
            <v/>
          </cell>
        </row>
        <row r="232">
          <cell r="A232" t="str">
            <v>STACJA ROBOCZA</v>
          </cell>
          <cell r="B232" t="str">
            <v>KOMPUTER</v>
          </cell>
          <cell r="C232" t="str">
            <v>491-1392</v>
          </cell>
          <cell r="D232" t="str">
            <v>10/88</v>
          </cell>
          <cell r="E232" t="str">
            <v xml:space="preserve">AZ </v>
          </cell>
          <cell r="F232" t="str">
            <v xml:space="preserve">KAŁUŻNY                  ROMAN          </v>
          </cell>
          <cell r="G232" t="str">
            <v>U-14</v>
          </cell>
          <cell r="H232" t="str">
            <v>502</v>
          </cell>
          <cell r="I232" t="str">
            <v>13-43</v>
          </cell>
          <cell r="J232" t="str">
            <v>1998</v>
          </cell>
          <cell r="K232" t="str">
            <v>491-01392</v>
          </cell>
          <cell r="L232" t="str">
            <v>500</v>
          </cell>
          <cell r="M232" t="str">
            <v/>
          </cell>
          <cell r="N232" t="str">
            <v>64</v>
          </cell>
        </row>
        <row r="233">
          <cell r="A233" t="str">
            <v>NOTEBOOK</v>
          </cell>
          <cell r="B233" t="str">
            <v>COMPAQ ARMADA E500  PIII 600</v>
          </cell>
          <cell r="C233" t="str">
            <v>491-4369</v>
          </cell>
          <cell r="D233" t="str">
            <v>7J0ADN98Y00L</v>
          </cell>
          <cell r="E233" t="str">
            <v xml:space="preserve">AZ </v>
          </cell>
          <cell r="F233" t="str">
            <v xml:space="preserve">MARKIEWICZ               ZDZISŁAW       </v>
          </cell>
          <cell r="G233" t="str">
            <v>U-14</v>
          </cell>
          <cell r="H233" t="str">
            <v>503A</v>
          </cell>
          <cell r="I233" t="str">
            <v>13-41</v>
          </cell>
          <cell r="J233" t="str">
            <v>576</v>
          </cell>
          <cell r="K233" t="str">
            <v>491-04369</v>
          </cell>
          <cell r="L233" t="str">
            <v>600</v>
          </cell>
          <cell r="M233" t="str">
            <v/>
          </cell>
          <cell r="N233" t="str">
            <v>128</v>
          </cell>
        </row>
        <row r="234">
          <cell r="A234" t="str">
            <v>NOTEBOOK</v>
          </cell>
          <cell r="B234" t="str">
            <v>DELL Latitude C640</v>
          </cell>
          <cell r="C234" t="str">
            <v>491-5072</v>
          </cell>
          <cell r="D234" t="str">
            <v>G5RGL0J</v>
          </cell>
          <cell r="E234" t="str">
            <v xml:space="preserve">AZ </v>
          </cell>
          <cell r="F234" t="str">
            <v xml:space="preserve">WALASEK                  WALDEMAR       </v>
          </cell>
          <cell r="G234" t="str">
            <v>U-14</v>
          </cell>
          <cell r="H234" t="str">
            <v>709</v>
          </cell>
          <cell r="I234" t="str">
            <v>30-58</v>
          </cell>
          <cell r="J234" t="str">
            <v>1108</v>
          </cell>
          <cell r="K234" t="str">
            <v/>
          </cell>
          <cell r="L234" t="str">
            <v>1800</v>
          </cell>
          <cell r="M234" t="str">
            <v/>
          </cell>
          <cell r="N234" t="str">
            <v/>
          </cell>
        </row>
        <row r="235">
          <cell r="A235" t="str">
            <v>STACJA ROBOCZA</v>
          </cell>
          <cell r="B235" t="str">
            <v>DELL Optiplex GX260 SD</v>
          </cell>
          <cell r="C235" t="str">
            <v>491-5022</v>
          </cell>
          <cell r="D235" t="str">
            <v>5NPFL0J</v>
          </cell>
          <cell r="E235" t="str">
            <v xml:space="preserve">AZ </v>
          </cell>
          <cell r="F235" t="str">
            <v xml:space="preserve">NOWACKI                  ANDRZEJ        </v>
          </cell>
          <cell r="G235" t="str">
            <v>U-14</v>
          </cell>
          <cell r="H235" t="str">
            <v>507</v>
          </cell>
          <cell r="I235" t="str">
            <v>13-58</v>
          </cell>
          <cell r="J235" t="str">
            <v>3880</v>
          </cell>
          <cell r="K235" t="str">
            <v>491-05022</v>
          </cell>
          <cell r="L235" t="str">
            <v>2400</v>
          </cell>
          <cell r="M235" t="str">
            <v/>
          </cell>
          <cell r="N235" t="str">
            <v>254</v>
          </cell>
        </row>
        <row r="236">
          <cell r="A236" t="str">
            <v>STACJA ROBOCZA</v>
          </cell>
          <cell r="B236" t="str">
            <v>NEC PMVT Desktop P III 450</v>
          </cell>
          <cell r="C236" t="str">
            <v>491-3817</v>
          </cell>
          <cell r="D236" t="str">
            <v>0690109</v>
          </cell>
          <cell r="E236" t="str">
            <v xml:space="preserve">AZ </v>
          </cell>
          <cell r="F236" t="str">
            <v xml:space="preserve">BARTCZAK-DUDA            WIESŁAWA       </v>
          </cell>
          <cell r="G236" t="str">
            <v>U-14</v>
          </cell>
          <cell r="H236" t="str">
            <v>503A</v>
          </cell>
          <cell r="I236" t="str">
            <v>22-61</v>
          </cell>
          <cell r="J236" t="str">
            <v>78</v>
          </cell>
          <cell r="K236" t="str">
            <v>491-03817</v>
          </cell>
          <cell r="L236" t="str">
            <v>450</v>
          </cell>
          <cell r="M236" t="str">
            <v/>
          </cell>
          <cell r="N236" t="str">
            <v>128</v>
          </cell>
        </row>
        <row r="237">
          <cell r="A237" t="str">
            <v>STACJA ROBOCZA</v>
          </cell>
          <cell r="B237" t="str">
            <v>COMPAQ DESKPRO 2000 DT 5120 M1080</v>
          </cell>
          <cell r="C237" t="str">
            <v>491-2805</v>
          </cell>
          <cell r="D237" t="str">
            <v>8651HVS52356</v>
          </cell>
          <cell r="E237" t="str">
            <v xml:space="preserve">AZ </v>
          </cell>
          <cell r="F237" t="str">
            <v xml:space="preserve">NOWACKI                  ANDRZEJ        </v>
          </cell>
          <cell r="G237" t="str">
            <v>U-14</v>
          </cell>
          <cell r="H237" t="str">
            <v>507</v>
          </cell>
          <cell r="I237" t="str">
            <v>13-58</v>
          </cell>
          <cell r="J237" t="str">
            <v>3880</v>
          </cell>
          <cell r="K237" t="str">
            <v>491-02805</v>
          </cell>
          <cell r="L237" t="str">
            <v>120</v>
          </cell>
          <cell r="M237" t="str">
            <v/>
          </cell>
          <cell r="N237" t="str">
            <v/>
          </cell>
        </row>
        <row r="238">
          <cell r="A238" t="str">
            <v>STACJA ROBOCZA</v>
          </cell>
          <cell r="B238" t="str">
            <v>DELL Optiplex GX1M P II 450</v>
          </cell>
          <cell r="C238" t="str">
            <v>491-3658</v>
          </cell>
          <cell r="D238" t="str">
            <v>QDXTY</v>
          </cell>
          <cell r="E238" t="str">
            <v xml:space="preserve">AZ </v>
          </cell>
          <cell r="F238" t="str">
            <v xml:space="preserve">SZTAJNERT                EWA            </v>
          </cell>
          <cell r="G238" t="str">
            <v>U-14</v>
          </cell>
          <cell r="H238" t="str">
            <v>501</v>
          </cell>
          <cell r="I238" t="str">
            <v>13-60</v>
          </cell>
          <cell r="J238" t="str">
            <v>2071</v>
          </cell>
          <cell r="K238" t="str">
            <v>491-03658</v>
          </cell>
          <cell r="L238" t="str">
            <v>450</v>
          </cell>
          <cell r="M238" t="str">
            <v/>
          </cell>
          <cell r="N238" t="str">
            <v>64</v>
          </cell>
        </row>
        <row r="239">
          <cell r="A239" t="str">
            <v>STACJA ROBOCZA</v>
          </cell>
          <cell r="B239" t="str">
            <v>ZENITH Z STATION P166</v>
          </cell>
          <cell r="C239" t="str">
            <v>491-3017</v>
          </cell>
          <cell r="D239" t="str">
            <v>GVDD72901456</v>
          </cell>
          <cell r="E239" t="str">
            <v xml:space="preserve">AZ </v>
          </cell>
          <cell r="F239" t="str">
            <v xml:space="preserve">TROJANOWSKI              MAREK          </v>
          </cell>
          <cell r="G239" t="str">
            <v>U-14</v>
          </cell>
          <cell r="H239" t="str">
            <v>503</v>
          </cell>
          <cell r="I239" t="str">
            <v>13-40</v>
          </cell>
          <cell r="J239" t="str">
            <v>1029</v>
          </cell>
          <cell r="K239" t="str">
            <v>491-03017</v>
          </cell>
          <cell r="L239" t="str">
            <v>166</v>
          </cell>
          <cell r="M239" t="str">
            <v/>
          </cell>
          <cell r="N239" t="str">
            <v/>
          </cell>
        </row>
        <row r="240">
          <cell r="A240" t="str">
            <v>NOTEBOOK</v>
          </cell>
          <cell r="B240" t="str">
            <v>NEC VERSA SX PII 366 14.1" XGA TFT</v>
          </cell>
          <cell r="C240" t="str">
            <v>491-3849</v>
          </cell>
          <cell r="D240" t="str">
            <v>G834900000</v>
          </cell>
          <cell r="E240" t="str">
            <v xml:space="preserve">AZ </v>
          </cell>
          <cell r="F240" t="str">
            <v xml:space="preserve">POTOK                    ANDRZEJ        </v>
          </cell>
          <cell r="G240" t="str">
            <v>U-14</v>
          </cell>
          <cell r="H240" t="str">
            <v>709</v>
          </cell>
          <cell r="I240" t="str">
            <v>39-71</v>
          </cell>
          <cell r="J240" t="str">
            <v>5642</v>
          </cell>
          <cell r="K240" t="str">
            <v>491-03849</v>
          </cell>
          <cell r="L240" t="str">
            <v>366</v>
          </cell>
          <cell r="M240" t="str">
            <v/>
          </cell>
          <cell r="N240" t="str">
            <v>64</v>
          </cell>
        </row>
        <row r="241">
          <cell r="A241" t="str">
            <v>STACJA ROBOCZA</v>
          </cell>
          <cell r="B241" t="str">
            <v>DELL Optiplex GX1MT 350</v>
          </cell>
          <cell r="C241" t="str">
            <v>491-3499</v>
          </cell>
          <cell r="D241" t="str">
            <v>PKN41</v>
          </cell>
          <cell r="E241" t="str">
            <v xml:space="preserve">AZ </v>
          </cell>
          <cell r="F241" t="str">
            <v xml:space="preserve">KOKOSZKA                 SŁAWOMIR       </v>
          </cell>
          <cell r="G241" t="str">
            <v>U-14</v>
          </cell>
          <cell r="H241" t="str">
            <v>708</v>
          </cell>
          <cell r="I241" t="str">
            <v>13-63</v>
          </cell>
          <cell r="J241" t="str">
            <v>1808</v>
          </cell>
          <cell r="K241" t="str">
            <v>491-03499</v>
          </cell>
          <cell r="L241" t="str">
            <v>350</v>
          </cell>
          <cell r="M241" t="str">
            <v/>
          </cell>
          <cell r="N241" t="str">
            <v>64</v>
          </cell>
        </row>
        <row r="242">
          <cell r="A242" t="str">
            <v>STACJA ROBOCZA</v>
          </cell>
          <cell r="B242" t="str">
            <v>NEC Power Mate VT P III 600</v>
          </cell>
          <cell r="C242" t="str">
            <v>491-4226</v>
          </cell>
          <cell r="D242" t="str">
            <v>0065060</v>
          </cell>
          <cell r="E242" t="str">
            <v xml:space="preserve">BT </v>
          </cell>
          <cell r="F242" t="str">
            <v xml:space="preserve">JĘDRZEJCZYK              KAROL          </v>
          </cell>
          <cell r="G242" t="str">
            <v>U-12</v>
          </cell>
          <cell r="H242" t="str">
            <v>220</v>
          </cell>
          <cell r="I242" t="str">
            <v>18-41</v>
          </cell>
          <cell r="J242" t="str">
            <v>319</v>
          </cell>
          <cell r="K242" t="str">
            <v>491-04226</v>
          </cell>
          <cell r="L242" t="str">
            <v>600</v>
          </cell>
          <cell r="M242" t="str">
            <v/>
          </cell>
          <cell r="N242" t="str">
            <v/>
          </cell>
        </row>
        <row r="243">
          <cell r="A243" t="str">
            <v>STACJA ROBOCZA</v>
          </cell>
          <cell r="B243" t="str">
            <v>COMPAQ DESKPRO EXD PIII 733</v>
          </cell>
          <cell r="C243" t="str">
            <v>491-4300</v>
          </cell>
          <cell r="D243" t="str">
            <v>8036FR4ZE438</v>
          </cell>
          <cell r="E243" t="str">
            <v xml:space="preserve">BT </v>
          </cell>
          <cell r="F243" t="str">
            <v xml:space="preserve">BILNY                    JERZY          </v>
          </cell>
          <cell r="G243" t="str">
            <v>U-11</v>
          </cell>
          <cell r="H243" t="str">
            <v>211</v>
          </cell>
          <cell r="I243" t="str">
            <v>16-40</v>
          </cell>
          <cell r="J243" t="str">
            <v>54</v>
          </cell>
          <cell r="K243" t="str">
            <v>491-04300</v>
          </cell>
          <cell r="L243" t="str">
            <v>733</v>
          </cell>
          <cell r="M243" t="str">
            <v/>
          </cell>
          <cell r="N243" t="str">
            <v>255</v>
          </cell>
        </row>
        <row r="244">
          <cell r="A244" t="str">
            <v>STACJA ROBOCZA</v>
          </cell>
          <cell r="B244" t="str">
            <v>DELL Optiplex GX1M 350</v>
          </cell>
          <cell r="C244" t="str">
            <v>491-3599</v>
          </cell>
          <cell r="D244" t="str">
            <v>PKGYY</v>
          </cell>
          <cell r="E244" t="str">
            <v xml:space="preserve">BT </v>
          </cell>
          <cell r="F244" t="str">
            <v xml:space="preserve">PĘCINA                   WANDA          </v>
          </cell>
          <cell r="G244" t="str">
            <v>U-11</v>
          </cell>
          <cell r="H244" t="str">
            <v>712</v>
          </cell>
          <cell r="I244" t="str">
            <v>10-34</v>
          </cell>
          <cell r="J244" t="str">
            <v>8122</v>
          </cell>
          <cell r="K244" t="str">
            <v>491-03599</v>
          </cell>
          <cell r="L244" t="str">
            <v>350</v>
          </cell>
          <cell r="M244" t="str">
            <v/>
          </cell>
          <cell r="N244" t="str">
            <v>64</v>
          </cell>
        </row>
        <row r="245">
          <cell r="A245" t="str">
            <v>STACJA ROBOCZA</v>
          </cell>
          <cell r="B245" t="str">
            <v>NEC POWER MATE PIII 450</v>
          </cell>
          <cell r="C245" t="str">
            <v>491-3963</v>
          </cell>
          <cell r="D245" t="str">
            <v>Z0042109</v>
          </cell>
          <cell r="E245" t="str">
            <v xml:space="preserve">CA </v>
          </cell>
          <cell r="F245" t="str">
            <v xml:space="preserve">NOWAK                    JOLANTA        </v>
          </cell>
          <cell r="G245" t="str">
            <v>U-2/3</v>
          </cell>
          <cell r="H245" t="str">
            <v>306</v>
          </cell>
          <cell r="I245" t="str">
            <v>34-79</v>
          </cell>
          <cell r="J245" t="str">
            <v>184</v>
          </cell>
          <cell r="K245" t="str">
            <v>491-03963</v>
          </cell>
          <cell r="L245" t="str">
            <v>450</v>
          </cell>
          <cell r="M245" t="str">
            <v/>
          </cell>
          <cell r="N245" t="str">
            <v>64</v>
          </cell>
        </row>
        <row r="246">
          <cell r="A246" t="str">
            <v>NOTEBOOK</v>
          </cell>
          <cell r="B246" t="str">
            <v>DELL Latitude C600</v>
          </cell>
          <cell r="C246" t="str">
            <v>491-4878</v>
          </cell>
          <cell r="D246" t="str">
            <v>7LXY60J</v>
          </cell>
          <cell r="E246" t="str">
            <v xml:space="preserve">CA </v>
          </cell>
          <cell r="F246" t="str">
            <v xml:space="preserve">MAREK                    ADAM           </v>
          </cell>
          <cell r="G246" t="str">
            <v>U-2/3</v>
          </cell>
          <cell r="H246" t="str">
            <v>306</v>
          </cell>
          <cell r="I246" t="str">
            <v>34-78</v>
          </cell>
          <cell r="J246" t="str">
            <v>559</v>
          </cell>
          <cell r="K246" t="str">
            <v>491-04878</v>
          </cell>
          <cell r="L246" t="str">
            <v>700</v>
          </cell>
          <cell r="M246" t="str">
            <v/>
          </cell>
          <cell r="N246" t="str">
            <v>128</v>
          </cell>
        </row>
        <row r="247">
          <cell r="A247" t="str">
            <v>STACJA ROBOCZA</v>
          </cell>
          <cell r="B247" t="str">
            <v>NEC POWER MATE PIII 450</v>
          </cell>
          <cell r="C247" t="str">
            <v>491-3958</v>
          </cell>
          <cell r="D247" t="str">
            <v>Z0055109</v>
          </cell>
          <cell r="E247" t="str">
            <v xml:space="preserve">CA </v>
          </cell>
          <cell r="F247" t="str">
            <v xml:space="preserve">MAREK                    ADAM           </v>
          </cell>
          <cell r="G247" t="str">
            <v>U-2/3</v>
          </cell>
          <cell r="H247" t="str">
            <v>306</v>
          </cell>
          <cell r="I247" t="str">
            <v>34-78</v>
          </cell>
          <cell r="J247" t="str">
            <v>559</v>
          </cell>
          <cell r="K247" t="str">
            <v>491-03958</v>
          </cell>
          <cell r="L247" t="str">
            <v>450</v>
          </cell>
          <cell r="M247" t="str">
            <v/>
          </cell>
          <cell r="N247" t="str">
            <v>128</v>
          </cell>
        </row>
        <row r="248">
          <cell r="A248" t="str">
            <v>STACJA ROBOCZA</v>
          </cell>
          <cell r="B248" t="str">
            <v>NEC POWER MATE PIII 450</v>
          </cell>
          <cell r="C248" t="str">
            <v>491-3961</v>
          </cell>
          <cell r="D248" t="str">
            <v>Z0061109</v>
          </cell>
          <cell r="E248" t="str">
            <v xml:space="preserve">CA </v>
          </cell>
          <cell r="F248" t="str">
            <v xml:space="preserve">ŁEPETA                   KRZYSZTOF      </v>
          </cell>
          <cell r="G248" t="str">
            <v>U-2/3</v>
          </cell>
          <cell r="H248" t="str">
            <v>306</v>
          </cell>
          <cell r="I248" t="str">
            <v>34-79</v>
          </cell>
          <cell r="J248" t="str">
            <v>9761</v>
          </cell>
          <cell r="K248" t="str">
            <v>491-03961</v>
          </cell>
          <cell r="L248" t="str">
            <v>450</v>
          </cell>
          <cell r="M248" t="str">
            <v/>
          </cell>
          <cell r="N248" t="str">
            <v>64</v>
          </cell>
        </row>
        <row r="249">
          <cell r="A249" t="str">
            <v>NOTEBOOK</v>
          </cell>
          <cell r="B249" t="str">
            <v>COMPAQ ARMADA E500  PIII 600</v>
          </cell>
          <cell r="C249" t="str">
            <v>491-4352</v>
          </cell>
          <cell r="D249" t="str">
            <v>7J0ADN98Y01N</v>
          </cell>
          <cell r="E249" t="str">
            <v xml:space="preserve">CA </v>
          </cell>
          <cell r="F249" t="str">
            <v xml:space="preserve">WŁODARCZYK               PRZEMYSŁAW     </v>
          </cell>
          <cell r="G249" t="str">
            <v>U-2/3</v>
          </cell>
          <cell r="H249" t="str">
            <v>306</v>
          </cell>
          <cell r="I249" t="str">
            <v>34-92</v>
          </cell>
          <cell r="J249" t="str">
            <v>9627</v>
          </cell>
          <cell r="K249" t="str">
            <v>491-04352</v>
          </cell>
          <cell r="L249" t="str">
            <v>600</v>
          </cell>
          <cell r="M249" t="str">
            <v>TMA: uszkodzona karta sieciowa, nie został zinw</v>
          </cell>
          <cell r="N249" t="str">
            <v>128</v>
          </cell>
        </row>
        <row r="250">
          <cell r="A250" t="str">
            <v>STACJA ROBOCZA</v>
          </cell>
          <cell r="B250" t="str">
            <v>DELL Optiplex GX1L 266</v>
          </cell>
          <cell r="C250" t="str">
            <v>491-3302</v>
          </cell>
          <cell r="D250" t="str">
            <v>NM18K</v>
          </cell>
          <cell r="E250" t="str">
            <v xml:space="preserve">CA </v>
          </cell>
          <cell r="F250" t="str">
            <v xml:space="preserve">STOLARCZYK               ANIELA         </v>
          </cell>
          <cell r="G250" t="str">
            <v>U-2</v>
          </cell>
          <cell r="H250" t="str">
            <v>311</v>
          </cell>
          <cell r="I250" t="str">
            <v>19-37</v>
          </cell>
          <cell r="J250" t="str">
            <v>5390</v>
          </cell>
          <cell r="K250" t="str">
            <v>491-03302</v>
          </cell>
          <cell r="L250" t="str">
            <v>266</v>
          </cell>
          <cell r="M250" t="str">
            <v/>
          </cell>
          <cell r="N250" t="str">
            <v>160</v>
          </cell>
        </row>
        <row r="251">
          <cell r="A251" t="str">
            <v>STACJA ROBOCZA</v>
          </cell>
          <cell r="B251" t="str">
            <v>DELL Optiplex GX150</v>
          </cell>
          <cell r="C251" t="str">
            <v>491-4683</v>
          </cell>
          <cell r="D251" t="str">
            <v>F8QX60J</v>
          </cell>
          <cell r="E251" t="str">
            <v xml:space="preserve">CA </v>
          </cell>
          <cell r="F251" t="str">
            <v xml:space="preserve">MAREK                    ADAM           </v>
          </cell>
          <cell r="G251" t="str">
            <v>U-2/3</v>
          </cell>
          <cell r="H251" t="str">
            <v>306</v>
          </cell>
          <cell r="I251" t="str">
            <v>34-78</v>
          </cell>
          <cell r="J251" t="str">
            <v>559</v>
          </cell>
          <cell r="K251" t="str">
            <v>491-04683</v>
          </cell>
          <cell r="L251" t="str">
            <v>1000</v>
          </cell>
          <cell r="M251" t="str">
            <v/>
          </cell>
          <cell r="N251" t="str">
            <v>255</v>
          </cell>
        </row>
        <row r="252">
          <cell r="A252" t="str">
            <v>STACJA ROBOCZA</v>
          </cell>
          <cell r="B252" t="str">
            <v>COMPAQ DESKPRO EXD PIII 733</v>
          </cell>
          <cell r="C252" t="str">
            <v>491-4301</v>
          </cell>
          <cell r="D252" t="str">
            <v>8036FR4ZE521</v>
          </cell>
          <cell r="E252" t="str">
            <v xml:space="preserve">CA </v>
          </cell>
          <cell r="F252" t="str">
            <v xml:space="preserve">WŁODARCZYK               PRZEMYSŁAW     </v>
          </cell>
          <cell r="G252" t="str">
            <v>U-2/3</v>
          </cell>
          <cell r="H252" t="str">
            <v>306</v>
          </cell>
          <cell r="I252" t="str">
            <v>34-92</v>
          </cell>
          <cell r="J252" t="str">
            <v>9627</v>
          </cell>
          <cell r="K252" t="str">
            <v>491-04301</v>
          </cell>
          <cell r="L252" t="str">
            <v>733</v>
          </cell>
          <cell r="M252" t="str">
            <v>OK55J</v>
          </cell>
          <cell r="N252" t="str">
            <v>127</v>
          </cell>
        </row>
        <row r="253">
          <cell r="A253" t="str">
            <v>STACJA ROBOCZA</v>
          </cell>
          <cell r="B253" t="str">
            <v>DELL Optiplex GX1L 350</v>
          </cell>
          <cell r="C253" t="str">
            <v>491-3544</v>
          </cell>
          <cell r="D253" t="str">
            <v>PDZBP</v>
          </cell>
          <cell r="E253" t="str">
            <v xml:space="preserve">CA </v>
          </cell>
          <cell r="F253" t="str">
            <v xml:space="preserve">ZIMOWSKA                 IWONA          </v>
          </cell>
          <cell r="G253" t="str">
            <v>U-2</v>
          </cell>
          <cell r="H253" t="str">
            <v>311</v>
          </cell>
          <cell r="I253" t="str">
            <v>41-33</v>
          </cell>
          <cell r="J253" t="str">
            <v>3389</v>
          </cell>
          <cell r="K253" t="str">
            <v>491-03544</v>
          </cell>
          <cell r="L253" t="str">
            <v>350</v>
          </cell>
          <cell r="M253" t="str">
            <v>OK55J</v>
          </cell>
          <cell r="N253" t="str">
            <v>256</v>
          </cell>
        </row>
        <row r="254">
          <cell r="A254" t="str">
            <v>STACJA ROBOCZA</v>
          </cell>
          <cell r="B254" t="str">
            <v>COMPAQ DESKPRO EXD PIII 733</v>
          </cell>
          <cell r="C254" t="str">
            <v>491-4448</v>
          </cell>
          <cell r="D254" t="str">
            <v>8036FR4ZE458</v>
          </cell>
          <cell r="E254" t="str">
            <v xml:space="preserve">CA </v>
          </cell>
          <cell r="F254" t="str">
            <v xml:space="preserve">WOLSKA                   VIOLETTA       </v>
          </cell>
          <cell r="G254" t="str">
            <v>U-2/3</v>
          </cell>
          <cell r="H254" t="str">
            <v>306</v>
          </cell>
          <cell r="I254" t="str">
            <v>19-37</v>
          </cell>
          <cell r="J254" t="str">
            <v>169</v>
          </cell>
          <cell r="K254" t="str">
            <v>491-04448</v>
          </cell>
          <cell r="L254" t="str">
            <v>733</v>
          </cell>
          <cell r="M254" t="str">
            <v/>
          </cell>
          <cell r="N254" t="str">
            <v>127</v>
          </cell>
        </row>
        <row r="255">
          <cell r="A255" t="str">
            <v>STACJA ROBOCZA</v>
          </cell>
          <cell r="B255" t="str">
            <v>DELL Optiplex GX150</v>
          </cell>
          <cell r="C255" t="str">
            <v>491-4825</v>
          </cell>
          <cell r="D255" t="str">
            <v>9L3Y60J</v>
          </cell>
          <cell r="E255" t="str">
            <v xml:space="preserve">CI </v>
          </cell>
          <cell r="F255" t="str">
            <v xml:space="preserve">KŁYSIK                   ADAM           </v>
          </cell>
          <cell r="G255" t="str">
            <v>U-12</v>
          </cell>
          <cell r="H255" t="str">
            <v>407</v>
          </cell>
          <cell r="I255" t="str">
            <v>15-41</v>
          </cell>
          <cell r="J255" t="str">
            <v>489</v>
          </cell>
          <cell r="K255" t="str">
            <v>491-04825</v>
          </cell>
          <cell r="L255" t="str">
            <v>1000</v>
          </cell>
          <cell r="M255" t="str">
            <v/>
          </cell>
          <cell r="N255" t="str">
            <v>255</v>
          </cell>
        </row>
        <row r="256">
          <cell r="A256" t="str">
            <v>STACJA ROBOCZA</v>
          </cell>
          <cell r="B256" t="str">
            <v>Dell Optiplex GX1M P III 450</v>
          </cell>
          <cell r="C256" t="str">
            <v>491-4864</v>
          </cell>
          <cell r="D256" t="str">
            <v>RBPMX</v>
          </cell>
          <cell r="E256" t="str">
            <v xml:space="preserve">CI </v>
          </cell>
          <cell r="F256" t="str">
            <v xml:space="preserve">KŁYSIK                   ADAM           </v>
          </cell>
          <cell r="G256" t="str">
            <v>U-12</v>
          </cell>
          <cell r="H256" t="str">
            <v>407</v>
          </cell>
          <cell r="I256" t="str">
            <v>15-41</v>
          </cell>
          <cell r="J256" t="str">
            <v>489</v>
          </cell>
          <cell r="K256" t="str">
            <v/>
          </cell>
          <cell r="L256" t="str">
            <v>450</v>
          </cell>
          <cell r="M256" t="str">
            <v>na urlopie</v>
          </cell>
          <cell r="N256" t="str">
            <v/>
          </cell>
        </row>
        <row r="257">
          <cell r="A257" t="str">
            <v>STACJA ROBOCZA</v>
          </cell>
          <cell r="B257" t="str">
            <v>NEC PowerMate VT Destop P III 450</v>
          </cell>
          <cell r="C257" t="str">
            <v>491-4025</v>
          </cell>
          <cell r="D257" t="str">
            <v>0673109</v>
          </cell>
          <cell r="E257" t="str">
            <v xml:space="preserve">CK </v>
          </cell>
          <cell r="F257" t="str">
            <v xml:space="preserve">PABICH                   KRZYSZTOF      </v>
          </cell>
          <cell r="G257" t="str">
            <v>U-16</v>
          </cell>
          <cell r="H257" t="str">
            <v>22</v>
          </cell>
          <cell r="I257" t="str">
            <v>41-22</v>
          </cell>
          <cell r="J257" t="str">
            <v>9031</v>
          </cell>
          <cell r="K257" t="str">
            <v>491-04025</v>
          </cell>
          <cell r="L257" t="str">
            <v>450</v>
          </cell>
          <cell r="M257" t="str">
            <v/>
          </cell>
          <cell r="N257" t="str">
            <v>128</v>
          </cell>
        </row>
        <row r="258">
          <cell r="A258" t="str">
            <v>STACJA ROBOCZA</v>
          </cell>
          <cell r="B258" t="str">
            <v>Dell Optiplex GX1M P III 450</v>
          </cell>
          <cell r="C258" t="str">
            <v>491-4872</v>
          </cell>
          <cell r="D258" t="str">
            <v>RBPMY</v>
          </cell>
          <cell r="E258" t="str">
            <v xml:space="preserve">CK </v>
          </cell>
          <cell r="F258" t="str">
            <v xml:space="preserve">BURESZ                   RUŻENA         </v>
          </cell>
          <cell r="G258" t="str">
            <v>U-16</v>
          </cell>
          <cell r="H258" t="str">
            <v>19</v>
          </cell>
          <cell r="I258" t="str">
            <v>40-25</v>
          </cell>
          <cell r="J258" t="str">
            <v>55</v>
          </cell>
          <cell r="K258" t="str">
            <v>491-04872</v>
          </cell>
          <cell r="L258" t="str">
            <v>450</v>
          </cell>
          <cell r="M258" t="str">
            <v/>
          </cell>
          <cell r="N258" t="str">
            <v>192</v>
          </cell>
        </row>
        <row r="259">
          <cell r="A259" t="str">
            <v>NOTEBOOK</v>
          </cell>
          <cell r="B259" t="str">
            <v>NEC VERSA SX PII 366 14.1" XGA TFT</v>
          </cell>
          <cell r="C259" t="str">
            <v>491-3846</v>
          </cell>
          <cell r="D259" t="str">
            <v>G834900003</v>
          </cell>
          <cell r="E259" t="str">
            <v xml:space="preserve">CK </v>
          </cell>
          <cell r="F259" t="str">
            <v xml:space="preserve">BYKOWSKI                 PAWEŁ          </v>
          </cell>
          <cell r="G259" t="str">
            <v>U-16</v>
          </cell>
          <cell r="H259" t="str">
            <v>19</v>
          </cell>
          <cell r="I259" t="str">
            <v>48-02</v>
          </cell>
          <cell r="J259" t="str">
            <v>9094</v>
          </cell>
          <cell r="K259" t="str">
            <v/>
          </cell>
          <cell r="L259" t="str">
            <v>366</v>
          </cell>
          <cell r="M259" t="str">
            <v/>
          </cell>
          <cell r="N259" t="str">
            <v/>
          </cell>
        </row>
        <row r="260">
          <cell r="A260" t="str">
            <v>NOTEBOOK</v>
          </cell>
          <cell r="B260" t="str">
            <v>NEC VERSA SX PII 366 14.1" XGA TFT</v>
          </cell>
          <cell r="C260" t="str">
            <v>491-3728</v>
          </cell>
          <cell r="D260" t="str">
            <v>G697700014</v>
          </cell>
          <cell r="E260" t="str">
            <v xml:space="preserve">CK </v>
          </cell>
          <cell r="F260" t="str">
            <v xml:space="preserve">KĘSY                     SŁAWOMIR       </v>
          </cell>
          <cell r="G260" t="str">
            <v>U-16</v>
          </cell>
          <cell r="H260" t="str">
            <v>20</v>
          </cell>
          <cell r="I260" t="str">
            <v>35-86</v>
          </cell>
          <cell r="J260" t="str">
            <v>9228</v>
          </cell>
          <cell r="K260" t="str">
            <v>491-03728</v>
          </cell>
          <cell r="L260" t="str">
            <v>366</v>
          </cell>
          <cell r="M260" t="str">
            <v/>
          </cell>
          <cell r="N260" t="str">
            <v>128</v>
          </cell>
        </row>
        <row r="261">
          <cell r="A261" t="str">
            <v>STACJA ROBOCZA</v>
          </cell>
          <cell r="B261" t="str">
            <v>COMPAQ DESKPRO EXD PIII 733</v>
          </cell>
          <cell r="C261" t="str">
            <v>491-4246</v>
          </cell>
          <cell r="D261" t="str">
            <v>8036FR4ZE454</v>
          </cell>
          <cell r="E261" t="str">
            <v xml:space="preserve">CK </v>
          </cell>
          <cell r="F261" t="str">
            <v xml:space="preserve">BROŻYŃSKA                LUCYNA         </v>
          </cell>
          <cell r="G261" t="str">
            <v>U-11</v>
          </cell>
          <cell r="H261" t="str">
            <v>505</v>
          </cell>
          <cell r="I261" t="str">
            <v>26-88</v>
          </cell>
          <cell r="J261" t="str">
            <v>43</v>
          </cell>
          <cell r="K261" t="str">
            <v>491-04246</v>
          </cell>
          <cell r="L261" t="str">
            <v>733</v>
          </cell>
          <cell r="M261" t="str">
            <v/>
          </cell>
          <cell r="N261" t="str">
            <v>127</v>
          </cell>
        </row>
        <row r="262">
          <cell r="A262" t="str">
            <v>STACJA ROBOCZA</v>
          </cell>
          <cell r="B262" t="str">
            <v>DELL Optiplex GX1L 266</v>
          </cell>
          <cell r="C262" t="str">
            <v>491-3279</v>
          </cell>
          <cell r="D262" t="str">
            <v>NM193</v>
          </cell>
          <cell r="E262" t="str">
            <v xml:space="preserve">CK </v>
          </cell>
          <cell r="F262" t="str">
            <v xml:space="preserve">OWCZAREK                 JOANNA         </v>
          </cell>
          <cell r="G262" t="str">
            <v>U-11</v>
          </cell>
          <cell r="H262" t="str">
            <v>506A</v>
          </cell>
          <cell r="I262" t="str">
            <v>26-88</v>
          </cell>
          <cell r="J262" t="str">
            <v>684</v>
          </cell>
          <cell r="K262" t="str">
            <v>491-03279</v>
          </cell>
          <cell r="L262" t="str">
            <v>266</v>
          </cell>
          <cell r="M262" t="str">
            <v/>
          </cell>
          <cell r="N262" t="str">
            <v>128</v>
          </cell>
        </row>
        <row r="263">
          <cell r="A263" t="str">
            <v>STACJA ROBOCZA</v>
          </cell>
          <cell r="B263" t="str">
            <v>COMPAQ DESKPRO EXD PIII 733</v>
          </cell>
          <cell r="C263" t="str">
            <v>491-4385</v>
          </cell>
          <cell r="D263" t="str">
            <v>8036FR4ZE549</v>
          </cell>
          <cell r="E263" t="str">
            <v xml:space="preserve">CK </v>
          </cell>
          <cell r="F263" t="str">
            <v xml:space="preserve">TRYKACZ                  TERESA         </v>
          </cell>
          <cell r="G263" t="str">
            <v>U-16</v>
          </cell>
          <cell r="H263" t="str">
            <v>21</v>
          </cell>
          <cell r="I263" t="str">
            <v>11-47</v>
          </cell>
          <cell r="J263" t="str">
            <v>1021</v>
          </cell>
          <cell r="K263" t="str">
            <v>491-04385</v>
          </cell>
          <cell r="L263" t="str">
            <v>733</v>
          </cell>
          <cell r="M263" t="str">
            <v/>
          </cell>
          <cell r="N263" t="str">
            <v>127</v>
          </cell>
        </row>
        <row r="264">
          <cell r="A264" t="str">
            <v>STACJA ROBOCZA</v>
          </cell>
          <cell r="B264" t="str">
            <v>KOMPUTER PC/AT</v>
          </cell>
          <cell r="C264" t="str">
            <v>491-1620/K024</v>
          </cell>
          <cell r="D264" t="str">
            <v>0B23A</v>
          </cell>
          <cell r="E264" t="str">
            <v xml:space="preserve">CK </v>
          </cell>
          <cell r="F264" t="str">
            <v xml:space="preserve">BYKOWSKI                 PAWEŁ          </v>
          </cell>
          <cell r="G264" t="str">
            <v>U-16</v>
          </cell>
          <cell r="H264" t="str">
            <v>19</v>
          </cell>
          <cell r="I264" t="str">
            <v>48-02</v>
          </cell>
          <cell r="J264" t="str">
            <v>9094</v>
          </cell>
          <cell r="K264" t="str">
            <v>491-01620-K024</v>
          </cell>
          <cell r="L264" t="str">
            <v>800</v>
          </cell>
          <cell r="M264" t="str">
            <v>OK57J</v>
          </cell>
          <cell r="N264" t="str">
            <v>512</v>
          </cell>
        </row>
        <row r="265">
          <cell r="A265" t="str">
            <v>STACJA ROBOCZA</v>
          </cell>
          <cell r="B265" t="str">
            <v>COMPAQ DESKPRO EXD PIII 733</v>
          </cell>
          <cell r="C265" t="str">
            <v>491-4329</v>
          </cell>
          <cell r="D265" t="str">
            <v>8036FR4ZE228</v>
          </cell>
          <cell r="E265" t="str">
            <v xml:space="preserve">CK </v>
          </cell>
          <cell r="F265" t="str">
            <v xml:space="preserve">KĘSY                     SŁAWOMIR       </v>
          </cell>
          <cell r="G265" t="str">
            <v>U-16</v>
          </cell>
          <cell r="H265" t="str">
            <v>20</v>
          </cell>
          <cell r="I265" t="str">
            <v>35-86</v>
          </cell>
          <cell r="J265" t="str">
            <v>9228</v>
          </cell>
          <cell r="K265" t="str">
            <v>491-04329</v>
          </cell>
          <cell r="L265" t="str">
            <v>733</v>
          </cell>
          <cell r="M265" t="str">
            <v/>
          </cell>
          <cell r="N265" t="str">
            <v>511</v>
          </cell>
        </row>
        <row r="266">
          <cell r="A266" t="str">
            <v>STACJA ROBOCZA</v>
          </cell>
          <cell r="B266" t="str">
            <v>DELL Optiplex GX240</v>
          </cell>
          <cell r="C266" t="str">
            <v>491-4913</v>
          </cell>
          <cell r="D266" t="str">
            <v>HRCK90J</v>
          </cell>
          <cell r="E266" t="str">
            <v xml:space="preserve">CK </v>
          </cell>
          <cell r="F266" t="str">
            <v xml:space="preserve">BYKOWSKI                 PAWEŁ          </v>
          </cell>
          <cell r="G266" t="str">
            <v>U-16</v>
          </cell>
          <cell r="H266" t="str">
            <v>19</v>
          </cell>
          <cell r="I266" t="str">
            <v>48-02</v>
          </cell>
          <cell r="J266" t="str">
            <v>9094</v>
          </cell>
          <cell r="K266" t="str">
            <v>ELB-R42787C5AQ6</v>
          </cell>
          <cell r="L266" t="str">
            <v>1500</v>
          </cell>
          <cell r="M266" t="str">
            <v>OK57J</v>
          </cell>
          <cell r="N266" t="str">
            <v/>
          </cell>
        </row>
        <row r="267">
          <cell r="A267" t="str">
            <v>STACJA ROBOCZA</v>
          </cell>
          <cell r="B267" t="str">
            <v>DELL PRECISION  WS340</v>
          </cell>
          <cell r="C267" t="str">
            <v>491-4915</v>
          </cell>
          <cell r="D267" t="str">
            <v>19LK90J</v>
          </cell>
          <cell r="E267" t="str">
            <v xml:space="preserve">CK </v>
          </cell>
          <cell r="F267" t="str">
            <v xml:space="preserve">PABICH                   KRZYSZTOF      </v>
          </cell>
          <cell r="G267" t="str">
            <v>U-16</v>
          </cell>
          <cell r="H267" t="str">
            <v>22</v>
          </cell>
          <cell r="I267" t="str">
            <v>41-22</v>
          </cell>
          <cell r="J267" t="str">
            <v>9031</v>
          </cell>
          <cell r="K267" t="str">
            <v>491-04915</v>
          </cell>
          <cell r="L267" t="str">
            <v>1800</v>
          </cell>
          <cell r="M267" t="str">
            <v/>
          </cell>
          <cell r="N267" t="str">
            <v>512</v>
          </cell>
        </row>
        <row r="268">
          <cell r="A268" t="str">
            <v>STACJA ROBOCZA</v>
          </cell>
          <cell r="B268" t="str">
            <v>DELL Optiplex GX150</v>
          </cell>
          <cell r="C268" t="str">
            <v>491-4754</v>
          </cell>
          <cell r="D268" t="str">
            <v>31RX60J</v>
          </cell>
          <cell r="E268" t="str">
            <v xml:space="preserve">CK </v>
          </cell>
          <cell r="F268" t="str">
            <v xml:space="preserve">BYKOWSKI                 PAWEŁ          </v>
          </cell>
          <cell r="G268" t="str">
            <v>U-16</v>
          </cell>
          <cell r="H268" t="str">
            <v>19</v>
          </cell>
          <cell r="I268" t="str">
            <v>48-02</v>
          </cell>
          <cell r="J268" t="str">
            <v>9094</v>
          </cell>
          <cell r="K268" t="str">
            <v>491-04754</v>
          </cell>
          <cell r="L268" t="str">
            <v>1000</v>
          </cell>
          <cell r="M268" t="str">
            <v/>
          </cell>
          <cell r="N268" t="str">
            <v>255</v>
          </cell>
        </row>
        <row r="269">
          <cell r="A269" t="str">
            <v>STACJA ROBOCZA</v>
          </cell>
          <cell r="B269" t="str">
            <v>DELL Optiplex GX240</v>
          </cell>
          <cell r="C269" t="str">
            <v>491-4914</v>
          </cell>
          <cell r="D269" t="str">
            <v>DRCK90J</v>
          </cell>
          <cell r="E269" t="str">
            <v xml:space="preserve">CK </v>
          </cell>
          <cell r="F269" t="str">
            <v xml:space="preserve">KĘSY                     SŁAWOMIR       </v>
          </cell>
          <cell r="G269" t="str">
            <v>U-16</v>
          </cell>
          <cell r="H269" t="str">
            <v>20</v>
          </cell>
          <cell r="I269" t="str">
            <v>35-86</v>
          </cell>
          <cell r="J269" t="str">
            <v>9228</v>
          </cell>
          <cell r="K269" t="str">
            <v>491-04914</v>
          </cell>
          <cell r="L269" t="str">
            <v>1500</v>
          </cell>
          <cell r="M269" t="str">
            <v/>
          </cell>
          <cell r="N269" t="str">
            <v>256</v>
          </cell>
        </row>
        <row r="270">
          <cell r="A270" t="str">
            <v>STACJA ROBOCZA</v>
          </cell>
          <cell r="B270" t="str">
            <v>DELL Optiplex GX1L 266</v>
          </cell>
          <cell r="C270" t="str">
            <v>491-3250</v>
          </cell>
          <cell r="D270" t="str">
            <v>NM16W</v>
          </cell>
          <cell r="E270" t="str">
            <v xml:space="preserve">CK </v>
          </cell>
          <cell r="F270" t="str">
            <v xml:space="preserve">ZAJĄC                    GRAŻYNA        </v>
          </cell>
          <cell r="G270" t="str">
            <v>U-16</v>
          </cell>
          <cell r="H270" t="str">
            <v>21</v>
          </cell>
          <cell r="I270" t="str">
            <v>11-47</v>
          </cell>
          <cell r="J270" t="str">
            <v>1130</v>
          </cell>
          <cell r="K270" t="str">
            <v>491-03250</v>
          </cell>
          <cell r="L270" t="str">
            <v>266</v>
          </cell>
          <cell r="M270" t="str">
            <v/>
          </cell>
          <cell r="N270" t="str">
            <v>128</v>
          </cell>
        </row>
        <row r="271">
          <cell r="A271" t="str">
            <v>STACJA ROBOCZA</v>
          </cell>
          <cell r="B271" t="str">
            <v>DELL Optiplex GX150</v>
          </cell>
          <cell r="C271" t="str">
            <v>491-4837</v>
          </cell>
          <cell r="D271" t="str">
            <v>GSPX60J</v>
          </cell>
          <cell r="E271" t="str">
            <v xml:space="preserve">CK </v>
          </cell>
          <cell r="F271" t="str">
            <v xml:space="preserve">PRAŁAT                   ELŻBIETA       </v>
          </cell>
          <cell r="G271" t="str">
            <v>U-16</v>
          </cell>
          <cell r="H271" t="str">
            <v>21</v>
          </cell>
          <cell r="I271" t="str">
            <v>15-75</v>
          </cell>
          <cell r="J271" t="str">
            <v>746</v>
          </cell>
          <cell r="K271" t="str">
            <v>491-04837</v>
          </cell>
          <cell r="L271" t="str">
            <v>1000</v>
          </cell>
          <cell r="M271" t="str">
            <v/>
          </cell>
          <cell r="N271" t="str">
            <v>255</v>
          </cell>
        </row>
        <row r="272">
          <cell r="A272" t="str">
            <v>STACJA ROBOCZA</v>
          </cell>
          <cell r="B272" t="str">
            <v>DELL Optiplex GX1L 266</v>
          </cell>
          <cell r="C272" t="str">
            <v>491-3265</v>
          </cell>
          <cell r="D272" t="str">
            <v>NM15X</v>
          </cell>
          <cell r="E272" t="str">
            <v xml:space="preserve">CU </v>
          </cell>
          <cell r="F272" t="str">
            <v xml:space="preserve">MISZCZAK                 ANNA           </v>
          </cell>
          <cell r="G272" t="str">
            <v>U-2/3</v>
          </cell>
          <cell r="H272" t="str">
            <v>306</v>
          </cell>
          <cell r="I272" t="str">
            <v>30-40</v>
          </cell>
          <cell r="J272" t="str">
            <v>569</v>
          </cell>
          <cell r="K272" t="str">
            <v>491-03265</v>
          </cell>
          <cell r="L272" t="str">
            <v>266</v>
          </cell>
          <cell r="M272" t="str">
            <v>OK55J</v>
          </cell>
          <cell r="N272" t="str">
            <v>96</v>
          </cell>
        </row>
        <row r="273">
          <cell r="A273" t="str">
            <v>STACJA ROBOCZA</v>
          </cell>
          <cell r="B273" t="str">
            <v>NEC PowerMate VT Destop P III 450</v>
          </cell>
          <cell r="C273" t="str">
            <v>491-3908</v>
          </cell>
          <cell r="D273" t="str">
            <v>0266109</v>
          </cell>
          <cell r="E273" t="str">
            <v xml:space="preserve">CU </v>
          </cell>
          <cell r="F273" t="str">
            <v xml:space="preserve">BARTOSIEWICZ             BARTOSZ        </v>
          </cell>
          <cell r="G273" t="str">
            <v>U-11</v>
          </cell>
          <cell r="H273" t="str">
            <v>410</v>
          </cell>
          <cell r="I273" t="str">
            <v>14-71</v>
          </cell>
          <cell r="J273" t="str">
            <v>9572</v>
          </cell>
          <cell r="K273" t="str">
            <v>BARTEK</v>
          </cell>
          <cell r="L273" t="str">
            <v>450</v>
          </cell>
          <cell r="M273" t="str">
            <v/>
          </cell>
          <cell r="N273" t="str">
            <v/>
          </cell>
        </row>
        <row r="274">
          <cell r="A274" t="str">
            <v>NOTEBOOK</v>
          </cell>
          <cell r="B274" t="str">
            <v>ZENITH Z NOTE 6000</v>
          </cell>
          <cell r="C274" t="str">
            <v>491-3089</v>
          </cell>
          <cell r="D274" t="str">
            <v>5477000034</v>
          </cell>
          <cell r="E274" t="str">
            <v xml:space="preserve">CU </v>
          </cell>
          <cell r="F274" t="str">
            <v xml:space="preserve">MISZCZAK                 ANNA           </v>
          </cell>
          <cell r="G274" t="str">
            <v>U-2/3</v>
          </cell>
          <cell r="H274" t="str">
            <v>306</v>
          </cell>
          <cell r="I274" t="str">
            <v>30-40</v>
          </cell>
          <cell r="J274" t="str">
            <v>569</v>
          </cell>
          <cell r="K274" t="str">
            <v/>
          </cell>
          <cell r="L274" t="str">
            <v>200</v>
          </cell>
          <cell r="M274" t="str">
            <v>JMAS: za slaby</v>
          </cell>
          <cell r="N274" t="str">
            <v/>
          </cell>
        </row>
        <row r="275">
          <cell r="A275" t="str">
            <v>STACJA ROBOCZA</v>
          </cell>
          <cell r="B275" t="str">
            <v>DELL Optiplex GX1L 266</v>
          </cell>
          <cell r="C275" t="str">
            <v>491-3236</v>
          </cell>
          <cell r="D275" t="str">
            <v>NM179</v>
          </cell>
          <cell r="E275" t="str">
            <v xml:space="preserve">CU </v>
          </cell>
          <cell r="F275" t="str">
            <v xml:space="preserve">SKRZYPEK                 ANNA           </v>
          </cell>
          <cell r="G275" t="str">
            <v>U-11</v>
          </cell>
          <cell r="H275" t="str">
            <v>308</v>
          </cell>
          <cell r="I275" t="str">
            <v>10-80</v>
          </cell>
          <cell r="J275" t="str">
            <v>949</v>
          </cell>
          <cell r="K275" t="str">
            <v>491-03236</v>
          </cell>
          <cell r="L275" t="str">
            <v>266</v>
          </cell>
          <cell r="M275" t="str">
            <v/>
          </cell>
          <cell r="N275" t="str">
            <v>160</v>
          </cell>
        </row>
        <row r="276">
          <cell r="A276" t="str">
            <v>STACJA ROBOCZA</v>
          </cell>
          <cell r="B276" t="str">
            <v>COMPAQ DESKPRO EXD PIII 733</v>
          </cell>
          <cell r="C276" t="str">
            <v>491-4377</v>
          </cell>
          <cell r="D276" t="str">
            <v>8036FR4ZE507</v>
          </cell>
          <cell r="E276" t="str">
            <v xml:space="preserve">CU </v>
          </cell>
          <cell r="F276" t="str">
            <v xml:space="preserve">KARGULEWICZ              MARIOLA        </v>
          </cell>
          <cell r="G276" t="str">
            <v>U-11</v>
          </cell>
          <cell r="H276" t="str">
            <v>211</v>
          </cell>
          <cell r="I276" t="str">
            <v>14-72</v>
          </cell>
          <cell r="J276" t="str">
            <v>387</v>
          </cell>
          <cell r="K276" t="str">
            <v>491-04377</v>
          </cell>
          <cell r="L276" t="str">
            <v>733</v>
          </cell>
          <cell r="M276" t="str">
            <v/>
          </cell>
          <cell r="N276" t="str">
            <v>127</v>
          </cell>
        </row>
        <row r="277">
          <cell r="A277" t="str">
            <v>STACJA ROBOCZA</v>
          </cell>
          <cell r="B277" t="str">
            <v>DELL Optiplex GX150</v>
          </cell>
          <cell r="C277" t="str">
            <v>491-4712</v>
          </cell>
          <cell r="D277" t="str">
            <v>11WX60J</v>
          </cell>
          <cell r="E277" t="str">
            <v xml:space="preserve">CU </v>
          </cell>
          <cell r="F277" t="str">
            <v xml:space="preserve">ROMAŃSKA                 ALICJA         </v>
          </cell>
          <cell r="G277" t="str">
            <v>U-11</v>
          </cell>
          <cell r="H277" t="str">
            <v>410</v>
          </cell>
          <cell r="I277" t="str">
            <v>40-10</v>
          </cell>
          <cell r="J277" t="str">
            <v>855</v>
          </cell>
          <cell r="K277" t="str">
            <v>491-04712</v>
          </cell>
          <cell r="L277" t="str">
            <v>1000</v>
          </cell>
          <cell r="M277" t="str">
            <v/>
          </cell>
          <cell r="N277" t="str">
            <v>255</v>
          </cell>
        </row>
        <row r="278">
          <cell r="A278" t="str">
            <v>STACJA ROBOCZA</v>
          </cell>
          <cell r="B278" t="str">
            <v>DELL Optiplex GX1L 266</v>
          </cell>
          <cell r="C278" t="str">
            <v>491-3407</v>
          </cell>
          <cell r="D278" t="str">
            <v>NM1G4</v>
          </cell>
          <cell r="E278" t="str">
            <v xml:space="preserve">CU </v>
          </cell>
          <cell r="F278" t="str">
            <v xml:space="preserve">BOROWIECKA               LIDIA          </v>
          </cell>
          <cell r="G278" t="str">
            <v>U-11</v>
          </cell>
          <cell r="H278" t="str">
            <v>308</v>
          </cell>
          <cell r="I278" t="str">
            <v>34-75</v>
          </cell>
          <cell r="J278" t="str">
            <v>69</v>
          </cell>
          <cell r="K278" t="str">
            <v>491-03407</v>
          </cell>
          <cell r="L278" t="str">
            <v>266</v>
          </cell>
          <cell r="M278" t="str">
            <v/>
          </cell>
          <cell r="N278" t="str">
            <v>96</v>
          </cell>
        </row>
        <row r="279">
          <cell r="A279" t="str">
            <v>STACJA ROBOCZA</v>
          </cell>
          <cell r="B279" t="str">
            <v>DELL Optiplex GX150</v>
          </cell>
          <cell r="C279" t="str">
            <v>491-4713</v>
          </cell>
          <cell r="D279" t="str">
            <v>HKVX60J</v>
          </cell>
          <cell r="E279" t="str">
            <v xml:space="preserve">CU </v>
          </cell>
          <cell r="F279" t="str">
            <v xml:space="preserve">KRZACZYŃSKI              MIROSŁAW       </v>
          </cell>
          <cell r="G279" t="str">
            <v>U-11</v>
          </cell>
          <cell r="H279" t="str">
            <v>411</v>
          </cell>
          <cell r="I279" t="str">
            <v>15-12</v>
          </cell>
          <cell r="J279" t="str">
            <v>403</v>
          </cell>
          <cell r="K279" t="str">
            <v>491-04713</v>
          </cell>
          <cell r="L279" t="str">
            <v>1000</v>
          </cell>
          <cell r="M279" t="str">
            <v/>
          </cell>
          <cell r="N279" t="str">
            <v>255</v>
          </cell>
        </row>
        <row r="280">
          <cell r="A280" t="str">
            <v>STACJA ROBOCZA</v>
          </cell>
          <cell r="B280" t="str">
            <v>NEC PowerMate VT Destop P III 450</v>
          </cell>
          <cell r="C280" t="str">
            <v>491-3997</v>
          </cell>
          <cell r="D280" t="str">
            <v>0297109</v>
          </cell>
          <cell r="E280" t="str">
            <v xml:space="preserve">CU </v>
          </cell>
          <cell r="F280" t="str">
            <v xml:space="preserve">DRZEWOSZ                 JANINA         </v>
          </cell>
          <cell r="G280" t="str">
            <v>U-11</v>
          </cell>
          <cell r="H280" t="str">
            <v>412</v>
          </cell>
          <cell r="I280" t="str">
            <v>17-43</v>
          </cell>
          <cell r="J280" t="str">
            <v>144</v>
          </cell>
          <cell r="K280" t="str">
            <v>491-03997</v>
          </cell>
          <cell r="L280" t="str">
            <v>450</v>
          </cell>
          <cell r="M280" t="str">
            <v/>
          </cell>
          <cell r="N280" t="str">
            <v>192</v>
          </cell>
        </row>
        <row r="281">
          <cell r="A281" t="str">
            <v>NOTEBOOK</v>
          </cell>
          <cell r="B281" t="str">
            <v>DELL Latitude C610</v>
          </cell>
          <cell r="C281" t="str">
            <v>491-4973</v>
          </cell>
          <cell r="D281" t="str">
            <v>9103F0J</v>
          </cell>
          <cell r="E281" t="str">
            <v xml:space="preserve">D  </v>
          </cell>
          <cell r="F281" t="str">
            <v xml:space="preserve">NAJGEBAUER               EDWARD         </v>
          </cell>
          <cell r="G281" t="str">
            <v>U-11</v>
          </cell>
          <cell r="H281" t="str">
            <v>206</v>
          </cell>
          <cell r="I281" t="str">
            <v>1111</v>
          </cell>
          <cell r="J281" t="str">
            <v>653</v>
          </cell>
          <cell r="K281" t="str">
            <v>491-04973</v>
          </cell>
          <cell r="L281" t="str">
            <v>733</v>
          </cell>
          <cell r="M281" t="str">
            <v/>
          </cell>
          <cell r="N281" t="str">
            <v>127</v>
          </cell>
        </row>
        <row r="282">
          <cell r="A282" t="str">
            <v>STACJA ROBOCZA</v>
          </cell>
          <cell r="B282" t="str">
            <v>DELL Optiplex GX1L 266</v>
          </cell>
          <cell r="C282" t="str">
            <v>491-3329</v>
          </cell>
          <cell r="D282" t="str">
            <v>NM1HP</v>
          </cell>
          <cell r="E282" t="str">
            <v xml:space="preserve">DF </v>
          </cell>
          <cell r="F282" t="str">
            <v xml:space="preserve">KOPREK                   HENRYK         </v>
          </cell>
          <cell r="G282" t="str">
            <v>U-11</v>
          </cell>
          <cell r="H282" t="str">
            <v>203</v>
          </cell>
          <cell r="I282" t="str">
            <v>1111</v>
          </cell>
          <cell r="J282" t="str">
            <v>6629</v>
          </cell>
          <cell r="K282" t="str">
            <v>491-03329</v>
          </cell>
          <cell r="L282" t="str">
            <v>266</v>
          </cell>
          <cell r="M282" t="str">
            <v>OK51J</v>
          </cell>
          <cell r="N282" t="str">
            <v>64</v>
          </cell>
        </row>
        <row r="283">
          <cell r="A283" t="str">
            <v>NOTEBOOK</v>
          </cell>
          <cell r="B283" t="str">
            <v>NEC VERSA SX PII 366 14.1" XGA TFT</v>
          </cell>
          <cell r="C283" t="str">
            <v>491-3726</v>
          </cell>
          <cell r="D283" t="str">
            <v>G697700002</v>
          </cell>
          <cell r="E283" t="str">
            <v xml:space="preserve">DF </v>
          </cell>
          <cell r="F283" t="str">
            <v xml:space="preserve">KOPREK                   HENRYK         </v>
          </cell>
          <cell r="G283" t="str">
            <v>U-11</v>
          </cell>
          <cell r="H283" t="str">
            <v>203</v>
          </cell>
          <cell r="I283" t="str">
            <v>1111</v>
          </cell>
          <cell r="J283" t="str">
            <v>6629</v>
          </cell>
          <cell r="K283" t="str">
            <v>491-03726</v>
          </cell>
          <cell r="L283" t="str">
            <v>366</v>
          </cell>
          <cell r="M283" t="str">
            <v/>
          </cell>
          <cell r="N283" t="str">
            <v>64</v>
          </cell>
        </row>
        <row r="284">
          <cell r="A284" t="str">
            <v>STACJA ROBOCZA</v>
          </cell>
          <cell r="B284" t="str">
            <v>COMPAQ DESKPRO EXD PIII 733</v>
          </cell>
          <cell r="C284" t="str">
            <v>491-4395</v>
          </cell>
          <cell r="D284" t="str">
            <v>8036FR4ZE547</v>
          </cell>
          <cell r="E284" t="str">
            <v xml:space="preserve">DF </v>
          </cell>
          <cell r="F284" t="str">
            <v xml:space="preserve">ZAJDER                   IZABELA        </v>
          </cell>
          <cell r="G284" t="str">
            <v>U-11</v>
          </cell>
          <cell r="H284" t="str">
            <v>203</v>
          </cell>
          <cell r="I284" t="str">
            <v>10-35</v>
          </cell>
          <cell r="J284" t="str">
            <v>1135</v>
          </cell>
          <cell r="K284" t="str">
            <v>491-04395</v>
          </cell>
          <cell r="L284" t="str">
            <v>733</v>
          </cell>
          <cell r="M284" t="str">
            <v/>
          </cell>
          <cell r="N284" t="str">
            <v>127</v>
          </cell>
        </row>
        <row r="285">
          <cell r="A285" t="str">
            <v>STACJA ROBOCZA</v>
          </cell>
          <cell r="B285" t="str">
            <v>DELL Optiplex GX1M P II 450</v>
          </cell>
          <cell r="C285" t="str">
            <v>491-3650</v>
          </cell>
          <cell r="D285" t="str">
            <v>P9ZKF</v>
          </cell>
          <cell r="E285" t="str">
            <v xml:space="preserve">DP </v>
          </cell>
          <cell r="F285" t="str">
            <v xml:space="preserve">MARUSZAK                 EDWARD         </v>
          </cell>
          <cell r="G285" t="str">
            <v>U-11</v>
          </cell>
          <cell r="H285" t="str">
            <v>306</v>
          </cell>
          <cell r="I285" t="str">
            <v>18-03</v>
          </cell>
          <cell r="J285" t="str">
            <v>551</v>
          </cell>
          <cell r="K285" t="str">
            <v>491-03650</v>
          </cell>
          <cell r="L285" t="str">
            <v>450</v>
          </cell>
          <cell r="M285" t="str">
            <v/>
          </cell>
          <cell r="N285" t="str">
            <v>64</v>
          </cell>
        </row>
        <row r="286">
          <cell r="A286" t="str">
            <v>STACJA ROBOCZA</v>
          </cell>
          <cell r="B286" t="str">
            <v>COMPAQ DESKPRO EXD PIII 733</v>
          </cell>
          <cell r="C286" t="str">
            <v>491-4348</v>
          </cell>
          <cell r="D286" t="str">
            <v>8036FR4Z6585</v>
          </cell>
          <cell r="E286" t="str">
            <v xml:space="preserve">DP </v>
          </cell>
          <cell r="F286" t="str">
            <v xml:space="preserve">MARUSZAK                 EDWARD         </v>
          </cell>
          <cell r="G286" t="str">
            <v>U-11</v>
          </cell>
          <cell r="H286" t="str">
            <v>306</v>
          </cell>
          <cell r="I286" t="str">
            <v>18-03</v>
          </cell>
          <cell r="J286" t="str">
            <v>551</v>
          </cell>
          <cell r="K286" t="str">
            <v>491-04348</v>
          </cell>
          <cell r="L286" t="str">
            <v>733</v>
          </cell>
          <cell r="M286" t="str">
            <v/>
          </cell>
          <cell r="N286" t="str">
            <v>127</v>
          </cell>
        </row>
        <row r="287">
          <cell r="A287" t="str">
            <v>NOTEBOOK</v>
          </cell>
          <cell r="B287" t="str">
            <v>DELL Latitude C640</v>
          </cell>
          <cell r="C287" t="str">
            <v>491-5059</v>
          </cell>
          <cell r="D287" t="str">
            <v>D3RGL0J</v>
          </cell>
          <cell r="E287" t="str">
            <v>DSC</v>
          </cell>
          <cell r="F287" t="str">
            <v xml:space="preserve">FRĄCZKOWSKI              PIOTR          </v>
          </cell>
          <cell r="G287" t="str">
            <v>U-12</v>
          </cell>
          <cell r="H287" t="str">
            <v>347</v>
          </cell>
          <cell r="I287" t="str">
            <v>10-39</v>
          </cell>
          <cell r="J287" t="str">
            <v>190</v>
          </cell>
          <cell r="K287" t="str">
            <v/>
          </cell>
          <cell r="L287" t="str">
            <v>1800</v>
          </cell>
          <cell r="M287" t="str">
            <v/>
          </cell>
          <cell r="N287" t="str">
            <v/>
          </cell>
        </row>
        <row r="288">
          <cell r="A288" t="str">
            <v>STACJA ROBOCZA</v>
          </cell>
          <cell r="B288" t="str">
            <v>COMPAQ DESKPRO EXD PIII 733</v>
          </cell>
          <cell r="C288" t="str">
            <v>491-4411</v>
          </cell>
          <cell r="D288" t="str">
            <v>8036FR4ZE542</v>
          </cell>
          <cell r="E288" t="str">
            <v>DSC</v>
          </cell>
          <cell r="F288" t="str">
            <v xml:space="preserve">FRĄCZKOWSKI              PIOTR          </v>
          </cell>
          <cell r="G288" t="str">
            <v>U-12</v>
          </cell>
          <cell r="H288" t="str">
            <v>347</v>
          </cell>
          <cell r="I288" t="str">
            <v>10-39</v>
          </cell>
          <cell r="J288" t="str">
            <v>190</v>
          </cell>
          <cell r="K288" t="str">
            <v>491-04411</v>
          </cell>
          <cell r="L288" t="str">
            <v>733</v>
          </cell>
          <cell r="M288" t="str">
            <v/>
          </cell>
          <cell r="N288" t="str">
            <v>127</v>
          </cell>
        </row>
        <row r="289">
          <cell r="A289" t="str">
            <v>STACJA ROBOCZA</v>
          </cell>
          <cell r="B289" t="str">
            <v>DELL Optiplex GX1MT 350</v>
          </cell>
          <cell r="C289" t="str">
            <v>491-3621</v>
          </cell>
          <cell r="D289" t="str">
            <v>PFONC</v>
          </cell>
          <cell r="E289" t="str">
            <v>DSC</v>
          </cell>
          <cell r="F289" t="str">
            <v xml:space="preserve">MĄCZKA                   SYLWIA         </v>
          </cell>
          <cell r="G289" t="str">
            <v>U-12</v>
          </cell>
          <cell r="H289" t="str">
            <v>347</v>
          </cell>
          <cell r="I289" t="str">
            <v>10-39</v>
          </cell>
          <cell r="J289" t="str">
            <v>5630</v>
          </cell>
          <cell r="K289" t="str">
            <v>491-03621</v>
          </cell>
          <cell r="L289" t="str">
            <v>350</v>
          </cell>
          <cell r="M289" t="str">
            <v/>
          </cell>
          <cell r="N289" t="str">
            <v>64</v>
          </cell>
        </row>
        <row r="290">
          <cell r="A290" t="str">
            <v>STACJA ROBOCZA</v>
          </cell>
          <cell r="B290" t="str">
            <v>DELL Optiplex GX1L 450</v>
          </cell>
          <cell r="C290" t="str">
            <v>491-3628</v>
          </cell>
          <cell r="D290" t="str">
            <v>PF8H9</v>
          </cell>
          <cell r="E290" t="str">
            <v xml:space="preserve">DT </v>
          </cell>
          <cell r="F290" t="str">
            <v xml:space="preserve">BILKOWSKI                EUGENIUSZ      </v>
          </cell>
          <cell r="G290" t="str">
            <v>U-11</v>
          </cell>
          <cell r="H290" t="str">
            <v>SEKRETARIA</v>
          </cell>
          <cell r="I290" t="str">
            <v>10-31</v>
          </cell>
          <cell r="J290" t="str">
            <v>14</v>
          </cell>
          <cell r="K290" t="str">
            <v>491-03628</v>
          </cell>
          <cell r="L290" t="str">
            <v>450</v>
          </cell>
          <cell r="M290" t="str">
            <v/>
          </cell>
          <cell r="N290" t="str">
            <v>256</v>
          </cell>
        </row>
        <row r="291">
          <cell r="A291" t="str">
            <v>STACJA ROBOCZA</v>
          </cell>
          <cell r="B291" t="str">
            <v>KOMPUTER PC/AT</v>
          </cell>
          <cell r="C291" t="str">
            <v>491-1620/1678</v>
          </cell>
          <cell r="D291" t="str">
            <v>238003</v>
          </cell>
          <cell r="E291" t="str">
            <v xml:space="preserve">DT </v>
          </cell>
          <cell r="F291" t="str">
            <v xml:space="preserve">BUGAJSKA                 LIDIA          </v>
          </cell>
          <cell r="G291" t="str">
            <v>U-11</v>
          </cell>
          <cell r="H291" t="str">
            <v>SEKRETARIA</v>
          </cell>
          <cell r="I291" t="str">
            <v>10-31</v>
          </cell>
          <cell r="J291" t="str">
            <v>18</v>
          </cell>
          <cell r="K291" t="str">
            <v>491-01620-1678</v>
          </cell>
          <cell r="L291" t="str">
            <v>333</v>
          </cell>
          <cell r="M291" t="str">
            <v/>
          </cell>
          <cell r="N291" t="str">
            <v>192</v>
          </cell>
        </row>
        <row r="292">
          <cell r="A292" t="str">
            <v>NOTEBOOK</v>
          </cell>
          <cell r="B292" t="str">
            <v>DELL Latitude C600</v>
          </cell>
          <cell r="C292" t="str">
            <v>491-4879</v>
          </cell>
          <cell r="D292" t="str">
            <v>DLXY60J</v>
          </cell>
          <cell r="E292" t="str">
            <v xml:space="preserve">DT </v>
          </cell>
          <cell r="F292" t="str">
            <v xml:space="preserve">BILKOWSKI                EUGENIUSZ      </v>
          </cell>
          <cell r="G292" t="str">
            <v>U-11</v>
          </cell>
          <cell r="H292" t="str">
            <v>SEKRETARIA</v>
          </cell>
          <cell r="I292" t="str">
            <v>10-31</v>
          </cell>
          <cell r="J292" t="str">
            <v>14</v>
          </cell>
          <cell r="K292" t="str">
            <v>DELL DLXY60J</v>
          </cell>
          <cell r="L292" t="str">
            <v>700</v>
          </cell>
          <cell r="M292" t="str">
            <v/>
          </cell>
          <cell r="N292" t="str">
            <v/>
          </cell>
        </row>
        <row r="293">
          <cell r="A293" t="str">
            <v>STACJA ROBOCZA</v>
          </cell>
          <cell r="B293" t="str">
            <v>DELL Optiplex GX1L 350</v>
          </cell>
          <cell r="C293" t="str">
            <v>491-3531</v>
          </cell>
          <cell r="D293" t="str">
            <v>PKGNM</v>
          </cell>
          <cell r="E293" t="str">
            <v xml:space="preserve">EE </v>
          </cell>
          <cell r="F293" t="str">
            <v xml:space="preserve">KWAPISZ                  MACIEJ         </v>
          </cell>
          <cell r="G293" t="str">
            <v>U-11</v>
          </cell>
          <cell r="H293" t="str">
            <v>312</v>
          </cell>
          <cell r="I293" t="str">
            <v>15-52</v>
          </cell>
          <cell r="J293" t="str">
            <v>404</v>
          </cell>
          <cell r="K293" t="str">
            <v>491-03531</v>
          </cell>
          <cell r="L293" t="str">
            <v>350</v>
          </cell>
          <cell r="M293" t="str">
            <v>ZINWENTARYZOWANY</v>
          </cell>
          <cell r="N293" t="str">
            <v>256</v>
          </cell>
        </row>
        <row r="294">
          <cell r="A294" t="str">
            <v>STACJA ROBOCZA</v>
          </cell>
          <cell r="B294" t="str">
            <v>DELL Optiplex GX150</v>
          </cell>
          <cell r="C294" t="str">
            <v>491-4828</v>
          </cell>
          <cell r="D294" t="str">
            <v>6KVX60J</v>
          </cell>
          <cell r="E294" t="str">
            <v xml:space="preserve">EE </v>
          </cell>
          <cell r="F294" t="str">
            <v xml:space="preserve">LIPIŃSKA                 MARIOLA        </v>
          </cell>
          <cell r="G294" t="str">
            <v>U-11</v>
          </cell>
          <cell r="H294" t="str">
            <v>313</v>
          </cell>
          <cell r="I294" t="str">
            <v>15-52</v>
          </cell>
          <cell r="J294" t="str">
            <v>516</v>
          </cell>
          <cell r="K294" t="str">
            <v>491-04828</v>
          </cell>
          <cell r="L294" t="str">
            <v>1000</v>
          </cell>
          <cell r="M294" t="str">
            <v/>
          </cell>
          <cell r="N294" t="str">
            <v>255</v>
          </cell>
        </row>
        <row r="295">
          <cell r="A295" t="str">
            <v>STACJA ROBOCZA</v>
          </cell>
          <cell r="B295" t="str">
            <v>DELL Optiplex GX1L 350</v>
          </cell>
          <cell r="C295" t="str">
            <v>491-3532</v>
          </cell>
          <cell r="D295" t="str">
            <v>PKGMZ</v>
          </cell>
          <cell r="E295" t="str">
            <v xml:space="preserve">EE </v>
          </cell>
          <cell r="F295" t="str">
            <v xml:space="preserve">RUDZKI                   JACEK          </v>
          </cell>
          <cell r="G295" t="str">
            <v>U-11</v>
          </cell>
          <cell r="H295" t="str">
            <v>313</v>
          </cell>
          <cell r="I295" t="str">
            <v>15-53</v>
          </cell>
          <cell r="J295" t="str">
            <v>9615</v>
          </cell>
          <cell r="K295" t="str">
            <v>491-03532</v>
          </cell>
          <cell r="L295" t="str">
            <v>350</v>
          </cell>
          <cell r="M295" t="str">
            <v/>
          </cell>
          <cell r="N295" t="str">
            <v>256</v>
          </cell>
        </row>
        <row r="296">
          <cell r="A296" t="str">
            <v>STACJA ROBOCZA</v>
          </cell>
          <cell r="B296" t="str">
            <v>DELL Optiplex GX150</v>
          </cell>
          <cell r="C296" t="str">
            <v>491-4827</v>
          </cell>
          <cell r="D296" t="str">
            <v>7KVX60J</v>
          </cell>
          <cell r="E296" t="str">
            <v xml:space="preserve">EE </v>
          </cell>
          <cell r="F296" t="str">
            <v xml:space="preserve">ZIĘBA                    MAREK          </v>
          </cell>
          <cell r="G296" t="str">
            <v>U-11</v>
          </cell>
          <cell r="H296" t="str">
            <v>313</v>
          </cell>
          <cell r="I296" t="str">
            <v>15-52</v>
          </cell>
          <cell r="J296" t="str">
            <v>1144</v>
          </cell>
          <cell r="K296" t="str">
            <v>491-04827</v>
          </cell>
          <cell r="L296" t="str">
            <v>1000</v>
          </cell>
          <cell r="M296" t="str">
            <v/>
          </cell>
          <cell r="N296" t="str">
            <v>255</v>
          </cell>
        </row>
        <row r="297">
          <cell r="A297" t="str">
            <v>NOTEBOOK</v>
          </cell>
          <cell r="B297" t="str">
            <v>DELL Latitude C600</v>
          </cell>
          <cell r="C297" t="str">
            <v>491-4833</v>
          </cell>
          <cell r="D297" t="str">
            <v>HFXY60J</v>
          </cell>
          <cell r="E297" t="str">
            <v xml:space="preserve">EE </v>
          </cell>
          <cell r="F297" t="str">
            <v xml:space="preserve">LIPIŃSKA                 MARIOLA        </v>
          </cell>
          <cell r="G297" t="str">
            <v>U-11</v>
          </cell>
          <cell r="H297" t="str">
            <v>313</v>
          </cell>
          <cell r="I297" t="str">
            <v>15-52</v>
          </cell>
          <cell r="J297" t="str">
            <v>516</v>
          </cell>
          <cell r="K297" t="str">
            <v>HFXY60J</v>
          </cell>
          <cell r="L297" t="str">
            <v>700</v>
          </cell>
          <cell r="M297" t="str">
            <v/>
          </cell>
          <cell r="N297" t="str">
            <v/>
          </cell>
        </row>
        <row r="298">
          <cell r="A298" t="str">
            <v>STACJA ROBOCZA</v>
          </cell>
          <cell r="B298" t="str">
            <v>COMPAQ DESKPRO EXD PIII 733</v>
          </cell>
          <cell r="C298" t="str">
            <v>491-4455</v>
          </cell>
          <cell r="D298" t="str">
            <v>8036FR4ZE448</v>
          </cell>
          <cell r="E298" t="str">
            <v xml:space="preserve">EE </v>
          </cell>
          <cell r="F298" t="str">
            <v xml:space="preserve">BIEŃKOWSKI               IRENEUSZ       </v>
          </cell>
          <cell r="G298" t="str">
            <v>U-11</v>
          </cell>
          <cell r="H298" t="str">
            <v>313</v>
          </cell>
          <cell r="I298" t="str">
            <v>15-52</v>
          </cell>
          <cell r="J298" t="str">
            <v>9679</v>
          </cell>
          <cell r="K298" t="str">
            <v>491-04455</v>
          </cell>
          <cell r="L298" t="str">
            <v>733</v>
          </cell>
          <cell r="M298" t="str">
            <v>OK55M</v>
          </cell>
          <cell r="N298" t="str">
            <v>127</v>
          </cell>
        </row>
        <row r="299">
          <cell r="A299" t="str">
            <v>STACJA ROBOCZA</v>
          </cell>
          <cell r="B299" t="str">
            <v>COMPAQ DESKPRO EXD PIII 733</v>
          </cell>
          <cell r="C299" t="str">
            <v>491-4290</v>
          </cell>
          <cell r="D299" t="str">
            <v>8037FR4Z2736</v>
          </cell>
          <cell r="E299" t="str">
            <v xml:space="preserve">EE </v>
          </cell>
          <cell r="F299" t="str">
            <v xml:space="preserve">PRZYBYŁO                 MARTA          </v>
          </cell>
          <cell r="G299" t="str">
            <v>U-11</v>
          </cell>
          <cell r="H299" t="str">
            <v>312</v>
          </cell>
          <cell r="I299" t="str">
            <v>15-53</v>
          </cell>
          <cell r="J299" t="str">
            <v>9765</v>
          </cell>
          <cell r="K299" t="str">
            <v>491-04290</v>
          </cell>
          <cell r="L299" t="str">
            <v>733</v>
          </cell>
          <cell r="M299" t="str">
            <v>OK55M</v>
          </cell>
          <cell r="N299" t="str">
            <v>255</v>
          </cell>
        </row>
        <row r="300">
          <cell r="A300" t="str">
            <v>STACJA ROBOCZA</v>
          </cell>
          <cell r="B300" t="str">
            <v>NEC PowerMate VT Destop P III 450</v>
          </cell>
          <cell r="C300" t="str">
            <v>491-3866</v>
          </cell>
          <cell r="D300" t="str">
            <v>0189109</v>
          </cell>
          <cell r="E300" t="str">
            <v xml:space="preserve">EE </v>
          </cell>
          <cell r="F300" t="str">
            <v xml:space="preserve">KWAPISZ                  MACIEJ         </v>
          </cell>
          <cell r="G300" t="str">
            <v>U-11</v>
          </cell>
          <cell r="H300" t="str">
            <v>312</v>
          </cell>
          <cell r="I300" t="str">
            <v>15-52</v>
          </cell>
          <cell r="J300" t="str">
            <v>404</v>
          </cell>
          <cell r="K300" t="str">
            <v>491-03866</v>
          </cell>
          <cell r="L300" t="str">
            <v>450</v>
          </cell>
          <cell r="M300" t="str">
            <v>ZINWENTARYZOWANY</v>
          </cell>
          <cell r="N300" t="str">
            <v>256</v>
          </cell>
        </row>
        <row r="301">
          <cell r="A301" t="str">
            <v>NOTEBOOK</v>
          </cell>
          <cell r="B301" t="str">
            <v>COMPAQ ARMADA E500  PIII 600</v>
          </cell>
          <cell r="C301" t="str">
            <v>491-4374</v>
          </cell>
          <cell r="D301" t="str">
            <v>7J0ADN98Y01L</v>
          </cell>
          <cell r="E301" t="str">
            <v xml:space="preserve">EE </v>
          </cell>
          <cell r="F301" t="str">
            <v xml:space="preserve">ZIĘBA                    MAREK          </v>
          </cell>
          <cell r="G301" t="str">
            <v>U-11</v>
          </cell>
          <cell r="H301" t="str">
            <v>313</v>
          </cell>
          <cell r="I301" t="str">
            <v>15-52</v>
          </cell>
          <cell r="J301" t="str">
            <v>1144</v>
          </cell>
          <cell r="K301" t="str">
            <v>491-04374</v>
          </cell>
          <cell r="L301" t="str">
            <v>600</v>
          </cell>
          <cell r="M301" t="str">
            <v/>
          </cell>
          <cell r="N301" t="str">
            <v>128</v>
          </cell>
        </row>
        <row r="302">
          <cell r="A302" t="str">
            <v>STACJA ROBOCZA</v>
          </cell>
          <cell r="B302" t="str">
            <v>DELL Optiplex GX1M 350</v>
          </cell>
          <cell r="C302" t="str">
            <v>491-3566</v>
          </cell>
          <cell r="D302" t="str">
            <v>PKGPW</v>
          </cell>
          <cell r="E302" t="str">
            <v xml:space="preserve">EI </v>
          </cell>
          <cell r="F302" t="str">
            <v xml:space="preserve">PIĄTEK                   ADAM           </v>
          </cell>
          <cell r="G302" t="str">
            <v>U-16</v>
          </cell>
          <cell r="H302" t="str">
            <v>35</v>
          </cell>
          <cell r="I302" t="str">
            <v>16-80</v>
          </cell>
          <cell r="J302" t="str">
            <v>712</v>
          </cell>
          <cell r="K302" t="str">
            <v>491-03566</v>
          </cell>
          <cell r="L302" t="str">
            <v>350</v>
          </cell>
          <cell r="M302" t="str">
            <v/>
          </cell>
          <cell r="N302" t="str">
            <v>128</v>
          </cell>
        </row>
        <row r="303">
          <cell r="A303" t="str">
            <v>STACJA ROBOCZA</v>
          </cell>
          <cell r="B303" t="str">
            <v>NEC PowerMate VT Destop P III 450</v>
          </cell>
          <cell r="C303" t="str">
            <v>491-3925</v>
          </cell>
          <cell r="D303" t="str">
            <v>0302109</v>
          </cell>
          <cell r="E303" t="str">
            <v xml:space="preserve">EI </v>
          </cell>
          <cell r="F303" t="str">
            <v xml:space="preserve">PIĄTEK                   ALICJA         </v>
          </cell>
          <cell r="G303" t="str">
            <v>U-2</v>
          </cell>
          <cell r="H303" t="str">
            <v>311</v>
          </cell>
          <cell r="I303" t="str">
            <v>16-81</v>
          </cell>
          <cell r="J303" t="str">
            <v>749</v>
          </cell>
          <cell r="K303" t="str">
            <v>491-03925</v>
          </cell>
          <cell r="L303" t="str">
            <v>450</v>
          </cell>
          <cell r="M303" t="str">
            <v/>
          </cell>
          <cell r="N303" t="str">
            <v>64</v>
          </cell>
        </row>
        <row r="304">
          <cell r="A304" t="str">
            <v>STACJA ROBOCZA</v>
          </cell>
          <cell r="B304" t="str">
            <v>NEC PowerMate VT Destop P III 450</v>
          </cell>
          <cell r="C304" t="str">
            <v>491-3904</v>
          </cell>
          <cell r="D304" t="str">
            <v>0274109</v>
          </cell>
          <cell r="E304" t="str">
            <v xml:space="preserve">EI </v>
          </cell>
          <cell r="F304" t="str">
            <v xml:space="preserve">KOMICZ                   IRENA          </v>
          </cell>
          <cell r="G304" t="str">
            <v>U-16</v>
          </cell>
          <cell r="H304" t="str">
            <v>3</v>
          </cell>
          <cell r="I304" t="str">
            <v>22-15</v>
          </cell>
          <cell r="J304" t="str">
            <v>391</v>
          </cell>
          <cell r="K304" t="str">
            <v>491-03904</v>
          </cell>
          <cell r="L304" t="str">
            <v>450</v>
          </cell>
          <cell r="M304" t="str">
            <v/>
          </cell>
          <cell r="N304" t="str">
            <v>64</v>
          </cell>
        </row>
        <row r="305">
          <cell r="A305" t="str">
            <v>STACJA ROBOCZA</v>
          </cell>
          <cell r="B305" t="str">
            <v>DELL Optiplex GX1L 266</v>
          </cell>
          <cell r="C305" t="str">
            <v>491-3393</v>
          </cell>
          <cell r="D305" t="str">
            <v>NM1CR</v>
          </cell>
          <cell r="E305" t="str">
            <v xml:space="preserve">EI </v>
          </cell>
          <cell r="F305" t="str">
            <v xml:space="preserve">KRZYŻKOWSKA              ZOFIA          </v>
          </cell>
          <cell r="G305" t="str">
            <v>U-16</v>
          </cell>
          <cell r="H305" t="str">
            <v>36</v>
          </cell>
          <cell r="I305" t="str">
            <v>16-81</v>
          </cell>
          <cell r="J305" t="str">
            <v>409</v>
          </cell>
          <cell r="K305" t="str">
            <v>491-03393</v>
          </cell>
          <cell r="L305" t="str">
            <v>266</v>
          </cell>
          <cell r="M305" t="str">
            <v/>
          </cell>
          <cell r="N305" t="str">
            <v>256</v>
          </cell>
        </row>
        <row r="306">
          <cell r="A306" t="str">
            <v>STACJA ROBOCZA</v>
          </cell>
          <cell r="B306" t="str">
            <v>DELL Optiplex GX150</v>
          </cell>
          <cell r="C306" t="str">
            <v>491-4686</v>
          </cell>
          <cell r="D306" t="str">
            <v>41WX60J</v>
          </cell>
          <cell r="E306" t="str">
            <v xml:space="preserve">EK </v>
          </cell>
          <cell r="F306" t="str">
            <v xml:space="preserve">PTASZYŃSKA               JOANNA         </v>
          </cell>
          <cell r="G306" t="str">
            <v>U-11</v>
          </cell>
          <cell r="H306" t="str">
            <v>803</v>
          </cell>
          <cell r="I306" t="str">
            <v>15-48</v>
          </cell>
          <cell r="J306" t="str">
            <v>9555</v>
          </cell>
          <cell r="K306" t="str">
            <v>491-04686</v>
          </cell>
          <cell r="L306" t="str">
            <v>1000</v>
          </cell>
          <cell r="M306" t="str">
            <v/>
          </cell>
          <cell r="N306" t="str">
            <v>255</v>
          </cell>
        </row>
        <row r="307">
          <cell r="A307" t="str">
            <v>NOTEBOOK</v>
          </cell>
          <cell r="B307" t="str">
            <v>DELL Latitude C600</v>
          </cell>
          <cell r="C307" t="str">
            <v>491-4822</v>
          </cell>
          <cell r="D307" t="str">
            <v>8LXY60J</v>
          </cell>
          <cell r="E307" t="str">
            <v xml:space="preserve">EK </v>
          </cell>
          <cell r="F307" t="str">
            <v xml:space="preserve">PTASZYŃSKA               JOANNA         </v>
          </cell>
          <cell r="G307" t="str">
            <v>U-11</v>
          </cell>
          <cell r="H307" t="str">
            <v>803</v>
          </cell>
          <cell r="I307" t="str">
            <v>15-48</v>
          </cell>
          <cell r="J307" t="str">
            <v>9555</v>
          </cell>
          <cell r="K307" t="str">
            <v/>
          </cell>
          <cell r="L307" t="str">
            <v>700</v>
          </cell>
          <cell r="M307" t="str">
            <v/>
          </cell>
          <cell r="N307" t="str">
            <v/>
          </cell>
        </row>
        <row r="308">
          <cell r="A308" t="str">
            <v>NOTEBOOK</v>
          </cell>
          <cell r="B308" t="str">
            <v>ZENITH Z STAR 900 150MMX</v>
          </cell>
          <cell r="C308" t="str">
            <v>491-3091</v>
          </cell>
          <cell r="D308" t="str">
            <v>6929300002</v>
          </cell>
          <cell r="E308" t="str">
            <v xml:space="preserve">EK </v>
          </cell>
          <cell r="F308" t="str">
            <v xml:space="preserve">CHODARA                  ELŻBIETA       </v>
          </cell>
          <cell r="G308" t="str">
            <v>U-11</v>
          </cell>
          <cell r="H308" t="str">
            <v>807</v>
          </cell>
          <cell r="I308" t="str">
            <v>15-48</v>
          </cell>
          <cell r="J308" t="str">
            <v>646</v>
          </cell>
          <cell r="K308" t="str">
            <v/>
          </cell>
          <cell r="L308" t="str">
            <v>150</v>
          </cell>
          <cell r="M308" t="str">
            <v>JMAS: za slaby</v>
          </cell>
          <cell r="N308" t="str">
            <v/>
          </cell>
        </row>
        <row r="309">
          <cell r="A309" t="str">
            <v>STACJA ROBOCZA</v>
          </cell>
          <cell r="B309" t="str">
            <v>COMPAQ DESKPRO EXD PIII 733</v>
          </cell>
          <cell r="C309" t="str">
            <v>491-4386</v>
          </cell>
          <cell r="D309" t="str">
            <v>8036FR4ZE412</v>
          </cell>
          <cell r="E309" t="str">
            <v xml:space="preserve">EK </v>
          </cell>
          <cell r="F309" t="str">
            <v xml:space="preserve">CHODARA                  ELŻBIETA       </v>
          </cell>
          <cell r="G309" t="str">
            <v>U-11</v>
          </cell>
          <cell r="H309" t="str">
            <v>807</v>
          </cell>
          <cell r="I309" t="str">
            <v>15-48</v>
          </cell>
          <cell r="J309" t="str">
            <v>646</v>
          </cell>
          <cell r="K309" t="str">
            <v>491-04386</v>
          </cell>
          <cell r="L309" t="str">
            <v>733</v>
          </cell>
          <cell r="M309" t="str">
            <v/>
          </cell>
          <cell r="N309" t="str">
            <v>127</v>
          </cell>
        </row>
        <row r="310">
          <cell r="A310" t="str">
            <v>STACJA ROBOCZA</v>
          </cell>
          <cell r="B310" t="str">
            <v>COMPAQ DESKPRO EXD PIII 733</v>
          </cell>
          <cell r="C310" t="str">
            <v>491-4498</v>
          </cell>
          <cell r="D310" t="str">
            <v>8036FR4ZE387</v>
          </cell>
          <cell r="E310" t="str">
            <v xml:space="preserve">EK </v>
          </cell>
          <cell r="F310" t="str">
            <v xml:space="preserve">PIOTROWSKI               TOMASZ         </v>
          </cell>
          <cell r="G310" t="str">
            <v>U-11</v>
          </cell>
          <cell r="H310" t="str">
            <v>807</v>
          </cell>
          <cell r="I310" t="str">
            <v>12-85</v>
          </cell>
          <cell r="J310" t="str">
            <v>9725</v>
          </cell>
          <cell r="K310" t="str">
            <v>491-04498</v>
          </cell>
          <cell r="L310" t="str">
            <v>733</v>
          </cell>
          <cell r="M310" t="str">
            <v/>
          </cell>
          <cell r="N310" t="str">
            <v>127</v>
          </cell>
        </row>
        <row r="311">
          <cell r="A311" t="str">
            <v>STACJA ROBOCZA</v>
          </cell>
          <cell r="B311" t="str">
            <v>DELL Optiplex GX1L 350</v>
          </cell>
          <cell r="C311" t="str">
            <v>491-3534</v>
          </cell>
          <cell r="D311" t="str">
            <v>PDZBX</v>
          </cell>
          <cell r="E311" t="str">
            <v xml:space="preserve">EK </v>
          </cell>
          <cell r="F311" t="str">
            <v xml:space="preserve">MUSIAŁ                   GRAŻYNA        </v>
          </cell>
          <cell r="G311" t="str">
            <v>U-11</v>
          </cell>
          <cell r="H311" t="str">
            <v>803</v>
          </cell>
          <cell r="I311" t="str">
            <v>15-48</v>
          </cell>
          <cell r="J311" t="str">
            <v>558</v>
          </cell>
          <cell r="K311" t="str">
            <v>491-03534</v>
          </cell>
          <cell r="L311" t="str">
            <v>350</v>
          </cell>
          <cell r="M311" t="str">
            <v/>
          </cell>
          <cell r="N311" t="str">
            <v>64</v>
          </cell>
        </row>
        <row r="312">
          <cell r="A312" t="str">
            <v>STACJA ROBOCZA</v>
          </cell>
          <cell r="B312" t="str">
            <v>DELL Optiplex GX1L 266</v>
          </cell>
          <cell r="C312" t="str">
            <v>491-3416</v>
          </cell>
          <cell r="D312" t="str">
            <v>NM1DB</v>
          </cell>
          <cell r="E312" t="str">
            <v xml:space="preserve">EK </v>
          </cell>
          <cell r="F312" t="str">
            <v xml:space="preserve">PIECHOWICZ               KRYSTYNA       </v>
          </cell>
          <cell r="G312" t="str">
            <v>U-11</v>
          </cell>
          <cell r="H312" t="str">
            <v>803</v>
          </cell>
          <cell r="I312" t="str">
            <v>24-66</v>
          </cell>
          <cell r="J312" t="str">
            <v>753</v>
          </cell>
          <cell r="K312" t="str">
            <v>491-03416</v>
          </cell>
          <cell r="L312" t="str">
            <v>266</v>
          </cell>
          <cell r="M312" t="str">
            <v/>
          </cell>
          <cell r="N312" t="str">
            <v>32</v>
          </cell>
        </row>
        <row r="313">
          <cell r="A313" t="str">
            <v>STACJA ROBOCZA</v>
          </cell>
          <cell r="B313" t="str">
            <v>DELL Optiplex GX1L 266</v>
          </cell>
          <cell r="C313" t="str">
            <v>491-3394</v>
          </cell>
          <cell r="D313" t="str">
            <v>NM1CS</v>
          </cell>
          <cell r="E313" t="str">
            <v xml:space="preserve">EK </v>
          </cell>
          <cell r="F313" t="str">
            <v xml:space="preserve">TURSKA                   MARIANNA       </v>
          </cell>
          <cell r="G313" t="str">
            <v>U-11</v>
          </cell>
          <cell r="H313" t="str">
            <v>803</v>
          </cell>
          <cell r="I313" t="str">
            <v>15-48</v>
          </cell>
          <cell r="J313" t="str">
            <v>1015</v>
          </cell>
          <cell r="K313" t="str">
            <v>491-03394</v>
          </cell>
          <cell r="L313" t="str">
            <v>266</v>
          </cell>
          <cell r="M313" t="str">
            <v>OK55M</v>
          </cell>
          <cell r="N313" t="str">
            <v>160</v>
          </cell>
        </row>
        <row r="314">
          <cell r="A314" t="str">
            <v>STACJA ROBOCZA</v>
          </cell>
          <cell r="B314" t="str">
            <v>COMPAQ DESKPRO EXD PIII 733</v>
          </cell>
          <cell r="C314" t="str">
            <v>491-4481</v>
          </cell>
          <cell r="D314" t="str">
            <v>8036FR4ZE262</v>
          </cell>
          <cell r="E314" t="str">
            <v xml:space="preserve">EK </v>
          </cell>
          <cell r="F314" t="str">
            <v xml:space="preserve">KWIECIEŃ                 STANISŁAWA     </v>
          </cell>
          <cell r="G314" t="str">
            <v>U-11</v>
          </cell>
          <cell r="H314" t="str">
            <v>803</v>
          </cell>
          <cell r="I314" t="str">
            <v>24-66</v>
          </cell>
          <cell r="J314" t="str">
            <v>505</v>
          </cell>
          <cell r="K314" t="str">
            <v>491-04481</v>
          </cell>
          <cell r="L314" t="str">
            <v>733</v>
          </cell>
          <cell r="M314" t="str">
            <v/>
          </cell>
          <cell r="N314" t="str">
            <v>127</v>
          </cell>
        </row>
        <row r="315">
          <cell r="A315" t="str">
            <v>STACJA ROBOCZA</v>
          </cell>
          <cell r="B315" t="str">
            <v>DELL Optiplex GX1L 350</v>
          </cell>
          <cell r="C315" t="str">
            <v>491-3537</v>
          </cell>
          <cell r="D315" t="str">
            <v>PDZB5</v>
          </cell>
          <cell r="E315" t="str">
            <v xml:space="preserve">FA </v>
          </cell>
          <cell r="F315" t="str">
            <v xml:space="preserve">SOŁTYS                   MARIA          </v>
          </cell>
          <cell r="G315" t="str">
            <v>U-11</v>
          </cell>
          <cell r="H315" t="str">
            <v>613</v>
          </cell>
          <cell r="I315" t="str">
            <v>40-27</v>
          </cell>
          <cell r="J315" t="str">
            <v>914</v>
          </cell>
          <cell r="K315" t="str">
            <v>491-03537</v>
          </cell>
          <cell r="L315" t="str">
            <v>350</v>
          </cell>
          <cell r="M315" t="str">
            <v/>
          </cell>
          <cell r="N315" t="str">
            <v>64</v>
          </cell>
        </row>
        <row r="316">
          <cell r="A316" t="str">
            <v>STACJA ROBOCZA</v>
          </cell>
          <cell r="B316" t="str">
            <v>COMPAQ DESKPRO EXD PIII 733</v>
          </cell>
          <cell r="C316" t="str">
            <v>491-4438</v>
          </cell>
          <cell r="D316" t="str">
            <v>8036FR4Z4128</v>
          </cell>
          <cell r="E316" t="str">
            <v xml:space="preserve">FA </v>
          </cell>
          <cell r="F316" t="str">
            <v xml:space="preserve">MICHALCZYK               TERESA         </v>
          </cell>
          <cell r="G316" t="str">
            <v>U-11</v>
          </cell>
          <cell r="H316" t="str">
            <v>613</v>
          </cell>
          <cell r="I316" t="str">
            <v>40-27</v>
          </cell>
          <cell r="J316" t="str">
            <v>9559</v>
          </cell>
          <cell r="K316" t="str">
            <v>491-04438</v>
          </cell>
          <cell r="L316" t="str">
            <v>733</v>
          </cell>
          <cell r="M316" t="str">
            <v/>
          </cell>
          <cell r="N316" t="str">
            <v>127</v>
          </cell>
        </row>
        <row r="317">
          <cell r="A317" t="str">
            <v>STACJA ROBOCZA</v>
          </cell>
          <cell r="B317" t="str">
            <v>DELL Optiplex GX150</v>
          </cell>
          <cell r="C317" t="str">
            <v>491-4709</v>
          </cell>
          <cell r="D317" t="str">
            <v>BMRX60J</v>
          </cell>
          <cell r="E317" t="str">
            <v xml:space="preserve">FA </v>
          </cell>
          <cell r="F317" t="str">
            <v xml:space="preserve">URBAŃSKA                 ELŻBIETA       </v>
          </cell>
          <cell r="G317" t="str">
            <v>U-11</v>
          </cell>
          <cell r="H317" t="str">
            <v>611</v>
          </cell>
          <cell r="I317" t="str">
            <v>14-31</v>
          </cell>
          <cell r="J317" t="str">
            <v>1035</v>
          </cell>
          <cell r="K317" t="str">
            <v>491-04709</v>
          </cell>
          <cell r="L317" t="str">
            <v>1000</v>
          </cell>
          <cell r="M317" t="str">
            <v/>
          </cell>
          <cell r="N317" t="str">
            <v>255</v>
          </cell>
        </row>
        <row r="318">
          <cell r="A318" t="str">
            <v>STACJA ROBOCZA</v>
          </cell>
          <cell r="B318" t="str">
            <v>DELL Optiplex GX150</v>
          </cell>
          <cell r="C318" t="str">
            <v>491-4849</v>
          </cell>
          <cell r="D318" t="str">
            <v>4PRX60J</v>
          </cell>
          <cell r="E318" t="str">
            <v xml:space="preserve">FA </v>
          </cell>
          <cell r="F318" t="str">
            <v xml:space="preserve">JANAS                    ANNA           </v>
          </cell>
          <cell r="G318" t="str">
            <v>U-11</v>
          </cell>
          <cell r="H318" t="str">
            <v>611</v>
          </cell>
          <cell r="I318" t="str">
            <v>40-97</v>
          </cell>
          <cell r="J318" t="str">
            <v>325</v>
          </cell>
          <cell r="K318" t="str">
            <v>491-04849</v>
          </cell>
          <cell r="L318" t="str">
            <v>1000</v>
          </cell>
          <cell r="M318" t="str">
            <v/>
          </cell>
          <cell r="N318" t="str">
            <v>255</v>
          </cell>
        </row>
        <row r="319">
          <cell r="A319" t="str">
            <v>STACJA ROBOCZA</v>
          </cell>
          <cell r="B319" t="str">
            <v>DELL Optiplex GX1L 350</v>
          </cell>
          <cell r="C319" t="str">
            <v>491-3545</v>
          </cell>
          <cell r="D319" t="str">
            <v>PDZC2</v>
          </cell>
          <cell r="E319" t="str">
            <v xml:space="preserve">FA </v>
          </cell>
          <cell r="F319" t="str">
            <v xml:space="preserve">CZUCHRYTA                MARCIN         </v>
          </cell>
          <cell r="G319" t="str">
            <v>U-11</v>
          </cell>
          <cell r="H319" t="str">
            <v>613</v>
          </cell>
          <cell r="I319" t="str">
            <v>40-27</v>
          </cell>
          <cell r="J319" t="str">
            <v>9665</v>
          </cell>
          <cell r="K319" t="str">
            <v>491-03545</v>
          </cell>
          <cell r="L319" t="str">
            <v>350</v>
          </cell>
          <cell r="M319" t="str">
            <v/>
          </cell>
          <cell r="N319" t="str">
            <v>128</v>
          </cell>
        </row>
        <row r="320">
          <cell r="A320" t="str">
            <v>STACJA ROBOCZA</v>
          </cell>
          <cell r="B320" t="str">
            <v>COMPAQ DESKPRO EXD PIII 733</v>
          </cell>
          <cell r="C320" t="str">
            <v>491-4460</v>
          </cell>
          <cell r="D320" t="str">
            <v>8036FR4ZE498</v>
          </cell>
          <cell r="E320" t="str">
            <v xml:space="preserve">FA </v>
          </cell>
          <cell r="F320" t="str">
            <v xml:space="preserve">SOŁTYS                   MARIA          </v>
          </cell>
          <cell r="G320" t="str">
            <v>U-11</v>
          </cell>
          <cell r="H320" t="str">
            <v>613</v>
          </cell>
          <cell r="I320" t="str">
            <v>40-27</v>
          </cell>
          <cell r="J320" t="str">
            <v>914</v>
          </cell>
          <cell r="K320" t="str">
            <v>491-04460</v>
          </cell>
          <cell r="L320" t="str">
            <v>733</v>
          </cell>
          <cell r="M320" t="str">
            <v>OK55M</v>
          </cell>
          <cell r="N320" t="str">
            <v>127</v>
          </cell>
        </row>
        <row r="321">
          <cell r="A321" t="str">
            <v>STACJA ROBOCZA</v>
          </cell>
          <cell r="B321" t="str">
            <v>COMPAQ DESKPRO P166</v>
          </cell>
          <cell r="C321" t="str">
            <v>491-2951</v>
          </cell>
          <cell r="D321" t="str">
            <v>8723HVY40697</v>
          </cell>
          <cell r="E321" t="str">
            <v xml:space="preserve">FA </v>
          </cell>
          <cell r="F321" t="str">
            <v xml:space="preserve">JANAS                    ANNA           </v>
          </cell>
          <cell r="G321" t="str">
            <v>U-11</v>
          </cell>
          <cell r="H321" t="str">
            <v>611</v>
          </cell>
          <cell r="I321" t="str">
            <v>40-97</v>
          </cell>
          <cell r="J321" t="str">
            <v>325</v>
          </cell>
          <cell r="K321" t="str">
            <v>ANNAJ</v>
          </cell>
          <cell r="L321" t="str">
            <v>166</v>
          </cell>
          <cell r="M321" t="str">
            <v/>
          </cell>
          <cell r="N321" t="str">
            <v/>
          </cell>
        </row>
        <row r="322">
          <cell r="A322" t="str">
            <v>STACJA ROBOCZA</v>
          </cell>
          <cell r="B322" t="str">
            <v>ZENITH VEGA PII 233</v>
          </cell>
          <cell r="C322" t="str">
            <v>491-3196</v>
          </cell>
          <cell r="D322" t="str">
            <v>GVDT73800215</v>
          </cell>
          <cell r="E322" t="str">
            <v xml:space="preserve">FA </v>
          </cell>
          <cell r="F322" t="str">
            <v xml:space="preserve">JANAS                    ANNA           </v>
          </cell>
          <cell r="G322" t="str">
            <v>U-11</v>
          </cell>
          <cell r="H322" t="str">
            <v>611</v>
          </cell>
          <cell r="I322" t="str">
            <v>40-97</v>
          </cell>
          <cell r="J322" t="str">
            <v>325</v>
          </cell>
          <cell r="K322" t="str">
            <v/>
          </cell>
          <cell r="L322" t="str">
            <v>233</v>
          </cell>
          <cell r="M322" t="str">
            <v>BEZ NOVELLA</v>
          </cell>
          <cell r="N322" t="str">
            <v/>
          </cell>
        </row>
        <row r="323">
          <cell r="A323" t="str">
            <v>STACJA ROBOCZA</v>
          </cell>
          <cell r="B323" t="str">
            <v>KOMPUTER 486SX</v>
          </cell>
          <cell r="C323" t="str">
            <v>491-1620/8889</v>
          </cell>
          <cell r="D323" t="str">
            <v>8889/114</v>
          </cell>
          <cell r="E323" t="str">
            <v xml:space="preserve">FF </v>
          </cell>
          <cell r="F323" t="str">
            <v xml:space="preserve">WACH                     IRENA          </v>
          </cell>
          <cell r="G323" t="str">
            <v>U-11</v>
          </cell>
          <cell r="H323" t="str">
            <v>KASA</v>
          </cell>
          <cell r="I323" t="str">
            <v>20-05</v>
          </cell>
          <cell r="J323" t="str">
            <v>1050</v>
          </cell>
          <cell r="K323" t="str">
            <v>491-01620-8889</v>
          </cell>
          <cell r="L323" t="str">
            <v>400</v>
          </cell>
          <cell r="M323" t="str">
            <v/>
          </cell>
          <cell r="N323" t="str">
            <v>64</v>
          </cell>
        </row>
        <row r="324">
          <cell r="A324" t="str">
            <v>STACJA ROBOCZA</v>
          </cell>
          <cell r="B324" t="str">
            <v>COMPAQ DESKPRO EXD PIII 733</v>
          </cell>
          <cell r="C324" t="str">
            <v>491-4409</v>
          </cell>
          <cell r="D324" t="str">
            <v>8036FR4ZE451</v>
          </cell>
          <cell r="E324" t="str">
            <v xml:space="preserve">FF </v>
          </cell>
          <cell r="F324" t="str">
            <v xml:space="preserve">DYBOWSKA                 EWA            </v>
          </cell>
          <cell r="G324" t="str">
            <v>U-11</v>
          </cell>
          <cell r="H324" t="str">
            <v>604</v>
          </cell>
          <cell r="I324" t="str">
            <v>11-69</v>
          </cell>
          <cell r="J324" t="str">
            <v>142</v>
          </cell>
          <cell r="K324" t="str">
            <v>491-04409</v>
          </cell>
          <cell r="L324" t="str">
            <v>733</v>
          </cell>
          <cell r="M324" t="str">
            <v/>
          </cell>
          <cell r="N324" t="str">
            <v>127</v>
          </cell>
        </row>
        <row r="325">
          <cell r="A325" t="str">
            <v>STACJA ROBOCZA</v>
          </cell>
          <cell r="B325" t="str">
            <v>KOMPUTER PC/AT</v>
          </cell>
          <cell r="C325" t="str">
            <v>491-1620/1685</v>
          </cell>
          <cell r="D325" t="str">
            <v>238002</v>
          </cell>
          <cell r="E325" t="str">
            <v xml:space="preserve">FF </v>
          </cell>
          <cell r="F325" t="str">
            <v xml:space="preserve">ROSÓŁ                    EWA            </v>
          </cell>
          <cell r="G325" t="str">
            <v>U-11</v>
          </cell>
          <cell r="H325" t="str">
            <v>KASA</v>
          </cell>
          <cell r="I325" t="str">
            <v>20-06</v>
          </cell>
          <cell r="J325" t="str">
            <v>826</v>
          </cell>
          <cell r="K325" t="str">
            <v>491-01620-1685</v>
          </cell>
          <cell r="L325" t="str">
            <v>333</v>
          </cell>
          <cell r="M325" t="str">
            <v>OK51J</v>
          </cell>
          <cell r="N325" t="str">
            <v>64</v>
          </cell>
        </row>
        <row r="326">
          <cell r="A326" t="str">
            <v>STACJA ROBOCZA</v>
          </cell>
          <cell r="B326" t="str">
            <v>KOMPUTER 486SX</v>
          </cell>
          <cell r="C326" t="str">
            <v>491-1620/8894</v>
          </cell>
          <cell r="D326" t="str">
            <v>8894/114</v>
          </cell>
          <cell r="E326" t="str">
            <v xml:space="preserve">FF </v>
          </cell>
          <cell r="F326" t="str">
            <v xml:space="preserve">KŁOBUCKA                 MAŁGORZATA     </v>
          </cell>
          <cell r="G326" t="str">
            <v>U-11</v>
          </cell>
          <cell r="H326" t="str">
            <v>KASA</v>
          </cell>
          <cell r="I326" t="str">
            <v>20-06</v>
          </cell>
          <cell r="J326" t="str">
            <v>8153</v>
          </cell>
          <cell r="K326" t="str">
            <v>491-01620-8894</v>
          </cell>
          <cell r="L326" t="str">
            <v>366</v>
          </cell>
          <cell r="M326" t="str">
            <v>OK51J</v>
          </cell>
          <cell r="N326" t="str">
            <v>64</v>
          </cell>
        </row>
        <row r="327">
          <cell r="A327" t="str">
            <v>STACJA ROBOCZA</v>
          </cell>
          <cell r="B327" t="str">
            <v>KOMPUTER 486SX</v>
          </cell>
          <cell r="C327" t="str">
            <v>491-1620/8887</v>
          </cell>
          <cell r="D327" t="str">
            <v>8887/114</v>
          </cell>
          <cell r="E327" t="str">
            <v xml:space="preserve">FF </v>
          </cell>
          <cell r="F327" t="str">
            <v xml:space="preserve">DYLEWSKA                 TERESA         </v>
          </cell>
          <cell r="G327" t="str">
            <v>U-11</v>
          </cell>
          <cell r="H327" t="str">
            <v>KASA</v>
          </cell>
          <cell r="I327" t="str">
            <v>14-19</v>
          </cell>
          <cell r="J327" t="str">
            <v>171</v>
          </cell>
          <cell r="K327" t="str">
            <v>HALINA</v>
          </cell>
          <cell r="L327" t="str">
            <v>0</v>
          </cell>
          <cell r="M327" t="str">
            <v/>
          </cell>
          <cell r="N327" t="str">
            <v/>
          </cell>
        </row>
        <row r="328">
          <cell r="A328" t="str">
            <v>STACJA ROBOCZA</v>
          </cell>
          <cell r="B328" t="str">
            <v>COMPAQ DESKPRO EXD PIII 733</v>
          </cell>
          <cell r="C328" t="str">
            <v>491-4269</v>
          </cell>
          <cell r="D328" t="str">
            <v>8036FR4Z6714</v>
          </cell>
          <cell r="E328" t="str">
            <v xml:space="preserve">FF </v>
          </cell>
          <cell r="F328" t="str">
            <v xml:space="preserve">RANDAK                   HALINA         </v>
          </cell>
          <cell r="G328" t="str">
            <v>U-11</v>
          </cell>
          <cell r="H328" t="str">
            <v>KASA</v>
          </cell>
          <cell r="I328" t="str">
            <v>20-05</v>
          </cell>
          <cell r="J328" t="str">
            <v>812</v>
          </cell>
          <cell r="K328" t="str">
            <v>491-04269</v>
          </cell>
          <cell r="L328" t="str">
            <v>733</v>
          </cell>
          <cell r="M328" t="str">
            <v/>
          </cell>
          <cell r="N328" t="str">
            <v>127</v>
          </cell>
        </row>
        <row r="329">
          <cell r="A329" t="str">
            <v>STACJA ROBOCZA</v>
          </cell>
          <cell r="B329" t="str">
            <v>DELL Optiplex GX1L 350</v>
          </cell>
          <cell r="C329" t="str">
            <v>491-3579</v>
          </cell>
          <cell r="D329" t="str">
            <v>PKGNT</v>
          </cell>
          <cell r="E329" t="str">
            <v xml:space="preserve">FF </v>
          </cell>
          <cell r="F329" t="str">
            <v xml:space="preserve">SARZYŃSKA                JANINA         </v>
          </cell>
          <cell r="G329" t="str">
            <v>U-11</v>
          </cell>
          <cell r="H329" t="str">
            <v>604</v>
          </cell>
          <cell r="I329" t="str">
            <v>11-69</v>
          </cell>
          <cell r="J329" t="str">
            <v>924</v>
          </cell>
          <cell r="K329" t="str">
            <v>491-03579</v>
          </cell>
          <cell r="L329" t="str">
            <v>350</v>
          </cell>
          <cell r="M329" t="str">
            <v/>
          </cell>
          <cell r="N329" t="str">
            <v>64</v>
          </cell>
        </row>
        <row r="330">
          <cell r="A330" t="str">
            <v>STACJA ROBOCZA</v>
          </cell>
          <cell r="B330" t="str">
            <v>ZENITH Z STATION P166</v>
          </cell>
          <cell r="C330" t="str">
            <v>491-3011</v>
          </cell>
          <cell r="D330" t="str">
            <v>GVDD72904592</v>
          </cell>
          <cell r="E330" t="str">
            <v xml:space="preserve">FF </v>
          </cell>
          <cell r="F330" t="str">
            <v xml:space="preserve">WLAŹLAK                  IRENA          </v>
          </cell>
          <cell r="G330" t="str">
            <v>U-11</v>
          </cell>
          <cell r="H330" t="str">
            <v>KASA</v>
          </cell>
          <cell r="I330" t="str">
            <v>12-40</v>
          </cell>
          <cell r="J330" t="str">
            <v>1064</v>
          </cell>
          <cell r="K330" t="str">
            <v>491-03011</v>
          </cell>
          <cell r="L330" t="str">
            <v>166</v>
          </cell>
          <cell r="M330" t="str">
            <v/>
          </cell>
          <cell r="N330" t="str">
            <v>80</v>
          </cell>
        </row>
        <row r="331">
          <cell r="A331" t="str">
            <v>STACJA ROBOCZA</v>
          </cell>
          <cell r="B331" t="str">
            <v>KOMPUTER PC/AT</v>
          </cell>
          <cell r="C331" t="str">
            <v>491-1620/K033</v>
          </cell>
          <cell r="D331" t="str">
            <v>0B23A</v>
          </cell>
          <cell r="E331" t="str">
            <v xml:space="preserve">FF </v>
          </cell>
          <cell r="F331" t="str">
            <v xml:space="preserve">JOCHEMCZAK               ANNA           </v>
          </cell>
          <cell r="G331" t="str">
            <v>U-11</v>
          </cell>
          <cell r="H331" t="str">
            <v>KASA</v>
          </cell>
          <cell r="I331" t="str">
            <v>12-40</v>
          </cell>
          <cell r="J331" t="str">
            <v>322</v>
          </cell>
          <cell r="K331" t="str">
            <v>491-01620-K033</v>
          </cell>
          <cell r="L331" t="str">
            <v>366</v>
          </cell>
          <cell r="M331" t="str">
            <v/>
          </cell>
          <cell r="N331" t="str">
            <v>64</v>
          </cell>
        </row>
        <row r="332">
          <cell r="A332" t="str">
            <v>STACJA ROBOCZA</v>
          </cell>
          <cell r="B332" t="str">
            <v>COMPAQ DESKPRO EXD PIII 733</v>
          </cell>
          <cell r="C332" t="str">
            <v>491-4461</v>
          </cell>
          <cell r="D332" t="str">
            <v>8036FR4ZE391</v>
          </cell>
          <cell r="E332" t="str">
            <v xml:space="preserve">FF </v>
          </cell>
          <cell r="F332" t="str">
            <v xml:space="preserve">SZWECH                   KRYSTYNA       </v>
          </cell>
          <cell r="G332" t="str">
            <v>U-11</v>
          </cell>
          <cell r="H332" t="str">
            <v>604</v>
          </cell>
          <cell r="I332" t="str">
            <v>11-69</v>
          </cell>
          <cell r="J332" t="str">
            <v>923</v>
          </cell>
          <cell r="K332" t="str">
            <v>491-04461</v>
          </cell>
          <cell r="L332" t="str">
            <v>733</v>
          </cell>
          <cell r="M332" t="str">
            <v/>
          </cell>
          <cell r="N332" t="str">
            <v>127</v>
          </cell>
        </row>
        <row r="333">
          <cell r="A333" t="str">
            <v>NOTEBOOK</v>
          </cell>
          <cell r="B333" t="str">
            <v>NEC VERSA SX PII 366 14.1" XGA TFT</v>
          </cell>
          <cell r="C333" t="str">
            <v>491-3729</v>
          </cell>
          <cell r="D333" t="str">
            <v>G697700012</v>
          </cell>
          <cell r="E333" t="str">
            <v>FZK</v>
          </cell>
          <cell r="F333" t="str">
            <v xml:space="preserve">KACZMARZYK               URSZULA        </v>
          </cell>
          <cell r="G333" t="str">
            <v>U-11</v>
          </cell>
          <cell r="H333" t="str">
            <v>609</v>
          </cell>
          <cell r="I333" t="str">
            <v>14-15</v>
          </cell>
          <cell r="J333" t="str">
            <v>417</v>
          </cell>
          <cell r="K333" t="str">
            <v>491-03729</v>
          </cell>
          <cell r="L333" t="str">
            <v>366</v>
          </cell>
          <cell r="M333" t="str">
            <v/>
          </cell>
          <cell r="N333" t="str">
            <v>64</v>
          </cell>
        </row>
        <row r="334">
          <cell r="A334" t="str">
            <v>STACJA ROBOCZA</v>
          </cell>
          <cell r="B334" t="str">
            <v>DELL Optiplex GX150</v>
          </cell>
          <cell r="C334" t="str">
            <v>491-4708</v>
          </cell>
          <cell r="D334" t="str">
            <v>GQRX60J</v>
          </cell>
          <cell r="E334" t="str">
            <v>FZK</v>
          </cell>
          <cell r="F334" t="str">
            <v xml:space="preserve">KACZMARZYK               URSZULA        </v>
          </cell>
          <cell r="G334" t="str">
            <v>U-11</v>
          </cell>
          <cell r="H334" t="str">
            <v>609</v>
          </cell>
          <cell r="I334" t="str">
            <v>14-15</v>
          </cell>
          <cell r="J334" t="str">
            <v>417</v>
          </cell>
          <cell r="K334" t="str">
            <v>491-04708</v>
          </cell>
          <cell r="L334" t="str">
            <v>1000</v>
          </cell>
          <cell r="M334" t="str">
            <v/>
          </cell>
          <cell r="N334" t="str">
            <v>255</v>
          </cell>
        </row>
        <row r="335">
          <cell r="A335" t="str">
            <v>NOTEBOOK</v>
          </cell>
          <cell r="B335" t="str">
            <v>DELL Latitude C600</v>
          </cell>
          <cell r="C335" t="str">
            <v>491-4685</v>
          </cell>
          <cell r="D335" t="str">
            <v>9LXY60J</v>
          </cell>
          <cell r="E335" t="str">
            <v xml:space="preserve">GB </v>
          </cell>
          <cell r="F335" t="str">
            <v xml:space="preserve">MUSZYŃSKA                LIDIA          </v>
          </cell>
          <cell r="G335" t="str">
            <v>U-11</v>
          </cell>
          <cell r="H335" t="str">
            <v>710</v>
          </cell>
          <cell r="I335" t="str">
            <v>10-28</v>
          </cell>
          <cell r="J335" t="str">
            <v>579</v>
          </cell>
          <cell r="K335" t="str">
            <v>491-04685</v>
          </cell>
          <cell r="L335" t="str">
            <v>700</v>
          </cell>
          <cell r="M335" t="str">
            <v/>
          </cell>
          <cell r="N335" t="str">
            <v>128</v>
          </cell>
        </row>
        <row r="336">
          <cell r="A336" t="str">
            <v>STACJA ROBOCZA</v>
          </cell>
          <cell r="B336" t="str">
            <v>DELL Optiplex GX150</v>
          </cell>
          <cell r="C336" t="str">
            <v>491-4791</v>
          </cell>
          <cell r="D336" t="str">
            <v>1L3Y60J</v>
          </cell>
          <cell r="E336" t="str">
            <v xml:space="preserve">GB </v>
          </cell>
          <cell r="F336" t="str">
            <v xml:space="preserve">SIEWIOR                  BEATA          </v>
          </cell>
          <cell r="G336" t="str">
            <v>U-11</v>
          </cell>
          <cell r="H336" t="str">
            <v>710</v>
          </cell>
          <cell r="I336" t="str">
            <v>10-28</v>
          </cell>
          <cell r="J336" t="str">
            <v>606</v>
          </cell>
          <cell r="K336" t="str">
            <v>TG-BEATAS</v>
          </cell>
          <cell r="L336" t="str">
            <v>1000</v>
          </cell>
          <cell r="M336" t="str">
            <v>siec wydzielona OHT</v>
          </cell>
          <cell r="N336" t="str">
            <v/>
          </cell>
        </row>
        <row r="337">
          <cell r="A337" t="str">
            <v>STACJA ROBOCZA</v>
          </cell>
          <cell r="B337" t="str">
            <v>DELL Optiplex GX150</v>
          </cell>
          <cell r="C337" t="str">
            <v>491-4902</v>
          </cell>
          <cell r="D337" t="str">
            <v>BM3Y60J</v>
          </cell>
          <cell r="E337" t="str">
            <v xml:space="preserve">GB </v>
          </cell>
          <cell r="F337" t="str">
            <v xml:space="preserve">MUSZYŃSKA                LIDIA          </v>
          </cell>
          <cell r="G337" t="str">
            <v>U-11</v>
          </cell>
          <cell r="H337" t="str">
            <v>710</v>
          </cell>
          <cell r="I337" t="str">
            <v>10-28</v>
          </cell>
          <cell r="J337" t="str">
            <v>579</v>
          </cell>
          <cell r="K337" t="str">
            <v/>
          </cell>
          <cell r="L337" t="str">
            <v>1000</v>
          </cell>
          <cell r="M337" t="str">
            <v>siec wydzielona OHT</v>
          </cell>
          <cell r="N337" t="str">
            <v/>
          </cell>
        </row>
        <row r="338">
          <cell r="A338" t="str">
            <v>STACJA ROBOCZA</v>
          </cell>
          <cell r="B338" t="str">
            <v>DELL Optiplex GX150</v>
          </cell>
          <cell r="C338" t="str">
            <v>491-4790</v>
          </cell>
          <cell r="D338" t="str">
            <v>CL3Y60J</v>
          </cell>
          <cell r="E338" t="str">
            <v xml:space="preserve">GB </v>
          </cell>
          <cell r="F338" t="str">
            <v xml:space="preserve">SZTRAJT                  SŁAWOMIR       </v>
          </cell>
          <cell r="G338" t="str">
            <v>U-11</v>
          </cell>
          <cell r="H338" t="str">
            <v>710</v>
          </cell>
          <cell r="I338" t="str">
            <v>10-27</v>
          </cell>
          <cell r="J338" t="str">
            <v>9734</v>
          </cell>
          <cell r="K338" t="str">
            <v>SLAWEK</v>
          </cell>
          <cell r="L338" t="str">
            <v>1000</v>
          </cell>
          <cell r="M338" t="str">
            <v>siec wydzielona OHT</v>
          </cell>
          <cell r="N338" t="str">
            <v/>
          </cell>
        </row>
        <row r="339">
          <cell r="A339" t="str">
            <v>STACJA ROBOCZA</v>
          </cell>
          <cell r="B339" t="str">
            <v>DELL Optiplex GX150</v>
          </cell>
          <cell r="C339" t="str">
            <v>491-4789</v>
          </cell>
          <cell r="D339" t="str">
            <v>GM3Y60J</v>
          </cell>
          <cell r="E339" t="str">
            <v xml:space="preserve">GB </v>
          </cell>
          <cell r="F339" t="str">
            <v xml:space="preserve">PYCHOWSKI                ARTUR          </v>
          </cell>
          <cell r="G339" t="str">
            <v>U-11</v>
          </cell>
          <cell r="H339" t="str">
            <v>710</v>
          </cell>
          <cell r="I339" t="str">
            <v>10-28</v>
          </cell>
          <cell r="J339" t="str">
            <v>9768</v>
          </cell>
          <cell r="K339" t="str">
            <v>ARTUR</v>
          </cell>
          <cell r="L339" t="str">
            <v>1000</v>
          </cell>
          <cell r="M339" t="str">
            <v>siec wydzielona OHT</v>
          </cell>
          <cell r="N339" t="str">
            <v/>
          </cell>
        </row>
        <row r="340">
          <cell r="A340" t="str">
            <v>STACJA ROBOCZA</v>
          </cell>
          <cell r="B340" t="str">
            <v>DELL Optiplex GX150</v>
          </cell>
          <cell r="C340" t="str">
            <v>491-4853</v>
          </cell>
          <cell r="D340" t="str">
            <v>9K3Y60J</v>
          </cell>
          <cell r="E340" t="str">
            <v xml:space="preserve">GB </v>
          </cell>
          <cell r="F340" t="str">
            <v xml:space="preserve">MUSZYŃSKA                LIDIA          </v>
          </cell>
          <cell r="G340" t="str">
            <v>U-11</v>
          </cell>
          <cell r="H340" t="str">
            <v>710</v>
          </cell>
          <cell r="I340" t="str">
            <v>10-28</v>
          </cell>
          <cell r="J340" t="str">
            <v>579</v>
          </cell>
          <cell r="K340" t="str">
            <v/>
          </cell>
          <cell r="L340" t="str">
            <v>1000</v>
          </cell>
          <cell r="M340" t="str">
            <v>siec wydzielona OHT</v>
          </cell>
          <cell r="N340" t="str">
            <v/>
          </cell>
        </row>
        <row r="341">
          <cell r="A341" t="str">
            <v>STACJA ROBOCZA</v>
          </cell>
          <cell r="B341" t="str">
            <v>KOMPUTER PC/AT</v>
          </cell>
          <cell r="C341" t="str">
            <v>491-1812</v>
          </cell>
          <cell r="D341" t="str">
            <v>017727/1655</v>
          </cell>
          <cell r="E341" t="str">
            <v xml:space="preserve">GG </v>
          </cell>
          <cell r="F341" t="str">
            <v xml:space="preserve">GUZEK                    BOŻENA         </v>
          </cell>
          <cell r="G341" t="str">
            <v>U-11</v>
          </cell>
          <cell r="H341" t="str">
            <v>703</v>
          </cell>
          <cell r="I341" t="str">
            <v/>
          </cell>
          <cell r="J341" t="str">
            <v>243</v>
          </cell>
          <cell r="K341" t="str">
            <v/>
          </cell>
          <cell r="L341" t="str">
            <v>0</v>
          </cell>
          <cell r="M341" t="str">
            <v>Będą zdawać (JMAS)</v>
          </cell>
          <cell r="N341" t="str">
            <v/>
          </cell>
        </row>
        <row r="342">
          <cell r="A342" t="str">
            <v>STACJA ROBOCZA</v>
          </cell>
          <cell r="B342" t="str">
            <v>COMPAQ DESKPRO EXD PIII 733</v>
          </cell>
          <cell r="C342" t="str">
            <v>491-4345</v>
          </cell>
          <cell r="D342" t="str">
            <v>8036FR4Z3886</v>
          </cell>
          <cell r="E342" t="str">
            <v xml:space="preserve">GG </v>
          </cell>
          <cell r="F342" t="str">
            <v xml:space="preserve">OLEJNIK                  MAŁGORZATA     </v>
          </cell>
          <cell r="G342" t="str">
            <v>U-11</v>
          </cell>
          <cell r="H342" t="str">
            <v>703</v>
          </cell>
          <cell r="I342" t="str">
            <v>10-26</v>
          </cell>
          <cell r="J342" t="str">
            <v>678</v>
          </cell>
          <cell r="K342" t="str">
            <v>491-04345</v>
          </cell>
          <cell r="L342" t="str">
            <v>733</v>
          </cell>
          <cell r="M342" t="str">
            <v/>
          </cell>
          <cell r="N342" t="str">
            <v>255</v>
          </cell>
        </row>
        <row r="343">
          <cell r="A343" t="str">
            <v>STACJA ROBOCZA</v>
          </cell>
          <cell r="B343" t="str">
            <v>COMPAQ PROLINEA 4/66</v>
          </cell>
          <cell r="C343" t="str">
            <v>491-2323</v>
          </cell>
          <cell r="D343" t="str">
            <v>8429HKD22815</v>
          </cell>
          <cell r="E343" t="str">
            <v xml:space="preserve">GG </v>
          </cell>
          <cell r="F343" t="str">
            <v xml:space="preserve">BYSTRZYCKI               JACEK          </v>
          </cell>
          <cell r="G343" t="str">
            <v>U-11</v>
          </cell>
          <cell r="H343" t="str">
            <v>710</v>
          </cell>
          <cell r="I343" t="str">
            <v>10-28</v>
          </cell>
          <cell r="J343" t="str">
            <v>52</v>
          </cell>
          <cell r="K343" t="str">
            <v/>
          </cell>
          <cell r="L343" t="str">
            <v>66</v>
          </cell>
          <cell r="M343" t="str">
            <v>DOS - odczyt danych</v>
          </cell>
          <cell r="N343" t="str">
            <v/>
          </cell>
        </row>
        <row r="344">
          <cell r="A344" t="str">
            <v>STACJA ROBOCZA</v>
          </cell>
          <cell r="B344" t="str">
            <v>COMPAQ DESKPRO EXD PIII 733</v>
          </cell>
          <cell r="C344" t="str">
            <v>491-4346</v>
          </cell>
          <cell r="D344" t="str">
            <v>8036FR4Z6587</v>
          </cell>
          <cell r="E344" t="str">
            <v xml:space="preserve">GG </v>
          </cell>
          <cell r="F344" t="str">
            <v xml:space="preserve">WAWRZYNIUK               MAREK          </v>
          </cell>
          <cell r="G344" t="str">
            <v>U-11</v>
          </cell>
          <cell r="H344" t="str">
            <v>702</v>
          </cell>
          <cell r="I344" t="str">
            <v>34-37</v>
          </cell>
          <cell r="J344" t="str">
            <v>7885</v>
          </cell>
          <cell r="K344" t="str">
            <v>491-04346</v>
          </cell>
          <cell r="L344" t="str">
            <v>733</v>
          </cell>
          <cell r="M344" t="str">
            <v/>
          </cell>
          <cell r="N344" t="str">
            <v>255</v>
          </cell>
        </row>
        <row r="345">
          <cell r="A345" t="str">
            <v>STACJA ROBOCZA</v>
          </cell>
          <cell r="B345" t="str">
            <v>KOMPUTER 386DX</v>
          </cell>
          <cell r="C345" t="str">
            <v>491-2060</v>
          </cell>
          <cell r="D345" t="str">
            <v>3788/053</v>
          </cell>
          <cell r="E345" t="str">
            <v xml:space="preserve">GG </v>
          </cell>
          <cell r="F345" t="str">
            <v xml:space="preserve">OLEJNIK                  MAŁGORZATA     </v>
          </cell>
          <cell r="G345" t="str">
            <v>U-11</v>
          </cell>
          <cell r="H345" t="str">
            <v>703</v>
          </cell>
          <cell r="I345" t="str">
            <v>10-26</v>
          </cell>
          <cell r="J345" t="str">
            <v>678</v>
          </cell>
          <cell r="K345" t="str">
            <v/>
          </cell>
          <cell r="L345" t="str">
            <v>0</v>
          </cell>
          <cell r="M345" t="str">
            <v>DOS</v>
          </cell>
          <cell r="N345" t="str">
            <v/>
          </cell>
        </row>
        <row r="346">
          <cell r="A346" t="str">
            <v>STACJA ROBOCZA</v>
          </cell>
          <cell r="B346" t="str">
            <v>COMPAQ DESKPRO EXD PIII 733</v>
          </cell>
          <cell r="C346" t="str">
            <v>491-4324</v>
          </cell>
          <cell r="D346" t="str">
            <v>8036FR4Z6657</v>
          </cell>
          <cell r="E346" t="str">
            <v xml:space="preserve">GK </v>
          </cell>
          <cell r="F346" t="str">
            <v xml:space="preserve">GURGUL                   MARZENA        </v>
          </cell>
          <cell r="G346" t="str">
            <v>U-11</v>
          </cell>
          <cell r="H346" t="str">
            <v>711</v>
          </cell>
          <cell r="I346" t="str">
            <v>10-27</v>
          </cell>
          <cell r="J346" t="str">
            <v>259</v>
          </cell>
          <cell r="K346" t="str">
            <v>491-04324</v>
          </cell>
          <cell r="L346" t="str">
            <v>733</v>
          </cell>
          <cell r="M346" t="str">
            <v/>
          </cell>
          <cell r="N346" t="str">
            <v>127</v>
          </cell>
        </row>
        <row r="347">
          <cell r="A347" t="str">
            <v>STACJA ROBOCZA</v>
          </cell>
          <cell r="B347" t="str">
            <v>DELL Optiplex GX1L 266</v>
          </cell>
          <cell r="C347" t="str">
            <v>491-3428</v>
          </cell>
          <cell r="D347" t="str">
            <v>NM1HT</v>
          </cell>
          <cell r="E347" t="str">
            <v xml:space="preserve">GK </v>
          </cell>
          <cell r="F347" t="str">
            <v xml:space="preserve">MICHALCZYK               STANISŁAW      </v>
          </cell>
          <cell r="G347" t="str">
            <v>U-11</v>
          </cell>
          <cell r="H347" t="str">
            <v>710</v>
          </cell>
          <cell r="I347" t="str">
            <v>10-28</v>
          </cell>
          <cell r="J347" t="str">
            <v>595</v>
          </cell>
          <cell r="K347" t="str">
            <v>491-03428</v>
          </cell>
          <cell r="L347" t="str">
            <v>266</v>
          </cell>
          <cell r="M347" t="str">
            <v/>
          </cell>
          <cell r="N347" t="str">
            <v>128</v>
          </cell>
        </row>
        <row r="348">
          <cell r="A348" t="str">
            <v>STACJA ROBOCZA</v>
          </cell>
          <cell r="B348" t="str">
            <v>DELL Optiplex GX260 SD</v>
          </cell>
          <cell r="C348" t="str">
            <v>491-5048</v>
          </cell>
          <cell r="D348" t="str">
            <v>6L2GL0J</v>
          </cell>
          <cell r="E348" t="str">
            <v xml:space="preserve">GK </v>
          </cell>
          <cell r="F348" t="str">
            <v xml:space="preserve">KUCHMISTRZ               BARBARA        </v>
          </cell>
          <cell r="G348" t="str">
            <v>U-11</v>
          </cell>
          <cell r="H348" t="str">
            <v>711</v>
          </cell>
          <cell r="I348" t="str">
            <v>34-38</v>
          </cell>
          <cell r="J348" t="str">
            <v>439</v>
          </cell>
          <cell r="K348" t="str">
            <v>491-05048</v>
          </cell>
          <cell r="L348" t="str">
            <v>2400</v>
          </cell>
          <cell r="M348" t="str">
            <v/>
          </cell>
          <cell r="N348" t="str">
            <v>254</v>
          </cell>
        </row>
        <row r="349">
          <cell r="A349" t="str">
            <v>STACJA ROBOCZA</v>
          </cell>
          <cell r="B349" t="str">
            <v>NEC Direction Minitower P III 450</v>
          </cell>
          <cell r="C349" t="str">
            <v>491-3739</v>
          </cell>
          <cell r="D349" t="str">
            <v>0040109</v>
          </cell>
          <cell r="E349" t="str">
            <v xml:space="preserve">GK </v>
          </cell>
          <cell r="F349" t="str">
            <v xml:space="preserve">STEFANEK                 ARKADIUSZ      </v>
          </cell>
          <cell r="G349" t="str">
            <v>U-11</v>
          </cell>
          <cell r="H349" t="str">
            <v>704</v>
          </cell>
          <cell r="I349" t="str">
            <v>10-27</v>
          </cell>
          <cell r="J349" t="str">
            <v>9565</v>
          </cell>
          <cell r="K349" t="str">
            <v>491-03739</v>
          </cell>
          <cell r="L349" t="str">
            <v>450</v>
          </cell>
          <cell r="M349" t="str">
            <v/>
          </cell>
          <cell r="N349" t="str">
            <v/>
          </cell>
        </row>
        <row r="350">
          <cell r="A350" t="str">
            <v>STACJA ROBOCZA</v>
          </cell>
          <cell r="B350" t="str">
            <v>DELL Optiplex GX150</v>
          </cell>
          <cell r="C350" t="str">
            <v>491-4820</v>
          </cell>
          <cell r="D350" t="str">
            <v>J0RX60J</v>
          </cell>
          <cell r="E350" t="str">
            <v xml:space="preserve">GK </v>
          </cell>
          <cell r="F350" t="str">
            <v xml:space="preserve">MICHALCZYK               STANISŁAW      </v>
          </cell>
          <cell r="G350" t="str">
            <v>U-11</v>
          </cell>
          <cell r="H350" t="str">
            <v>710</v>
          </cell>
          <cell r="I350" t="str">
            <v>10-28</v>
          </cell>
          <cell r="J350" t="str">
            <v>595</v>
          </cell>
          <cell r="K350" t="str">
            <v>491-04820</v>
          </cell>
          <cell r="L350" t="str">
            <v>1000</v>
          </cell>
          <cell r="M350" t="str">
            <v/>
          </cell>
          <cell r="N350" t="str">
            <v>255</v>
          </cell>
        </row>
        <row r="351">
          <cell r="A351" t="str">
            <v>STACJA ROBOCZA</v>
          </cell>
          <cell r="B351" t="str">
            <v>DELL PRECISION 350</v>
          </cell>
          <cell r="C351" t="str">
            <v>491-5092</v>
          </cell>
          <cell r="D351" t="str">
            <v>6XNNL0J</v>
          </cell>
          <cell r="E351" t="str">
            <v xml:space="preserve">IR </v>
          </cell>
          <cell r="F351" t="str">
            <v xml:space="preserve">PLUCIŃSKI                GRZEGORZ       </v>
          </cell>
          <cell r="G351" t="str">
            <v>U-12</v>
          </cell>
          <cell r="H351" t="str">
            <v>405</v>
          </cell>
          <cell r="I351" t="str">
            <v>34-01</v>
          </cell>
          <cell r="J351" t="str">
            <v>9813</v>
          </cell>
          <cell r="K351" t="str">
            <v>491-05092</v>
          </cell>
          <cell r="L351" t="str">
            <v>2400</v>
          </cell>
          <cell r="M351" t="str">
            <v/>
          </cell>
          <cell r="N351" t="str">
            <v>511</v>
          </cell>
        </row>
        <row r="352">
          <cell r="A352" t="str">
            <v>STACJA ROBOCZA</v>
          </cell>
          <cell r="B352" t="str">
            <v>DELL Optiplex GX1L 266</v>
          </cell>
          <cell r="C352" t="str">
            <v>491-3425</v>
          </cell>
          <cell r="D352" t="str">
            <v>NM1J5</v>
          </cell>
          <cell r="E352" t="str">
            <v xml:space="preserve">IR </v>
          </cell>
          <cell r="F352" t="str">
            <v xml:space="preserve">BRUŹ                     MIECZYSŁAW     </v>
          </cell>
          <cell r="G352" t="str">
            <v>U-12</v>
          </cell>
          <cell r="H352" t="str">
            <v>409</v>
          </cell>
          <cell r="I352" t="str">
            <v>15-39</v>
          </cell>
          <cell r="J352" t="str">
            <v>9275</v>
          </cell>
          <cell r="K352" t="str">
            <v/>
          </cell>
          <cell r="L352" t="str">
            <v>266</v>
          </cell>
          <cell r="M352" t="str">
            <v>NIE PODLACZONY</v>
          </cell>
          <cell r="N352" t="str">
            <v/>
          </cell>
        </row>
        <row r="353">
          <cell r="A353" t="str">
            <v>NOTEBOOK</v>
          </cell>
          <cell r="B353" t="str">
            <v>NEC VERSA SX PII 366</v>
          </cell>
          <cell r="C353" t="str">
            <v>491-3951</v>
          </cell>
          <cell r="D353" t="str">
            <v>H055300006</v>
          </cell>
          <cell r="E353" t="str">
            <v xml:space="preserve">IR </v>
          </cell>
          <cell r="F353" t="str">
            <v xml:space="preserve">GLISZCZYŃSKI             PIOTR          </v>
          </cell>
          <cell r="G353" t="str">
            <v>U-12</v>
          </cell>
          <cell r="H353" t="str">
            <v>412</v>
          </cell>
          <cell r="I353" t="str">
            <v>34-03</v>
          </cell>
          <cell r="J353" t="str">
            <v>9674</v>
          </cell>
          <cell r="K353" t="str">
            <v/>
          </cell>
          <cell r="L353" t="str">
            <v>366</v>
          </cell>
          <cell r="M353" t="str">
            <v/>
          </cell>
          <cell r="N353" t="str">
            <v/>
          </cell>
        </row>
        <row r="354">
          <cell r="A354" t="str">
            <v>NOTEBOOK</v>
          </cell>
          <cell r="B354" t="str">
            <v>NEC VERSA SX PII 366</v>
          </cell>
          <cell r="C354" t="str">
            <v>491-3947</v>
          </cell>
          <cell r="D354" t="str">
            <v>H055300000</v>
          </cell>
          <cell r="E354" t="str">
            <v xml:space="preserve">IR </v>
          </cell>
          <cell r="F354" t="str">
            <v xml:space="preserve">PŁOMIŃSKA                AGNIESZKA      </v>
          </cell>
          <cell r="G354" t="str">
            <v>U-12</v>
          </cell>
          <cell r="H354" t="str">
            <v>412</v>
          </cell>
          <cell r="I354" t="str">
            <v>34-03</v>
          </cell>
          <cell r="J354" t="str">
            <v>9673</v>
          </cell>
          <cell r="K354" t="str">
            <v/>
          </cell>
          <cell r="L354" t="str">
            <v>366</v>
          </cell>
          <cell r="M354" t="str">
            <v/>
          </cell>
          <cell r="N354" t="str">
            <v>128</v>
          </cell>
        </row>
        <row r="355">
          <cell r="A355" t="str">
            <v>STACJA ROBOCZA</v>
          </cell>
          <cell r="B355" t="str">
            <v>DELL Optiplex GX1MT 450</v>
          </cell>
          <cell r="C355" t="str">
            <v>491-3623</v>
          </cell>
          <cell r="D355" t="str">
            <v>PF14B</v>
          </cell>
          <cell r="E355" t="str">
            <v xml:space="preserve">IR </v>
          </cell>
          <cell r="F355" t="str">
            <v xml:space="preserve">BRUŹ                     MIECZYSŁAW     </v>
          </cell>
          <cell r="G355" t="str">
            <v>U-12</v>
          </cell>
          <cell r="H355" t="str">
            <v>409</v>
          </cell>
          <cell r="I355" t="str">
            <v>15-39</v>
          </cell>
          <cell r="J355" t="str">
            <v>9275</v>
          </cell>
          <cell r="K355" t="str">
            <v>491-03623</v>
          </cell>
          <cell r="L355" t="str">
            <v>450</v>
          </cell>
          <cell r="M355" t="str">
            <v/>
          </cell>
          <cell r="N355" t="str">
            <v>192</v>
          </cell>
        </row>
        <row r="356">
          <cell r="A356" t="str">
            <v>NOTEBOOK</v>
          </cell>
          <cell r="B356" t="str">
            <v>NEC VERSA SX PII 366 14.1" XGA TFT</v>
          </cell>
          <cell r="C356" t="str">
            <v>491-3850</v>
          </cell>
          <cell r="D356" t="str">
            <v>G834900002</v>
          </cell>
          <cell r="E356" t="str">
            <v xml:space="preserve">IR </v>
          </cell>
          <cell r="F356" t="str">
            <v xml:space="preserve">KOZŁOWSKA                MAŁGORZATA     </v>
          </cell>
          <cell r="G356" t="str">
            <v>U-12</v>
          </cell>
          <cell r="H356" t="str">
            <v>405</v>
          </cell>
          <cell r="I356" t="str">
            <v>25-67</v>
          </cell>
          <cell r="J356" t="str">
            <v>496</v>
          </cell>
          <cell r="K356" t="str">
            <v>491-03850</v>
          </cell>
          <cell r="L356" t="str">
            <v>366</v>
          </cell>
          <cell r="M356" t="str">
            <v/>
          </cell>
          <cell r="N356" t="str">
            <v>64</v>
          </cell>
        </row>
        <row r="357">
          <cell r="A357" t="str">
            <v>NOTEBOOK</v>
          </cell>
          <cell r="B357" t="str">
            <v>NEC VERSA SX PII 366 14.1" XGA TFT</v>
          </cell>
          <cell r="C357" t="str">
            <v>491-3847</v>
          </cell>
          <cell r="D357" t="str">
            <v>G834900005</v>
          </cell>
          <cell r="E357" t="str">
            <v xml:space="preserve">IR </v>
          </cell>
          <cell r="F357" t="str">
            <v xml:space="preserve">OZIEMBŁOWSKA             EWA            </v>
          </cell>
          <cell r="G357" t="str">
            <v>U-12</v>
          </cell>
          <cell r="H357" t="str">
            <v>405</v>
          </cell>
          <cell r="I357" t="str">
            <v>34-01</v>
          </cell>
          <cell r="J357" t="str">
            <v>700</v>
          </cell>
          <cell r="K357" t="str">
            <v>491-03847</v>
          </cell>
          <cell r="L357" t="str">
            <v>366</v>
          </cell>
          <cell r="M357" t="str">
            <v/>
          </cell>
          <cell r="N357" t="str">
            <v>64</v>
          </cell>
        </row>
        <row r="358">
          <cell r="A358" t="str">
            <v>NOTEBOOK</v>
          </cell>
          <cell r="B358" t="str">
            <v>DELL Latitude C640</v>
          </cell>
          <cell r="C358" t="str">
            <v>491-5069</v>
          </cell>
          <cell r="D358" t="str">
            <v>24RGL0J</v>
          </cell>
          <cell r="E358" t="str">
            <v xml:space="preserve">IR </v>
          </cell>
          <cell r="F358" t="str">
            <v xml:space="preserve">BRUŹ                     MIECZYSŁAW     </v>
          </cell>
          <cell r="G358" t="str">
            <v>U-12</v>
          </cell>
          <cell r="H358" t="str">
            <v>409</v>
          </cell>
          <cell r="I358" t="str">
            <v>15-39</v>
          </cell>
          <cell r="J358" t="str">
            <v>9275</v>
          </cell>
          <cell r="K358" t="str">
            <v>IR-DELLMIETEK</v>
          </cell>
          <cell r="L358" t="str">
            <v>1800</v>
          </cell>
          <cell r="M358" t="str">
            <v>wyłączony z KSZS ze względu na konieczność utrzyma</v>
          </cell>
          <cell r="N358" t="str">
            <v/>
          </cell>
        </row>
        <row r="359">
          <cell r="A359" t="str">
            <v>NOTEBOOK</v>
          </cell>
          <cell r="B359" t="str">
            <v>DELL Latitude C640</v>
          </cell>
          <cell r="C359" t="str">
            <v>491-5062</v>
          </cell>
          <cell r="D359" t="str">
            <v>54RGL0J</v>
          </cell>
          <cell r="E359" t="str">
            <v xml:space="preserve">IR </v>
          </cell>
          <cell r="F359" t="str">
            <v xml:space="preserve">MADEJ                    JÓZEF          </v>
          </cell>
          <cell r="G359" t="str">
            <v>U-12</v>
          </cell>
          <cell r="H359" t="str">
            <v>409</v>
          </cell>
          <cell r="I359" t="str">
            <v>12-00</v>
          </cell>
          <cell r="J359" t="str">
            <v>620</v>
          </cell>
          <cell r="K359" t="str">
            <v>491-05062</v>
          </cell>
          <cell r="L359" t="str">
            <v>1800</v>
          </cell>
          <cell r="M359" t="str">
            <v/>
          </cell>
          <cell r="N359" t="str">
            <v>256</v>
          </cell>
        </row>
        <row r="360">
          <cell r="A360" t="str">
            <v>NOTEBOOK</v>
          </cell>
          <cell r="B360" t="str">
            <v>COMPAQ ARMADA 1120</v>
          </cell>
          <cell r="C360" t="str">
            <v>491-2854</v>
          </cell>
          <cell r="D360" t="str">
            <v>7649HYC33698</v>
          </cell>
          <cell r="E360" t="str">
            <v xml:space="preserve">IR </v>
          </cell>
          <cell r="F360" t="str">
            <v xml:space="preserve">SMODLIBOWSKI             MICHAŁ         </v>
          </cell>
          <cell r="G360" t="str">
            <v>U-12</v>
          </cell>
          <cell r="H360" t="str">
            <v>417</v>
          </cell>
          <cell r="I360" t="str">
            <v>27-47</v>
          </cell>
          <cell r="J360" t="str">
            <v>989</v>
          </cell>
          <cell r="K360" t="str">
            <v/>
          </cell>
          <cell r="L360" t="str">
            <v>120</v>
          </cell>
          <cell r="M360" t="str">
            <v>JMAS: za slaby</v>
          </cell>
          <cell r="N360" t="str">
            <v/>
          </cell>
        </row>
        <row r="361">
          <cell r="A361" t="str">
            <v>STACJA ROBOCZA</v>
          </cell>
          <cell r="B361" t="str">
            <v>DELL Optiplex GX240</v>
          </cell>
          <cell r="C361" t="str">
            <v>491-4919</v>
          </cell>
          <cell r="D361" t="str">
            <v>3TCK90J</v>
          </cell>
          <cell r="E361" t="str">
            <v xml:space="preserve">IR </v>
          </cell>
          <cell r="F361" t="str">
            <v xml:space="preserve">BRUŹ                     MIECZYSŁAW     </v>
          </cell>
          <cell r="G361" t="str">
            <v>U-12</v>
          </cell>
          <cell r="H361" t="str">
            <v>409</v>
          </cell>
          <cell r="I361" t="str">
            <v>15-39</v>
          </cell>
          <cell r="J361" t="str">
            <v>9275</v>
          </cell>
          <cell r="K361" t="str">
            <v/>
          </cell>
          <cell r="L361" t="str">
            <v>2000</v>
          </cell>
          <cell r="M361" t="str">
            <v>OK51M</v>
          </cell>
          <cell r="N361" t="str">
            <v/>
          </cell>
        </row>
        <row r="362">
          <cell r="A362" t="str">
            <v>NOTEBOOK</v>
          </cell>
          <cell r="B362" t="str">
            <v>NEC VERSA / COMPAQ CONTURA 4/25</v>
          </cell>
          <cell r="C362" t="str">
            <v>491-2129</v>
          </cell>
          <cell r="D362" t="str">
            <v>H390300001 /7316HDJ40674</v>
          </cell>
          <cell r="E362" t="str">
            <v xml:space="preserve">IR </v>
          </cell>
          <cell r="F362" t="str">
            <v xml:space="preserve">CIĄŻYŃSKA                ILONA          </v>
          </cell>
          <cell r="G362" t="str">
            <v>U-12</v>
          </cell>
          <cell r="H362" t="str">
            <v>409</v>
          </cell>
          <cell r="I362" t="str">
            <v>2577</v>
          </cell>
          <cell r="J362" t="str">
            <v>9110</v>
          </cell>
          <cell r="K362" t="str">
            <v>491-02129</v>
          </cell>
          <cell r="L362" t="str">
            <v>366</v>
          </cell>
          <cell r="M362" t="str">
            <v/>
          </cell>
          <cell r="N362" t="str">
            <v>128</v>
          </cell>
        </row>
        <row r="363">
          <cell r="A363" t="str">
            <v>STACJA ROBOCZA</v>
          </cell>
          <cell r="B363" t="str">
            <v>DELL PRECISION 350</v>
          </cell>
          <cell r="C363" t="str">
            <v>491-5093</v>
          </cell>
          <cell r="D363" t="str">
            <v>3XNNL0J</v>
          </cell>
          <cell r="E363" t="str">
            <v xml:space="preserve">IR </v>
          </cell>
          <cell r="F363" t="str">
            <v xml:space="preserve">KOZŁOWSKA                MAŁGORZATA     </v>
          </cell>
          <cell r="G363" t="str">
            <v>U-12</v>
          </cell>
          <cell r="H363" t="str">
            <v>405</v>
          </cell>
          <cell r="I363" t="str">
            <v>25-67</v>
          </cell>
          <cell r="J363" t="str">
            <v>496</v>
          </cell>
          <cell r="K363" t="str">
            <v>491-05093</v>
          </cell>
          <cell r="L363" t="str">
            <v>2400</v>
          </cell>
          <cell r="M363" t="str">
            <v/>
          </cell>
          <cell r="N363" t="str">
            <v>511</v>
          </cell>
        </row>
        <row r="364">
          <cell r="A364" t="str">
            <v>STACJA ROBOCZA</v>
          </cell>
          <cell r="B364" t="str">
            <v>NEC PowerMate VT Destop P III 450</v>
          </cell>
          <cell r="C364" t="str">
            <v>491-4024</v>
          </cell>
          <cell r="D364" t="str">
            <v>0683109</v>
          </cell>
          <cell r="E364" t="str">
            <v xml:space="preserve">IR </v>
          </cell>
          <cell r="F364" t="str">
            <v xml:space="preserve">PŁOMIŃSKA                AGNIESZKA      </v>
          </cell>
          <cell r="G364" t="str">
            <v>U-12</v>
          </cell>
          <cell r="H364" t="str">
            <v>412</v>
          </cell>
          <cell r="I364" t="str">
            <v>34-03</v>
          </cell>
          <cell r="J364" t="str">
            <v>9673</v>
          </cell>
          <cell r="K364" t="str">
            <v>491-04024</v>
          </cell>
          <cell r="L364" t="str">
            <v>450</v>
          </cell>
          <cell r="M364" t="str">
            <v/>
          </cell>
          <cell r="N364" t="str">
            <v>256</v>
          </cell>
        </row>
        <row r="365">
          <cell r="A365" t="str">
            <v>STACJA ROBOCZA</v>
          </cell>
          <cell r="B365" t="str">
            <v>DELL Optiplex GX1L 350</v>
          </cell>
          <cell r="C365" t="str">
            <v>491-3525</v>
          </cell>
          <cell r="D365" t="str">
            <v>PKGNN</v>
          </cell>
          <cell r="E365" t="str">
            <v xml:space="preserve">IR </v>
          </cell>
          <cell r="F365" t="str">
            <v xml:space="preserve">GLISZCZYŃSKI             PIOTR          </v>
          </cell>
          <cell r="G365" t="str">
            <v>U-12</v>
          </cell>
          <cell r="H365" t="str">
            <v>412</v>
          </cell>
          <cell r="I365" t="str">
            <v>34-03</v>
          </cell>
          <cell r="J365" t="str">
            <v>9674</v>
          </cell>
          <cell r="K365" t="str">
            <v>491-03525</v>
          </cell>
          <cell r="L365" t="str">
            <v>350</v>
          </cell>
          <cell r="M365" t="str">
            <v/>
          </cell>
          <cell r="N365" t="str">
            <v/>
          </cell>
        </row>
        <row r="366">
          <cell r="A366" t="str">
            <v>STACJA ROBOCZA</v>
          </cell>
          <cell r="B366" t="str">
            <v>DELL PRECISION 350</v>
          </cell>
          <cell r="C366" t="str">
            <v>491-5090</v>
          </cell>
          <cell r="D366" t="str">
            <v>9XNNL0J</v>
          </cell>
          <cell r="E366" t="str">
            <v xml:space="preserve">IR </v>
          </cell>
          <cell r="F366" t="str">
            <v xml:space="preserve">GRESZKO                  CEZARY         </v>
          </cell>
          <cell r="G366" t="str">
            <v>U-12</v>
          </cell>
          <cell r="H366" t="str">
            <v>417</v>
          </cell>
          <cell r="I366" t="str">
            <v>27-47</v>
          </cell>
          <cell r="J366" t="str">
            <v>9848</v>
          </cell>
          <cell r="K366" t="str">
            <v>491-05090</v>
          </cell>
          <cell r="L366" t="str">
            <v>2400</v>
          </cell>
          <cell r="M366" t="str">
            <v/>
          </cell>
          <cell r="N366" t="str">
            <v>511</v>
          </cell>
        </row>
        <row r="367">
          <cell r="A367" t="str">
            <v>STACJA ROBOCZA</v>
          </cell>
          <cell r="B367" t="str">
            <v>DELL Optiplex GX1L 350</v>
          </cell>
          <cell r="C367" t="str">
            <v>491-3520</v>
          </cell>
          <cell r="D367" t="str">
            <v>PKGZD</v>
          </cell>
          <cell r="E367" t="str">
            <v xml:space="preserve">IR </v>
          </cell>
          <cell r="F367" t="str">
            <v xml:space="preserve">OZIEMBŁOWSKA             EWA            </v>
          </cell>
          <cell r="G367" t="str">
            <v>U-12</v>
          </cell>
          <cell r="H367" t="str">
            <v>405</v>
          </cell>
          <cell r="I367" t="str">
            <v>34-01</v>
          </cell>
          <cell r="J367" t="str">
            <v>700</v>
          </cell>
          <cell r="K367" t="str">
            <v>491-03520</v>
          </cell>
          <cell r="L367" t="str">
            <v>350</v>
          </cell>
          <cell r="M367" t="str">
            <v>OK51M</v>
          </cell>
          <cell r="N367" t="str">
            <v>192</v>
          </cell>
        </row>
        <row r="368">
          <cell r="A368" t="str">
            <v>STACJA ROBOCZA</v>
          </cell>
          <cell r="B368" t="str">
            <v>DELL PRECISION 350</v>
          </cell>
          <cell r="C368" t="str">
            <v>491-5091</v>
          </cell>
          <cell r="D368" t="str">
            <v>CXNNL0J</v>
          </cell>
          <cell r="E368" t="str">
            <v xml:space="preserve">IR </v>
          </cell>
          <cell r="F368" t="str">
            <v xml:space="preserve">ROBERT                   PIOTR          </v>
          </cell>
          <cell r="G368" t="str">
            <v>U-12</v>
          </cell>
          <cell r="H368" t="str">
            <v>413</v>
          </cell>
          <cell r="I368" t="str">
            <v>27-47</v>
          </cell>
          <cell r="J368" t="str">
            <v>9778</v>
          </cell>
          <cell r="K368" t="str">
            <v>491-05091</v>
          </cell>
          <cell r="L368" t="str">
            <v>2400</v>
          </cell>
          <cell r="M368" t="str">
            <v/>
          </cell>
          <cell r="N368" t="str">
            <v>511</v>
          </cell>
        </row>
        <row r="369">
          <cell r="A369" t="str">
            <v>STACJA ROBOCZA</v>
          </cell>
          <cell r="B369" t="str">
            <v>DELL PRECISION 350</v>
          </cell>
          <cell r="C369" t="str">
            <v>491-5089</v>
          </cell>
          <cell r="D369" t="str">
            <v>GWNNL0J</v>
          </cell>
          <cell r="E369" t="str">
            <v xml:space="preserve">IR </v>
          </cell>
          <cell r="F369" t="str">
            <v xml:space="preserve">KULBAT                   MARCIN         </v>
          </cell>
          <cell r="G369" t="str">
            <v>U-12</v>
          </cell>
          <cell r="H369" t="str">
            <v>409</v>
          </cell>
          <cell r="I369" t="str">
            <v>10-42</v>
          </cell>
          <cell r="J369" t="str">
            <v>9733</v>
          </cell>
          <cell r="K369" t="str">
            <v>491-05089</v>
          </cell>
          <cell r="L369" t="str">
            <v>2400</v>
          </cell>
          <cell r="M369" t="str">
            <v/>
          </cell>
          <cell r="N369" t="str">
            <v>511</v>
          </cell>
        </row>
        <row r="370">
          <cell r="A370" t="str">
            <v>STACJA ROBOCZA</v>
          </cell>
          <cell r="B370" t="str">
            <v>DELL Optiplex GX1M 350</v>
          </cell>
          <cell r="C370" t="str">
            <v>491-3554</v>
          </cell>
          <cell r="D370" t="str">
            <v>PKGZ4</v>
          </cell>
          <cell r="E370" t="str">
            <v xml:space="preserve">IR </v>
          </cell>
          <cell r="F370" t="str">
            <v xml:space="preserve">SMODLIBOWSKI             MICHAŁ         </v>
          </cell>
          <cell r="G370" t="str">
            <v>U-12</v>
          </cell>
          <cell r="H370" t="str">
            <v>417</v>
          </cell>
          <cell r="I370" t="str">
            <v>27-47</v>
          </cell>
          <cell r="J370" t="str">
            <v>989</v>
          </cell>
          <cell r="K370" t="str">
            <v>491-03554</v>
          </cell>
          <cell r="L370" t="str">
            <v>350</v>
          </cell>
          <cell r="M370" t="str">
            <v/>
          </cell>
          <cell r="N370" t="str">
            <v>64</v>
          </cell>
        </row>
        <row r="371">
          <cell r="A371" t="str">
            <v>STACJA ROBOCZA</v>
          </cell>
          <cell r="B371" t="str">
            <v>DELL PRECISION 350</v>
          </cell>
          <cell r="C371" t="str">
            <v>491-5094</v>
          </cell>
          <cell r="D371" t="str">
            <v>1XNNL0J</v>
          </cell>
          <cell r="E371" t="str">
            <v xml:space="preserve">IR </v>
          </cell>
          <cell r="F371" t="str">
            <v xml:space="preserve">PLUTA                    JANUSZ         </v>
          </cell>
          <cell r="G371" t="str">
            <v>U-12</v>
          </cell>
          <cell r="H371" t="str">
            <v>409</v>
          </cell>
          <cell r="I371" t="str">
            <v>24-50</v>
          </cell>
          <cell r="J371" t="str">
            <v>9437</v>
          </cell>
          <cell r="K371" t="str">
            <v>491-05094</v>
          </cell>
          <cell r="L371" t="str">
            <v>2400</v>
          </cell>
          <cell r="M371" t="str">
            <v/>
          </cell>
          <cell r="N371" t="str">
            <v>511</v>
          </cell>
        </row>
        <row r="372">
          <cell r="A372" t="str">
            <v>NOTEBOOK</v>
          </cell>
          <cell r="B372" t="str">
            <v>DELL Latitude C640</v>
          </cell>
          <cell r="C372" t="str">
            <v>491-5070</v>
          </cell>
          <cell r="D372" t="str">
            <v>F4RGL0J</v>
          </cell>
          <cell r="E372" t="str">
            <v xml:space="preserve">IR </v>
          </cell>
          <cell r="F372" t="str">
            <v xml:space="preserve">KULBAT                   MARCIN         </v>
          </cell>
          <cell r="G372" t="str">
            <v>U-12</v>
          </cell>
          <cell r="H372" t="str">
            <v>409</v>
          </cell>
          <cell r="I372" t="str">
            <v>10-42</v>
          </cell>
          <cell r="J372" t="str">
            <v>9733</v>
          </cell>
          <cell r="K372" t="str">
            <v>491-05070</v>
          </cell>
          <cell r="L372" t="str">
            <v>1200</v>
          </cell>
          <cell r="M372" t="str">
            <v/>
          </cell>
          <cell r="N372" t="str">
            <v>256</v>
          </cell>
        </row>
        <row r="373">
          <cell r="A373" t="str">
            <v>STACJA ROBOCZA</v>
          </cell>
          <cell r="B373" t="str">
            <v>NEC DIRECTION PIII 450 MIDI TOWER</v>
          </cell>
          <cell r="C373" t="str">
            <v>491-3978</v>
          </cell>
          <cell r="D373" t="str">
            <v>0183099</v>
          </cell>
          <cell r="E373" t="str">
            <v xml:space="preserve">IR </v>
          </cell>
          <cell r="F373" t="str">
            <v xml:space="preserve">GLISZCZYŃSKI             PIOTR          </v>
          </cell>
          <cell r="G373" t="str">
            <v>U-12</v>
          </cell>
          <cell r="H373" t="str">
            <v>412</v>
          </cell>
          <cell r="I373" t="str">
            <v>34-03</v>
          </cell>
          <cell r="J373" t="str">
            <v>9674</v>
          </cell>
          <cell r="K373" t="str">
            <v>491-03978</v>
          </cell>
          <cell r="L373" t="str">
            <v>450</v>
          </cell>
          <cell r="M373" t="str">
            <v/>
          </cell>
          <cell r="N373" t="str">
            <v>192</v>
          </cell>
        </row>
        <row r="374">
          <cell r="A374" t="str">
            <v>STACJA ROBOCZA</v>
          </cell>
          <cell r="B374" t="str">
            <v>DELL Optiplex GX150</v>
          </cell>
          <cell r="C374" t="str">
            <v>491-4823</v>
          </cell>
          <cell r="D374" t="str">
            <v>8L3Y60J</v>
          </cell>
          <cell r="E374" t="str">
            <v xml:space="preserve">IR </v>
          </cell>
          <cell r="F374" t="str">
            <v xml:space="preserve">KULBAT                   MARCIN         </v>
          </cell>
          <cell r="G374" t="str">
            <v>U-12</v>
          </cell>
          <cell r="H374" t="str">
            <v>409</v>
          </cell>
          <cell r="I374" t="str">
            <v>10-42</v>
          </cell>
          <cell r="J374" t="str">
            <v>9733</v>
          </cell>
          <cell r="K374" t="str">
            <v>LIDIA</v>
          </cell>
          <cell r="L374" t="str">
            <v>1000</v>
          </cell>
          <cell r="M374" t="str">
            <v/>
          </cell>
          <cell r="N374" t="str">
            <v/>
          </cell>
        </row>
        <row r="375">
          <cell r="A375" t="str">
            <v>STACJA ROBOCZA</v>
          </cell>
          <cell r="B375" t="str">
            <v>NEC DIRECTION PIII 450 MIDI TOWER</v>
          </cell>
          <cell r="C375" t="str">
            <v>491-3975</v>
          </cell>
          <cell r="D375" t="str">
            <v>0181099</v>
          </cell>
          <cell r="E375" t="str">
            <v xml:space="preserve">IR </v>
          </cell>
          <cell r="F375" t="str">
            <v xml:space="preserve">GLISZCZYŃSKI             PIOTR          </v>
          </cell>
          <cell r="G375" t="str">
            <v>U-12</v>
          </cell>
          <cell r="H375" t="str">
            <v>412</v>
          </cell>
          <cell r="I375" t="str">
            <v>34-03</v>
          </cell>
          <cell r="J375" t="str">
            <v>9674</v>
          </cell>
          <cell r="K375" t="str">
            <v>491-03975</v>
          </cell>
          <cell r="L375" t="str">
            <v>450</v>
          </cell>
          <cell r="M375" t="str">
            <v/>
          </cell>
          <cell r="N375" t="str">
            <v>192</v>
          </cell>
        </row>
        <row r="376">
          <cell r="A376" t="str">
            <v>NOTEBOOK</v>
          </cell>
          <cell r="B376" t="str">
            <v>COMPAQ ARMADA E500  PIII 600</v>
          </cell>
          <cell r="C376" t="str">
            <v>491-4371</v>
          </cell>
          <cell r="D376" t="str">
            <v>7J0ADN98Y016</v>
          </cell>
          <cell r="E376" t="str">
            <v xml:space="preserve">IR </v>
          </cell>
          <cell r="F376" t="str">
            <v xml:space="preserve">SŁUCHOCKA-PŁUCIENNIK     MARTA          </v>
          </cell>
          <cell r="G376" t="str">
            <v>U-12</v>
          </cell>
          <cell r="H376" t="str">
            <v>405</v>
          </cell>
          <cell r="I376" t="str">
            <v>34-01</v>
          </cell>
          <cell r="J376" t="str">
            <v>9599</v>
          </cell>
          <cell r="K376" t="str">
            <v>NOTE_MARTA</v>
          </cell>
          <cell r="L376" t="str">
            <v>600</v>
          </cell>
          <cell r="M376" t="str">
            <v/>
          </cell>
          <cell r="N376" t="str">
            <v>128</v>
          </cell>
        </row>
        <row r="377">
          <cell r="A377" t="str">
            <v>STACJA ROBOCZA</v>
          </cell>
          <cell r="B377" t="str">
            <v>NEC DIRECTION PIII 450 MIDI TOWER</v>
          </cell>
          <cell r="C377" t="str">
            <v>491-3977</v>
          </cell>
          <cell r="D377" t="str">
            <v>0439099</v>
          </cell>
          <cell r="E377" t="str">
            <v xml:space="preserve">IR </v>
          </cell>
          <cell r="F377" t="str">
            <v xml:space="preserve">GLISZCZYŃSKI             PIOTR          </v>
          </cell>
          <cell r="G377" t="str">
            <v>U-12</v>
          </cell>
          <cell r="H377" t="str">
            <v>412</v>
          </cell>
          <cell r="I377" t="str">
            <v>34-03</v>
          </cell>
          <cell r="J377" t="str">
            <v>9674</v>
          </cell>
          <cell r="K377" t="str">
            <v>491-03977</v>
          </cell>
          <cell r="L377" t="str">
            <v>450</v>
          </cell>
          <cell r="M377" t="str">
            <v/>
          </cell>
          <cell r="N377" t="str">
            <v>192</v>
          </cell>
        </row>
        <row r="378">
          <cell r="A378" t="str">
            <v>NOTEBOOK</v>
          </cell>
          <cell r="B378" t="str">
            <v>COMPAQ ARMADA E500  PIII 600</v>
          </cell>
          <cell r="C378" t="str">
            <v>491-4361</v>
          </cell>
          <cell r="D378" t="str">
            <v>7J0ADN98Y002</v>
          </cell>
          <cell r="E378" t="str">
            <v xml:space="preserve">IR </v>
          </cell>
          <cell r="F378" t="str">
            <v xml:space="preserve">PLUTA                    JANUSZ         </v>
          </cell>
          <cell r="G378" t="str">
            <v>U-12</v>
          </cell>
          <cell r="H378" t="str">
            <v>409</v>
          </cell>
          <cell r="I378" t="str">
            <v>24-50</v>
          </cell>
          <cell r="J378" t="str">
            <v>9437</v>
          </cell>
          <cell r="K378" t="str">
            <v>491-04361</v>
          </cell>
          <cell r="L378" t="str">
            <v>600</v>
          </cell>
          <cell r="M378" t="str">
            <v/>
          </cell>
          <cell r="N378" t="str">
            <v>256</v>
          </cell>
        </row>
        <row r="379">
          <cell r="A379" t="str">
            <v>STACJA ROBOCZA</v>
          </cell>
          <cell r="B379" t="str">
            <v>DELL Optiplex GX240</v>
          </cell>
          <cell r="C379" t="str">
            <v>491-4909</v>
          </cell>
          <cell r="D379" t="str">
            <v>5TCK90J</v>
          </cell>
          <cell r="E379" t="str">
            <v xml:space="preserve">IR </v>
          </cell>
          <cell r="F379" t="str">
            <v xml:space="preserve">SŁUCHOCKA-PŁUCIENNIK     MARTA          </v>
          </cell>
          <cell r="G379" t="str">
            <v>U-12</v>
          </cell>
          <cell r="H379" t="str">
            <v>405</v>
          </cell>
          <cell r="I379" t="str">
            <v>34-01</v>
          </cell>
          <cell r="J379" t="str">
            <v>9599</v>
          </cell>
          <cell r="K379" t="str">
            <v>MARTA_NOWY</v>
          </cell>
          <cell r="L379" t="str">
            <v>1500</v>
          </cell>
          <cell r="M379" t="str">
            <v/>
          </cell>
          <cell r="N379" t="str">
            <v>255</v>
          </cell>
        </row>
        <row r="380">
          <cell r="A380" t="str">
            <v>STACJA ROBOCZA</v>
          </cell>
          <cell r="B380" t="str">
            <v>KOMPUTER PC/AT</v>
          </cell>
          <cell r="C380" t="str">
            <v>491-1620/K036</v>
          </cell>
          <cell r="D380" t="str">
            <v>0B23A</v>
          </cell>
          <cell r="E380" t="str">
            <v xml:space="preserve">IR </v>
          </cell>
          <cell r="F380" t="str">
            <v xml:space="preserve">DUSZYŃSKI                KRZYSZTOF      </v>
          </cell>
          <cell r="G380" t="str">
            <v>U-12</v>
          </cell>
          <cell r="H380" t="str">
            <v>412</v>
          </cell>
          <cell r="I380" t="str">
            <v>34-04</v>
          </cell>
          <cell r="J380" t="str">
            <v>179</v>
          </cell>
          <cell r="K380" t="str">
            <v>036</v>
          </cell>
          <cell r="L380" t="str">
            <v>550</v>
          </cell>
          <cell r="M380" t="str">
            <v>serwerownia U11</v>
          </cell>
          <cell r="N380" t="str">
            <v/>
          </cell>
        </row>
        <row r="381">
          <cell r="A381" t="str">
            <v>STACJA ROBOCZA</v>
          </cell>
          <cell r="B381" t="str">
            <v>KOMPUTER 486DX</v>
          </cell>
          <cell r="C381" t="str">
            <v>491-1620/11313</v>
          </cell>
          <cell r="D381" t="str">
            <v>11313/075</v>
          </cell>
          <cell r="E381" t="str">
            <v xml:space="preserve">IR </v>
          </cell>
          <cell r="F381" t="str">
            <v xml:space="preserve">KURPIEL                  ROBERT         </v>
          </cell>
          <cell r="G381" t="str">
            <v>U-12</v>
          </cell>
          <cell r="H381" t="str">
            <v>412</v>
          </cell>
          <cell r="I381" t="str">
            <v/>
          </cell>
          <cell r="J381" t="str">
            <v>9764</v>
          </cell>
          <cell r="K381" t="str">
            <v>491-01620-11313</v>
          </cell>
          <cell r="L381" t="str">
            <v>333</v>
          </cell>
          <cell r="M381" t="str">
            <v>OK51M</v>
          </cell>
          <cell r="N381" t="str">
            <v>128</v>
          </cell>
        </row>
        <row r="382">
          <cell r="A382" t="str">
            <v>STACJA ROBOCZA</v>
          </cell>
          <cell r="B382" t="str">
            <v>NEC DIRECTION PIII 450 MIDI TOWER</v>
          </cell>
          <cell r="C382" t="str">
            <v>491-3976</v>
          </cell>
          <cell r="D382" t="str">
            <v>0424069</v>
          </cell>
          <cell r="E382" t="str">
            <v xml:space="preserve">IR </v>
          </cell>
          <cell r="F382" t="str">
            <v xml:space="preserve">GLISZCZYŃSKI             PIOTR          </v>
          </cell>
          <cell r="G382" t="str">
            <v>U-12</v>
          </cell>
          <cell r="H382" t="str">
            <v>412</v>
          </cell>
          <cell r="I382" t="str">
            <v>34-03</v>
          </cell>
          <cell r="J382" t="str">
            <v>9674</v>
          </cell>
          <cell r="K382" t="str">
            <v>491-03976</v>
          </cell>
          <cell r="L382" t="str">
            <v>450</v>
          </cell>
          <cell r="M382" t="str">
            <v/>
          </cell>
          <cell r="N382" t="str">
            <v>192</v>
          </cell>
        </row>
        <row r="383">
          <cell r="A383" t="str">
            <v>STACJA ROBOCZA</v>
          </cell>
          <cell r="B383" t="str">
            <v>DELL Optiplex GX1M 350</v>
          </cell>
          <cell r="C383" t="str">
            <v>491-3611</v>
          </cell>
          <cell r="D383" t="str">
            <v>PKH52</v>
          </cell>
          <cell r="E383" t="str">
            <v xml:space="preserve">IR </v>
          </cell>
          <cell r="F383" t="str">
            <v xml:space="preserve">BRUŹ                     MIECZYSŁAW     </v>
          </cell>
          <cell r="G383" t="str">
            <v>U-12</v>
          </cell>
          <cell r="H383" t="str">
            <v>409</v>
          </cell>
          <cell r="I383" t="str">
            <v>15-39</v>
          </cell>
          <cell r="J383" t="str">
            <v>9275</v>
          </cell>
          <cell r="K383" t="str">
            <v/>
          </cell>
          <cell r="L383" t="str">
            <v>350</v>
          </cell>
          <cell r="M383" t="str">
            <v>kontroler domeny</v>
          </cell>
          <cell r="N383" t="str">
            <v/>
          </cell>
        </row>
        <row r="384">
          <cell r="A384" t="str">
            <v>STACJA ROBOCZA</v>
          </cell>
          <cell r="B384" t="str">
            <v>DELL Optiplex GX240</v>
          </cell>
          <cell r="C384" t="str">
            <v>491-4910</v>
          </cell>
          <cell r="D384" t="str">
            <v>4TCK90J</v>
          </cell>
          <cell r="E384" t="str">
            <v xml:space="preserve">IR </v>
          </cell>
          <cell r="F384" t="str">
            <v xml:space="preserve">CIĄŻYŃSKA                ILONA          </v>
          </cell>
          <cell r="G384" t="str">
            <v>U-12</v>
          </cell>
          <cell r="H384" t="str">
            <v>409</v>
          </cell>
          <cell r="I384" t="str">
            <v>2577</v>
          </cell>
          <cell r="J384" t="str">
            <v>9110</v>
          </cell>
          <cell r="K384" t="str">
            <v>491-04910</v>
          </cell>
          <cell r="L384" t="str">
            <v>2400</v>
          </cell>
          <cell r="M384" t="str">
            <v/>
          </cell>
          <cell r="N384" t="str">
            <v>512</v>
          </cell>
        </row>
        <row r="385">
          <cell r="A385" t="str">
            <v>STACJA ROBOCZA</v>
          </cell>
          <cell r="B385" t="str">
            <v>NEC DIRECTION PIII 450 MIDI TOWER</v>
          </cell>
          <cell r="C385" t="str">
            <v>491-3979</v>
          </cell>
          <cell r="D385" t="str">
            <v>0184099</v>
          </cell>
          <cell r="E385" t="str">
            <v xml:space="preserve">IR </v>
          </cell>
          <cell r="F385" t="str">
            <v xml:space="preserve">GLISZCZYŃSKI             PIOTR          </v>
          </cell>
          <cell r="G385" t="str">
            <v>U-12</v>
          </cell>
          <cell r="H385" t="str">
            <v>412</v>
          </cell>
          <cell r="I385" t="str">
            <v>34-03</v>
          </cell>
          <cell r="J385" t="str">
            <v>9674</v>
          </cell>
          <cell r="K385" t="str">
            <v>491-03979</v>
          </cell>
          <cell r="L385" t="str">
            <v>450</v>
          </cell>
          <cell r="M385" t="str">
            <v/>
          </cell>
          <cell r="N385" t="str">
            <v>192</v>
          </cell>
        </row>
        <row r="386">
          <cell r="A386" t="str">
            <v>STACJA ROBOCZA</v>
          </cell>
          <cell r="B386" t="str">
            <v>NEC DIRECTION PIII 450 MIDI TOWER</v>
          </cell>
          <cell r="C386" t="str">
            <v>491-3894</v>
          </cell>
          <cell r="D386" t="str">
            <v>0451099</v>
          </cell>
          <cell r="E386" t="str">
            <v xml:space="preserve">IR </v>
          </cell>
          <cell r="F386" t="str">
            <v xml:space="preserve">GLISZCZYŃSKI             PIOTR          </v>
          </cell>
          <cell r="G386" t="str">
            <v>U-12</v>
          </cell>
          <cell r="H386" t="str">
            <v>412</v>
          </cell>
          <cell r="I386" t="str">
            <v>34-03</v>
          </cell>
          <cell r="J386" t="str">
            <v>9674</v>
          </cell>
          <cell r="K386" t="str">
            <v>491-03894</v>
          </cell>
          <cell r="L386" t="str">
            <v>450</v>
          </cell>
          <cell r="M386" t="str">
            <v/>
          </cell>
          <cell r="N386" t="str">
            <v>192</v>
          </cell>
        </row>
        <row r="387">
          <cell r="A387" t="str">
            <v>STACJA ROBOCZA</v>
          </cell>
          <cell r="B387" t="str">
            <v>NEC DIRECTION PIII 450 MIDI TOWER</v>
          </cell>
          <cell r="C387" t="str">
            <v>491-3981</v>
          </cell>
          <cell r="D387" t="str">
            <v>0185099</v>
          </cell>
          <cell r="E387" t="str">
            <v xml:space="preserve">IR </v>
          </cell>
          <cell r="F387" t="str">
            <v xml:space="preserve">GLISZCZYŃSKI             PIOTR          </v>
          </cell>
          <cell r="G387" t="str">
            <v>U-12</v>
          </cell>
          <cell r="H387" t="str">
            <v>412</v>
          </cell>
          <cell r="I387" t="str">
            <v>34-03</v>
          </cell>
          <cell r="J387" t="str">
            <v>9674</v>
          </cell>
          <cell r="K387" t="str">
            <v>491-03981</v>
          </cell>
          <cell r="L387" t="str">
            <v>450</v>
          </cell>
          <cell r="M387" t="str">
            <v/>
          </cell>
          <cell r="N387" t="str">
            <v>192</v>
          </cell>
        </row>
        <row r="388">
          <cell r="A388" t="str">
            <v>NOTEBOOK</v>
          </cell>
          <cell r="B388" t="str">
            <v>Dell Latitude CPi 300XT</v>
          </cell>
          <cell r="C388" t="str">
            <v>491-3607</v>
          </cell>
          <cell r="D388" t="str">
            <v>ZJTOO</v>
          </cell>
          <cell r="E388" t="str">
            <v xml:space="preserve">IR </v>
          </cell>
          <cell r="F388" t="str">
            <v xml:space="preserve">DUSZYŃSKI                KRZYSZTOF      </v>
          </cell>
          <cell r="G388" t="str">
            <v>U-12</v>
          </cell>
          <cell r="H388" t="str">
            <v>412</v>
          </cell>
          <cell r="I388" t="str">
            <v>34-04</v>
          </cell>
          <cell r="J388" t="str">
            <v>179</v>
          </cell>
          <cell r="K388" t="str">
            <v/>
          </cell>
          <cell r="L388" t="str">
            <v>300</v>
          </cell>
          <cell r="M388" t="str">
            <v/>
          </cell>
          <cell r="N388" t="str">
            <v/>
          </cell>
        </row>
        <row r="389">
          <cell r="A389" t="str">
            <v>STACJA ROBOCZA</v>
          </cell>
          <cell r="B389" t="str">
            <v>NEC DIRECTION PIII 450 MIDI TOWER</v>
          </cell>
          <cell r="C389" t="str">
            <v>491-3982</v>
          </cell>
          <cell r="D389" t="str">
            <v>0179099</v>
          </cell>
          <cell r="E389" t="str">
            <v xml:space="preserve">IR </v>
          </cell>
          <cell r="F389" t="str">
            <v xml:space="preserve">GLISZCZYŃSKI             PIOTR          </v>
          </cell>
          <cell r="G389" t="str">
            <v>U-12</v>
          </cell>
          <cell r="H389" t="str">
            <v>412</v>
          </cell>
          <cell r="I389" t="str">
            <v>34-03</v>
          </cell>
          <cell r="J389" t="str">
            <v>9674</v>
          </cell>
          <cell r="K389" t="str">
            <v>491-03982</v>
          </cell>
          <cell r="L389" t="str">
            <v>450</v>
          </cell>
          <cell r="M389" t="str">
            <v/>
          </cell>
          <cell r="N389" t="str">
            <v>192</v>
          </cell>
        </row>
        <row r="390">
          <cell r="A390" t="str">
            <v>NOTEBOOK</v>
          </cell>
          <cell r="B390" t="str">
            <v>Dell Latitude CPi 300XT</v>
          </cell>
          <cell r="C390" t="str">
            <v>491-3576</v>
          </cell>
          <cell r="D390" t="str">
            <v>ZL831</v>
          </cell>
          <cell r="E390" t="str">
            <v xml:space="preserve">IR </v>
          </cell>
          <cell r="F390" t="str">
            <v xml:space="preserve">CHOJNICKI                ZBIGNIEW       </v>
          </cell>
          <cell r="G390" t="str">
            <v>U-12</v>
          </cell>
          <cell r="H390" t="str">
            <v>412</v>
          </cell>
          <cell r="I390" t="str">
            <v>34-05</v>
          </cell>
          <cell r="J390" t="str">
            <v>9602</v>
          </cell>
          <cell r="K390" t="str">
            <v>491-03576</v>
          </cell>
          <cell r="L390" t="str">
            <v>300</v>
          </cell>
          <cell r="M390" t="str">
            <v/>
          </cell>
          <cell r="N390" t="str">
            <v>96</v>
          </cell>
        </row>
        <row r="391">
          <cell r="A391" t="str">
            <v>STACJA ROBOCZA</v>
          </cell>
          <cell r="B391" t="str">
            <v>NEC DIRECTION PIII 450 MIDI TOWER</v>
          </cell>
          <cell r="C391" t="str">
            <v>491-3983</v>
          </cell>
          <cell r="D391" t="str">
            <v>0438099</v>
          </cell>
          <cell r="E391" t="str">
            <v xml:space="preserve">IR </v>
          </cell>
          <cell r="F391" t="str">
            <v xml:space="preserve">GLISZCZYŃSKI             PIOTR          </v>
          </cell>
          <cell r="G391" t="str">
            <v>U-12</v>
          </cell>
          <cell r="H391" t="str">
            <v>412</v>
          </cell>
          <cell r="I391" t="str">
            <v>34-03</v>
          </cell>
          <cell r="J391" t="str">
            <v>9674</v>
          </cell>
          <cell r="K391" t="str">
            <v>491-03983</v>
          </cell>
          <cell r="L391" t="str">
            <v>450</v>
          </cell>
          <cell r="M391" t="str">
            <v/>
          </cell>
          <cell r="N391" t="str">
            <v>192</v>
          </cell>
        </row>
        <row r="392">
          <cell r="A392" t="str">
            <v>STACJA ROBOCZA</v>
          </cell>
          <cell r="B392" t="str">
            <v>NEC PowerMate VT Destop P III 450</v>
          </cell>
          <cell r="C392" t="str">
            <v>491-3987</v>
          </cell>
          <cell r="D392" t="str">
            <v>0726109</v>
          </cell>
          <cell r="E392" t="str">
            <v xml:space="preserve">IR </v>
          </cell>
          <cell r="F392" t="str">
            <v xml:space="preserve">BRUŹ                     MIECZYSŁAW     </v>
          </cell>
          <cell r="G392" t="str">
            <v>U-12</v>
          </cell>
          <cell r="H392" t="str">
            <v>409</v>
          </cell>
          <cell r="I392" t="str">
            <v>15-39</v>
          </cell>
          <cell r="J392" t="str">
            <v>9275</v>
          </cell>
          <cell r="K392" t="str">
            <v>U11_POK612A</v>
          </cell>
          <cell r="L392" t="str">
            <v>450</v>
          </cell>
          <cell r="M392" t="str">
            <v>linux</v>
          </cell>
          <cell r="N392" t="str">
            <v/>
          </cell>
        </row>
        <row r="393">
          <cell r="A393" t="str">
            <v>STACJA ROBOCZA</v>
          </cell>
          <cell r="B393" t="str">
            <v>NEC DIRECTION PIII 450 MIDI TOWER</v>
          </cell>
          <cell r="C393" t="str">
            <v>491-3980</v>
          </cell>
          <cell r="D393" t="str">
            <v>0182099</v>
          </cell>
          <cell r="E393" t="str">
            <v xml:space="preserve">IR </v>
          </cell>
          <cell r="F393" t="str">
            <v xml:space="preserve">GLISZCZYŃSKI             PIOTR          </v>
          </cell>
          <cell r="G393" t="str">
            <v>U-12</v>
          </cell>
          <cell r="H393" t="str">
            <v>412</v>
          </cell>
          <cell r="I393" t="str">
            <v>34-03</v>
          </cell>
          <cell r="J393" t="str">
            <v>9674</v>
          </cell>
          <cell r="K393" t="str">
            <v>491-03980</v>
          </cell>
          <cell r="L393" t="str">
            <v>450</v>
          </cell>
          <cell r="M393" t="str">
            <v/>
          </cell>
          <cell r="N393" t="str">
            <v>192</v>
          </cell>
        </row>
        <row r="394">
          <cell r="A394" t="str">
            <v>STACJA ROBOCZA</v>
          </cell>
          <cell r="B394" t="str">
            <v>COMPAQ DESKPRO EXD PIII 733</v>
          </cell>
          <cell r="C394" t="str">
            <v>491-4500</v>
          </cell>
          <cell r="D394" t="str">
            <v>8036FR4ZE409</v>
          </cell>
          <cell r="E394" t="str">
            <v xml:space="preserve">IR </v>
          </cell>
          <cell r="F394" t="str">
            <v xml:space="preserve">ROBERT                   PIOTR          </v>
          </cell>
          <cell r="G394" t="str">
            <v>U-12</v>
          </cell>
          <cell r="H394" t="str">
            <v>413</v>
          </cell>
          <cell r="I394" t="str">
            <v>27-47</v>
          </cell>
          <cell r="J394" t="str">
            <v>9778</v>
          </cell>
          <cell r="K394" t="str">
            <v>491-04500</v>
          </cell>
          <cell r="L394" t="str">
            <v>733</v>
          </cell>
          <cell r="M394" t="str">
            <v/>
          </cell>
          <cell r="N394" t="str">
            <v/>
          </cell>
        </row>
        <row r="395">
          <cell r="A395" t="str">
            <v>STACJA ROBOCZA</v>
          </cell>
          <cell r="B395" t="str">
            <v>DELL Optiplex GX150</v>
          </cell>
          <cell r="C395" t="str">
            <v>491-4858</v>
          </cell>
          <cell r="D395" t="str">
            <v>GHVX60J</v>
          </cell>
          <cell r="E395" t="str">
            <v xml:space="preserve">IR </v>
          </cell>
          <cell r="F395" t="str">
            <v xml:space="preserve">SMODLIBOWSKI             MICHAŁ         </v>
          </cell>
          <cell r="G395" t="str">
            <v>U-12</v>
          </cell>
          <cell r="H395" t="str">
            <v>417</v>
          </cell>
          <cell r="I395" t="str">
            <v>27-47</v>
          </cell>
          <cell r="J395" t="str">
            <v>989</v>
          </cell>
          <cell r="K395" t="str">
            <v>491-04858</v>
          </cell>
          <cell r="L395" t="str">
            <v>1000</v>
          </cell>
          <cell r="M395" t="str">
            <v/>
          </cell>
          <cell r="N395" t="str">
            <v>511</v>
          </cell>
        </row>
        <row r="396">
          <cell r="A396" t="str">
            <v>STACJA ROBOCZA</v>
          </cell>
          <cell r="B396" t="str">
            <v>DELL Optiplex GX1L 266</v>
          </cell>
          <cell r="C396" t="str">
            <v>491-3282</v>
          </cell>
          <cell r="D396" t="str">
            <v>NM18G</v>
          </cell>
          <cell r="E396" t="str">
            <v xml:space="preserve">IR </v>
          </cell>
          <cell r="F396" t="str">
            <v xml:space="preserve">SŁUCHOCKA-PŁUCIENNIK     MARTA          </v>
          </cell>
          <cell r="G396" t="str">
            <v>U-12</v>
          </cell>
          <cell r="H396" t="str">
            <v>405</v>
          </cell>
          <cell r="I396" t="str">
            <v>34-01</v>
          </cell>
          <cell r="J396" t="str">
            <v>9599</v>
          </cell>
          <cell r="K396" t="str">
            <v/>
          </cell>
          <cell r="L396" t="str">
            <v>266</v>
          </cell>
          <cell r="M396" t="str">
            <v/>
          </cell>
          <cell r="N396" t="str">
            <v/>
          </cell>
        </row>
        <row r="397">
          <cell r="A397" t="str">
            <v>STACJA ROBOCZA</v>
          </cell>
          <cell r="B397" t="str">
            <v>DELL Optiplex GX150</v>
          </cell>
          <cell r="C397" t="str">
            <v>491-4824</v>
          </cell>
          <cell r="D397" t="str">
            <v>JJ3Y60J</v>
          </cell>
          <cell r="E397" t="str">
            <v xml:space="preserve">IR </v>
          </cell>
          <cell r="F397" t="str">
            <v xml:space="preserve">OZIEMBŁOWSKA             EWA            </v>
          </cell>
          <cell r="G397" t="str">
            <v>U-12</v>
          </cell>
          <cell r="H397" t="str">
            <v>405</v>
          </cell>
          <cell r="I397" t="str">
            <v>34-01</v>
          </cell>
          <cell r="J397" t="str">
            <v>700</v>
          </cell>
          <cell r="K397" t="str">
            <v>491-04824</v>
          </cell>
          <cell r="L397" t="str">
            <v>1000</v>
          </cell>
          <cell r="M397" t="str">
            <v/>
          </cell>
          <cell r="N397" t="str">
            <v>255</v>
          </cell>
        </row>
        <row r="398">
          <cell r="A398" t="str">
            <v>STACJA ROBOCZA</v>
          </cell>
          <cell r="B398" t="str">
            <v>DELL Optiplex GX1L 266</v>
          </cell>
          <cell r="C398" t="str">
            <v>491-3295</v>
          </cell>
          <cell r="D398" t="str">
            <v>NM18R</v>
          </cell>
          <cell r="E398" t="str">
            <v xml:space="preserve">IR </v>
          </cell>
          <cell r="F398" t="str">
            <v xml:space="preserve">DUSZYŃSKI                KRZYSZTOF      </v>
          </cell>
          <cell r="G398" t="str">
            <v>U-12</v>
          </cell>
          <cell r="H398" t="str">
            <v>412</v>
          </cell>
          <cell r="I398" t="str">
            <v>34-04</v>
          </cell>
          <cell r="J398" t="str">
            <v>179</v>
          </cell>
          <cell r="K398" t="str">
            <v/>
          </cell>
          <cell r="L398" t="str">
            <v>266</v>
          </cell>
          <cell r="M398" t="str">
            <v>OK51M</v>
          </cell>
          <cell r="N398" t="str">
            <v/>
          </cell>
        </row>
        <row r="399">
          <cell r="A399" t="str">
            <v>STACJA ROBOCZA</v>
          </cell>
          <cell r="B399" t="str">
            <v>Dell Optiplex GX1M P III 450</v>
          </cell>
          <cell r="C399" t="str">
            <v>491-4862</v>
          </cell>
          <cell r="D399" t="str">
            <v>RBPN0</v>
          </cell>
          <cell r="E399" t="str">
            <v xml:space="preserve">IS </v>
          </cell>
          <cell r="F399" t="str">
            <v xml:space="preserve">PYTLEWSKI                WALDEMAR       </v>
          </cell>
          <cell r="G399" t="str">
            <v>U-12</v>
          </cell>
          <cell r="H399" t="str">
            <v>413</v>
          </cell>
          <cell r="I399" t="str">
            <v>34-07</v>
          </cell>
          <cell r="J399" t="str">
            <v>9577</v>
          </cell>
          <cell r="K399" t="str">
            <v>491-04862</v>
          </cell>
          <cell r="L399" t="str">
            <v>450</v>
          </cell>
          <cell r="M399" t="str">
            <v/>
          </cell>
          <cell r="N399" t="str">
            <v>256</v>
          </cell>
        </row>
        <row r="400">
          <cell r="A400" t="str">
            <v>STACJA ROBOCZA</v>
          </cell>
          <cell r="B400" t="str">
            <v>KOMPUTER PC/AT</v>
          </cell>
          <cell r="C400" t="str">
            <v>491-1620/K032</v>
          </cell>
          <cell r="D400" t="str">
            <v>0B23A</v>
          </cell>
          <cell r="E400" t="str">
            <v xml:space="preserve">IS </v>
          </cell>
          <cell r="F400" t="str">
            <v xml:space="preserve">IWANIUK                  ZBIGNIEW       </v>
          </cell>
          <cell r="G400" t="str">
            <v>U-12</v>
          </cell>
          <cell r="H400" t="str">
            <v>413</v>
          </cell>
          <cell r="I400" t="str">
            <v>34-07</v>
          </cell>
          <cell r="J400" t="str">
            <v>296</v>
          </cell>
          <cell r="K400" t="str">
            <v/>
          </cell>
          <cell r="L400" t="str">
            <v>0</v>
          </cell>
          <cell r="M400" t="str">
            <v>linux</v>
          </cell>
          <cell r="N400" t="str">
            <v/>
          </cell>
        </row>
        <row r="401">
          <cell r="A401" t="str">
            <v>STACJA ROBOCZA</v>
          </cell>
          <cell r="B401" t="str">
            <v>KOMPUTER 386DX</v>
          </cell>
          <cell r="C401" t="str">
            <v>491-2012</v>
          </cell>
          <cell r="D401" t="str">
            <v>3619/043</v>
          </cell>
          <cell r="E401" t="str">
            <v xml:space="preserve">IS </v>
          </cell>
          <cell r="F401" t="str">
            <v xml:space="preserve">PĘCINA                   MARIAN         </v>
          </cell>
          <cell r="G401" t="str">
            <v>U-12</v>
          </cell>
          <cell r="H401" t="str">
            <v>416</v>
          </cell>
          <cell r="I401" t="str">
            <v>25-91</v>
          </cell>
          <cell r="J401" t="str">
            <v>7271</v>
          </cell>
          <cell r="K401" t="str">
            <v>491-02012</v>
          </cell>
          <cell r="L401" t="str">
            <v>2400</v>
          </cell>
          <cell r="M401" t="str">
            <v/>
          </cell>
          <cell r="N401" t="str">
            <v>256</v>
          </cell>
        </row>
        <row r="402">
          <cell r="A402" t="str">
            <v>NOTEBOOK</v>
          </cell>
          <cell r="B402" t="str">
            <v>COMPAQ ARMADA E500  PIII 600</v>
          </cell>
          <cell r="C402" t="str">
            <v>491-4370</v>
          </cell>
          <cell r="D402" t="str">
            <v>7J0ADN98Y004</v>
          </cell>
          <cell r="E402" t="str">
            <v xml:space="preserve">IS </v>
          </cell>
          <cell r="F402" t="str">
            <v xml:space="preserve">IWANIUK                  ZBIGNIEW       </v>
          </cell>
          <cell r="G402" t="str">
            <v>U-12</v>
          </cell>
          <cell r="H402" t="str">
            <v>413</v>
          </cell>
          <cell r="I402" t="str">
            <v>34-07</v>
          </cell>
          <cell r="J402" t="str">
            <v>296</v>
          </cell>
          <cell r="K402" t="str">
            <v>ZBIG-LAPTOP</v>
          </cell>
          <cell r="L402" t="str">
            <v>600</v>
          </cell>
          <cell r="M402" t="str">
            <v/>
          </cell>
          <cell r="N402" t="str">
            <v/>
          </cell>
        </row>
        <row r="403">
          <cell r="A403" t="str">
            <v>STACJA ROBOCZA</v>
          </cell>
          <cell r="B403" t="str">
            <v>DELL Optiplex GX150</v>
          </cell>
          <cell r="C403" t="str">
            <v>491-4826</v>
          </cell>
          <cell r="D403" t="str">
            <v>6K3Y60J</v>
          </cell>
          <cell r="E403" t="str">
            <v xml:space="preserve">IS </v>
          </cell>
          <cell r="F403" t="str">
            <v xml:space="preserve">MASIAREK                 JAROSŁAW       </v>
          </cell>
          <cell r="G403" t="str">
            <v>U-12</v>
          </cell>
          <cell r="H403" t="str">
            <v>411</v>
          </cell>
          <cell r="I403" t="str">
            <v>25-91</v>
          </cell>
          <cell r="J403" t="str">
            <v>9580</v>
          </cell>
          <cell r="K403" t="str">
            <v>491-04826</v>
          </cell>
          <cell r="L403" t="str">
            <v>1000</v>
          </cell>
          <cell r="M403" t="str">
            <v/>
          </cell>
          <cell r="N403" t="str">
            <v>255</v>
          </cell>
        </row>
        <row r="404">
          <cell r="A404" t="str">
            <v>STACJA ROBOCZA</v>
          </cell>
          <cell r="B404" t="str">
            <v>DELL PRECISION  WS330</v>
          </cell>
          <cell r="C404" t="str">
            <v>491-4830</v>
          </cell>
          <cell r="D404" t="str">
            <v>4YSX60J</v>
          </cell>
          <cell r="E404" t="str">
            <v xml:space="preserve">IS </v>
          </cell>
          <cell r="F404" t="str">
            <v xml:space="preserve">GIERAS                   MARIUSZ        </v>
          </cell>
          <cell r="G404" t="str">
            <v>U-12</v>
          </cell>
          <cell r="H404" t="str">
            <v>411</v>
          </cell>
          <cell r="I404" t="str">
            <v>40-02</v>
          </cell>
          <cell r="J404" t="str">
            <v>9366</v>
          </cell>
          <cell r="K404" t="str">
            <v>491-04830</v>
          </cell>
          <cell r="L404" t="str">
            <v>1400</v>
          </cell>
          <cell r="M404" t="str">
            <v/>
          </cell>
          <cell r="N404" t="str">
            <v>1024</v>
          </cell>
        </row>
        <row r="405">
          <cell r="A405" t="str">
            <v>STACJA ROBOCZA</v>
          </cell>
          <cell r="B405" t="str">
            <v>Dell Optiplex GX1M P III 450</v>
          </cell>
          <cell r="C405" t="str">
            <v>491-4867</v>
          </cell>
          <cell r="D405" t="str">
            <v>RBPMW</v>
          </cell>
          <cell r="E405" t="str">
            <v xml:space="preserve">IS </v>
          </cell>
          <cell r="F405" t="str">
            <v xml:space="preserve">BRZOZOWSKI               MARIUSZ        </v>
          </cell>
          <cell r="G405" t="str">
            <v>U-12</v>
          </cell>
          <cell r="H405" t="str">
            <v>413</v>
          </cell>
          <cell r="I405" t="str">
            <v>34-07</v>
          </cell>
          <cell r="J405" t="str">
            <v>9773</v>
          </cell>
          <cell r="K405" t="str">
            <v>491-04867</v>
          </cell>
          <cell r="L405" t="str">
            <v>450</v>
          </cell>
          <cell r="M405" t="str">
            <v/>
          </cell>
          <cell r="N405" t="str">
            <v>384</v>
          </cell>
        </row>
        <row r="406">
          <cell r="A406" t="str">
            <v>NOTEBOOK</v>
          </cell>
          <cell r="B406" t="str">
            <v>COMPAQ ARMADA E500  PIII 600</v>
          </cell>
          <cell r="C406" t="str">
            <v>491-4366</v>
          </cell>
          <cell r="D406" t="str">
            <v>7J0ADN98Y019</v>
          </cell>
          <cell r="E406" t="str">
            <v xml:space="preserve">IS </v>
          </cell>
          <cell r="F406" t="str">
            <v xml:space="preserve">MASIAREK                 JAROSŁAW       </v>
          </cell>
          <cell r="G406" t="str">
            <v>U-12</v>
          </cell>
          <cell r="H406" t="str">
            <v>411</v>
          </cell>
          <cell r="I406" t="str">
            <v>25-91</v>
          </cell>
          <cell r="J406" t="str">
            <v>9580</v>
          </cell>
          <cell r="K406" t="str">
            <v/>
          </cell>
          <cell r="L406" t="str">
            <v>600</v>
          </cell>
          <cell r="M406" t="str">
            <v/>
          </cell>
          <cell r="N406" t="str">
            <v/>
          </cell>
        </row>
        <row r="407">
          <cell r="A407" t="str">
            <v>STACJA ROBOCZA</v>
          </cell>
          <cell r="B407" t="str">
            <v>NEC PowerMate VT Destop P III 450</v>
          </cell>
          <cell r="C407" t="str">
            <v>491-4029</v>
          </cell>
          <cell r="D407" t="str">
            <v>0661109</v>
          </cell>
          <cell r="E407" t="str">
            <v xml:space="preserve">IS </v>
          </cell>
          <cell r="F407" t="str">
            <v xml:space="preserve">SARLEJA                  TOMASZ         </v>
          </cell>
          <cell r="G407" t="str">
            <v>U-12</v>
          </cell>
          <cell r="H407" t="str">
            <v>411</v>
          </cell>
          <cell r="I407" t="str">
            <v>34-43</v>
          </cell>
          <cell r="J407" t="str">
            <v>9777</v>
          </cell>
          <cell r="K407" t="str">
            <v>491-04029</v>
          </cell>
          <cell r="L407" t="str">
            <v>450</v>
          </cell>
          <cell r="M407" t="str">
            <v/>
          </cell>
          <cell r="N407" t="str">
            <v>96</v>
          </cell>
        </row>
        <row r="408">
          <cell r="A408" t="str">
            <v>NOTEBOOK</v>
          </cell>
          <cell r="B408" t="str">
            <v>DELL Latitude C600</v>
          </cell>
          <cell r="C408" t="str">
            <v>491-4860</v>
          </cell>
          <cell r="D408" t="str">
            <v>JFXY60J</v>
          </cell>
          <cell r="E408" t="str">
            <v xml:space="preserve">IS </v>
          </cell>
          <cell r="F408" t="str">
            <v xml:space="preserve">PIOTROWSKI               PIOTR          </v>
          </cell>
          <cell r="G408" t="str">
            <v>U-12</v>
          </cell>
          <cell r="H408" t="str">
            <v>416</v>
          </cell>
          <cell r="I408" t="str">
            <v>25-17 39-83</v>
          </cell>
          <cell r="J408" t="str">
            <v>803</v>
          </cell>
          <cell r="K408" t="str">
            <v/>
          </cell>
          <cell r="L408" t="str">
            <v>700</v>
          </cell>
          <cell r="M408" t="str">
            <v/>
          </cell>
          <cell r="N408" t="str">
            <v/>
          </cell>
        </row>
        <row r="409">
          <cell r="A409" t="str">
            <v>STACJA ROBOCZA</v>
          </cell>
          <cell r="B409" t="str">
            <v>Dell Optiplex GX1M P III 450</v>
          </cell>
          <cell r="C409" t="str">
            <v>491-4869</v>
          </cell>
          <cell r="D409" t="str">
            <v>RBPMZ</v>
          </cell>
          <cell r="E409" t="str">
            <v xml:space="preserve">IS </v>
          </cell>
          <cell r="F409" t="str">
            <v xml:space="preserve">PIOTROWSKI               PIOTR          </v>
          </cell>
          <cell r="G409" t="str">
            <v>U-12</v>
          </cell>
          <cell r="H409" t="str">
            <v>416</v>
          </cell>
          <cell r="I409" t="str">
            <v>25-17 39-83</v>
          </cell>
          <cell r="J409" t="str">
            <v>803</v>
          </cell>
          <cell r="K409" t="str">
            <v>BUDOWNICTWO</v>
          </cell>
          <cell r="L409" t="str">
            <v>450</v>
          </cell>
          <cell r="M409" t="str">
            <v>OK.51M</v>
          </cell>
          <cell r="N409" t="str">
            <v/>
          </cell>
        </row>
        <row r="410">
          <cell r="A410" t="str">
            <v>NOTEBOOK</v>
          </cell>
          <cell r="B410" t="str">
            <v>NEC VERSA SX PII 366 14.1" XGA TFT</v>
          </cell>
          <cell r="C410" t="str">
            <v>491-3845</v>
          </cell>
          <cell r="D410" t="str">
            <v>G834900007</v>
          </cell>
          <cell r="E410" t="str">
            <v xml:space="preserve">IS </v>
          </cell>
          <cell r="F410" t="str">
            <v xml:space="preserve">GIERAS                   MARIUSZ        </v>
          </cell>
          <cell r="G410" t="str">
            <v>U-12</v>
          </cell>
          <cell r="H410" t="str">
            <v>411</v>
          </cell>
          <cell r="I410" t="str">
            <v>40-02</v>
          </cell>
          <cell r="J410" t="str">
            <v>9366</v>
          </cell>
          <cell r="K410" t="str">
            <v>491-03845</v>
          </cell>
          <cell r="L410" t="str">
            <v>366</v>
          </cell>
          <cell r="M410" t="str">
            <v/>
          </cell>
          <cell r="N410" t="str">
            <v>128</v>
          </cell>
        </row>
        <row r="411">
          <cell r="A411" t="str">
            <v>NOTEBOOK</v>
          </cell>
          <cell r="B411" t="str">
            <v>NEC VERSA / COMPAQ CONTURA 3/25C</v>
          </cell>
          <cell r="C411" t="str">
            <v>491-2177</v>
          </cell>
          <cell r="D411" t="str">
            <v>H390300003 /7240HCH32136</v>
          </cell>
          <cell r="E411" t="str">
            <v xml:space="preserve">IS </v>
          </cell>
          <cell r="F411" t="str">
            <v xml:space="preserve">PYTLEWSKI                WALDEMAR       </v>
          </cell>
          <cell r="G411" t="str">
            <v>U-12</v>
          </cell>
          <cell r="H411" t="str">
            <v>413</v>
          </cell>
          <cell r="I411" t="str">
            <v>34-07</v>
          </cell>
          <cell r="J411" t="str">
            <v>9577</v>
          </cell>
          <cell r="K411" t="str">
            <v>491-02177</v>
          </cell>
          <cell r="L411" t="str">
            <v>366</v>
          </cell>
          <cell r="M411" t="str">
            <v/>
          </cell>
          <cell r="N411" t="str">
            <v>128</v>
          </cell>
        </row>
        <row r="412">
          <cell r="A412" t="str">
            <v>STACJA ROBOCZA</v>
          </cell>
          <cell r="B412" t="str">
            <v>Dell Optiplex GX1M P III 450</v>
          </cell>
          <cell r="C412" t="str">
            <v>491-4863</v>
          </cell>
          <cell r="D412" t="str">
            <v>RBPN4</v>
          </cell>
          <cell r="E412" t="str">
            <v xml:space="preserve">IS </v>
          </cell>
          <cell r="F412" t="str">
            <v xml:space="preserve">GIERAS                   MARIUSZ        </v>
          </cell>
          <cell r="G412" t="str">
            <v>U-12</v>
          </cell>
          <cell r="H412" t="str">
            <v>411</v>
          </cell>
          <cell r="I412" t="str">
            <v>40-02</v>
          </cell>
          <cell r="J412" t="str">
            <v>9366</v>
          </cell>
          <cell r="K412" t="str">
            <v>491-04863</v>
          </cell>
          <cell r="L412" t="str">
            <v>450</v>
          </cell>
          <cell r="M412" t="str">
            <v/>
          </cell>
          <cell r="N412" t="str">
            <v>256</v>
          </cell>
        </row>
        <row r="413">
          <cell r="A413" t="str">
            <v>STACJA ROBOCZA</v>
          </cell>
          <cell r="B413" t="str">
            <v>DELL Optiplex GX240</v>
          </cell>
          <cell r="C413" t="str">
            <v>491-4906</v>
          </cell>
          <cell r="D413" t="str">
            <v>9NCK90J</v>
          </cell>
          <cell r="E413" t="str">
            <v xml:space="preserve">IS </v>
          </cell>
          <cell r="F413" t="str">
            <v xml:space="preserve">PIOTROWSKI               PIOTR          </v>
          </cell>
          <cell r="G413" t="str">
            <v>U-12</v>
          </cell>
          <cell r="H413" t="str">
            <v>416</v>
          </cell>
          <cell r="I413" t="str">
            <v>25-17 39-83</v>
          </cell>
          <cell r="J413" t="str">
            <v>803</v>
          </cell>
          <cell r="K413" t="str">
            <v>491-04906</v>
          </cell>
          <cell r="L413" t="str">
            <v>1500</v>
          </cell>
          <cell r="M413" t="str">
            <v/>
          </cell>
          <cell r="N413" t="str">
            <v>512</v>
          </cell>
        </row>
        <row r="414">
          <cell r="A414" t="str">
            <v>STACJA ROBOCZA</v>
          </cell>
          <cell r="B414" t="str">
            <v>DELL Optiplex GX1M 350</v>
          </cell>
          <cell r="C414" t="str">
            <v>491-3568</v>
          </cell>
          <cell r="D414" t="str">
            <v>PKGP2</v>
          </cell>
          <cell r="E414" t="str">
            <v xml:space="preserve">IS </v>
          </cell>
          <cell r="F414" t="str">
            <v xml:space="preserve">PYTLEWSKI                WALDEMAR       </v>
          </cell>
          <cell r="G414" t="str">
            <v>U-12</v>
          </cell>
          <cell r="H414" t="str">
            <v>413</v>
          </cell>
          <cell r="I414" t="str">
            <v>34-07</v>
          </cell>
          <cell r="J414" t="str">
            <v>9577</v>
          </cell>
          <cell r="K414" t="str">
            <v>491-03568</v>
          </cell>
          <cell r="L414" t="str">
            <v>350</v>
          </cell>
          <cell r="M414" t="str">
            <v/>
          </cell>
          <cell r="N414" t="str">
            <v>384</v>
          </cell>
        </row>
        <row r="415">
          <cell r="A415" t="str">
            <v>STACJA ROBOCZA</v>
          </cell>
          <cell r="B415" t="str">
            <v>Dell Optiplex GX1M P III 450</v>
          </cell>
          <cell r="C415" t="str">
            <v>491-4868</v>
          </cell>
          <cell r="D415" t="str">
            <v>RBPN3</v>
          </cell>
          <cell r="E415" t="str">
            <v xml:space="preserve">IS </v>
          </cell>
          <cell r="F415" t="str">
            <v xml:space="preserve">SARLEJA                  TOMASZ         </v>
          </cell>
          <cell r="G415" t="str">
            <v>U-12</v>
          </cell>
          <cell r="H415" t="str">
            <v>411</v>
          </cell>
          <cell r="I415" t="str">
            <v>34-43</v>
          </cell>
          <cell r="J415" t="str">
            <v>9777</v>
          </cell>
          <cell r="K415" t="str">
            <v/>
          </cell>
          <cell r="L415" t="str">
            <v>450</v>
          </cell>
          <cell r="M415" t="str">
            <v>linux</v>
          </cell>
          <cell r="N415" t="str">
            <v/>
          </cell>
        </row>
        <row r="416">
          <cell r="A416" t="str">
            <v>STACJA ROBOCZA</v>
          </cell>
          <cell r="B416" t="str">
            <v>COMPAQ DESKPRO EXD PIII 733</v>
          </cell>
          <cell r="C416" t="str">
            <v>491-4423</v>
          </cell>
          <cell r="D416" t="str">
            <v>8036FR4Z6662</v>
          </cell>
          <cell r="E416" t="str">
            <v xml:space="preserve">IS </v>
          </cell>
          <cell r="F416" t="str">
            <v xml:space="preserve">SKIBIŃSKA                JADWIGA        </v>
          </cell>
          <cell r="G416" t="str">
            <v>U-12</v>
          </cell>
          <cell r="H416" t="str">
            <v>406</v>
          </cell>
          <cell r="I416" t="str">
            <v>34-02</v>
          </cell>
          <cell r="J416" t="str">
            <v>910</v>
          </cell>
          <cell r="K416" t="str">
            <v>491-04423</v>
          </cell>
          <cell r="L416" t="str">
            <v>733</v>
          </cell>
          <cell r="M416" t="str">
            <v/>
          </cell>
          <cell r="N416" t="str">
            <v>127</v>
          </cell>
        </row>
        <row r="417">
          <cell r="A417" t="str">
            <v>STACJA ROBOCZA</v>
          </cell>
          <cell r="B417" t="str">
            <v>COMPAQ DESKPRO EXD PIII 733</v>
          </cell>
          <cell r="C417" t="str">
            <v>491-4349</v>
          </cell>
          <cell r="D417" t="str">
            <v>8036FR4Z3889</v>
          </cell>
          <cell r="E417" t="str">
            <v xml:space="preserve">IS </v>
          </cell>
          <cell r="F417" t="str">
            <v xml:space="preserve">JASZCZYK                 ALINA          </v>
          </cell>
          <cell r="G417" t="str">
            <v>U-12</v>
          </cell>
          <cell r="H417" t="str">
            <v>407</v>
          </cell>
          <cell r="I417" t="str">
            <v>39-33</v>
          </cell>
          <cell r="J417" t="str">
            <v>9139</v>
          </cell>
          <cell r="K417" t="str">
            <v>491-04349</v>
          </cell>
          <cell r="L417" t="str">
            <v>733</v>
          </cell>
          <cell r="M417" t="str">
            <v/>
          </cell>
          <cell r="N417" t="str">
            <v>255</v>
          </cell>
        </row>
        <row r="418">
          <cell r="A418" t="str">
            <v>NOTEBOOK</v>
          </cell>
          <cell r="B418" t="str">
            <v>Dell Latitude CPi 300XT</v>
          </cell>
          <cell r="C418" t="str">
            <v>491-3606</v>
          </cell>
          <cell r="D418" t="str">
            <v>ZJT1N</v>
          </cell>
          <cell r="E418" t="str">
            <v xml:space="preserve">IS </v>
          </cell>
          <cell r="F418" t="str">
            <v xml:space="preserve">SARLEJA                  TOMASZ         </v>
          </cell>
          <cell r="G418" t="str">
            <v>U-12</v>
          </cell>
          <cell r="H418" t="str">
            <v>411</v>
          </cell>
          <cell r="I418" t="str">
            <v>34-43</v>
          </cell>
          <cell r="J418" t="str">
            <v>9777</v>
          </cell>
          <cell r="K418" t="str">
            <v/>
          </cell>
          <cell r="L418" t="str">
            <v>300</v>
          </cell>
          <cell r="M418" t="str">
            <v>JMAS: Linux</v>
          </cell>
          <cell r="N418" t="str">
            <v/>
          </cell>
        </row>
        <row r="419">
          <cell r="A419" t="str">
            <v>STACJA ROBOCZA</v>
          </cell>
          <cell r="B419" t="str">
            <v>DELL Optiplex GX1M P II 450</v>
          </cell>
          <cell r="C419" t="str">
            <v>491-3653</v>
          </cell>
          <cell r="D419" t="str">
            <v>QDXTJ</v>
          </cell>
          <cell r="E419" t="str">
            <v xml:space="preserve">IS </v>
          </cell>
          <cell r="F419" t="str">
            <v xml:space="preserve">KUBIK-STĘPIEŃ            ZDZISŁAWA      </v>
          </cell>
          <cell r="G419" t="str">
            <v>U-12</v>
          </cell>
          <cell r="H419" t="str">
            <v>406</v>
          </cell>
          <cell r="I419" t="str">
            <v>15-49</v>
          </cell>
          <cell r="J419" t="str">
            <v>466</v>
          </cell>
          <cell r="K419" t="str">
            <v>491-03653</v>
          </cell>
          <cell r="L419" t="str">
            <v>450</v>
          </cell>
          <cell r="M419" t="str">
            <v/>
          </cell>
          <cell r="N419" t="str">
            <v>128</v>
          </cell>
        </row>
        <row r="420">
          <cell r="A420" t="str">
            <v>STACJA ROBOCZA</v>
          </cell>
          <cell r="B420" t="str">
            <v>Dell Optiplex GX1M P III 450</v>
          </cell>
          <cell r="C420" t="str">
            <v>491-4866</v>
          </cell>
          <cell r="D420" t="str">
            <v>RBPN1</v>
          </cell>
          <cell r="E420" t="str">
            <v xml:space="preserve">IS </v>
          </cell>
          <cell r="F420" t="str">
            <v xml:space="preserve">PIOTROWSKI               PIOTR          </v>
          </cell>
          <cell r="G420" t="str">
            <v>U-12</v>
          </cell>
          <cell r="H420" t="str">
            <v>416</v>
          </cell>
          <cell r="I420" t="str">
            <v>25-17 39-83</v>
          </cell>
          <cell r="J420" t="str">
            <v>803</v>
          </cell>
          <cell r="K420" t="str">
            <v/>
          </cell>
          <cell r="L420" t="str">
            <v>450</v>
          </cell>
          <cell r="M420" t="str">
            <v>WYJĘTA PłYTA</v>
          </cell>
          <cell r="N420" t="str">
            <v/>
          </cell>
        </row>
        <row r="421">
          <cell r="A421" t="str">
            <v>NOTEBOOK</v>
          </cell>
          <cell r="B421" t="str">
            <v>COMPAQ ARMADA E500  PIII 600</v>
          </cell>
          <cell r="C421" t="str">
            <v>491-4367</v>
          </cell>
          <cell r="D421" t="str">
            <v>7J0ADN98Y017</v>
          </cell>
          <cell r="E421" t="str">
            <v xml:space="preserve">IS </v>
          </cell>
          <cell r="F421" t="str">
            <v xml:space="preserve">PARAS                    RAFAŁ          </v>
          </cell>
          <cell r="G421" t="str">
            <v>U-12</v>
          </cell>
          <cell r="H421" t="str">
            <v>411</v>
          </cell>
          <cell r="I421" t="str">
            <v>25-91</v>
          </cell>
          <cell r="J421" t="str">
            <v>9388</v>
          </cell>
          <cell r="K421" t="str">
            <v/>
          </cell>
          <cell r="L421" t="str">
            <v>600</v>
          </cell>
          <cell r="M421" t="str">
            <v/>
          </cell>
          <cell r="N421" t="str">
            <v/>
          </cell>
        </row>
        <row r="422">
          <cell r="A422" t="str">
            <v>STACJA ROBOCZA</v>
          </cell>
          <cell r="B422" t="str">
            <v>COMPAQ DESKPRO EXD PIII 733</v>
          </cell>
          <cell r="C422" t="str">
            <v>491-4241</v>
          </cell>
          <cell r="D422" t="str">
            <v>8036FR4ZE540</v>
          </cell>
          <cell r="E422" t="str">
            <v xml:space="preserve">IS </v>
          </cell>
          <cell r="F422" t="str">
            <v xml:space="preserve">SARLEJA                  TOMASZ         </v>
          </cell>
          <cell r="G422" t="str">
            <v>U-12</v>
          </cell>
          <cell r="H422" t="str">
            <v>411</v>
          </cell>
          <cell r="I422" t="str">
            <v>34-43</v>
          </cell>
          <cell r="J422" t="str">
            <v>9777</v>
          </cell>
          <cell r="K422" t="str">
            <v>SHADOW</v>
          </cell>
          <cell r="L422" t="str">
            <v>733</v>
          </cell>
          <cell r="M422" t="str">
            <v/>
          </cell>
          <cell r="N422" t="str">
            <v/>
          </cell>
        </row>
        <row r="423">
          <cell r="A423" t="str">
            <v>STACJA ROBOCZA</v>
          </cell>
          <cell r="B423" t="str">
            <v>COMPAQ DESKPRO EXD PIII 733</v>
          </cell>
          <cell r="C423" t="str">
            <v>491-4428</v>
          </cell>
          <cell r="D423" t="str">
            <v>8036FR4ZE525</v>
          </cell>
          <cell r="E423" t="str">
            <v xml:space="preserve">IS </v>
          </cell>
          <cell r="F423" t="str">
            <v xml:space="preserve">IWANIUK                  ZBIGNIEW       </v>
          </cell>
          <cell r="G423" t="str">
            <v>U-12</v>
          </cell>
          <cell r="H423" t="str">
            <v>413</v>
          </cell>
          <cell r="I423" t="str">
            <v>34-07</v>
          </cell>
          <cell r="J423" t="str">
            <v>296</v>
          </cell>
          <cell r="K423" t="str">
            <v>491-04428</v>
          </cell>
          <cell r="L423" t="str">
            <v>733</v>
          </cell>
          <cell r="M423" t="str">
            <v/>
          </cell>
          <cell r="N423" t="str">
            <v>383</v>
          </cell>
        </row>
        <row r="424">
          <cell r="A424" t="str">
            <v>STACJA ROBOCZA</v>
          </cell>
          <cell r="B424" t="str">
            <v>Dell Optiplex GX1M P III 450</v>
          </cell>
          <cell r="C424" t="str">
            <v>491-4865</v>
          </cell>
          <cell r="D424" t="str">
            <v>RBPN5</v>
          </cell>
          <cell r="E424" t="str">
            <v xml:space="preserve">IS </v>
          </cell>
          <cell r="F424" t="str">
            <v xml:space="preserve">IWANIUK                  ZBIGNIEW       </v>
          </cell>
          <cell r="G424" t="str">
            <v>U-12</v>
          </cell>
          <cell r="H424" t="str">
            <v>413</v>
          </cell>
          <cell r="I424" t="str">
            <v>34-07</v>
          </cell>
          <cell r="J424" t="str">
            <v>296</v>
          </cell>
          <cell r="K424" t="str">
            <v/>
          </cell>
          <cell r="L424" t="str">
            <v>450</v>
          </cell>
          <cell r="M424" t="str">
            <v>linux</v>
          </cell>
          <cell r="N424" t="str">
            <v/>
          </cell>
        </row>
        <row r="425">
          <cell r="A425" t="str">
            <v>STACJA ROBOCZA</v>
          </cell>
          <cell r="B425" t="str">
            <v>DELL Optiplex GX240</v>
          </cell>
          <cell r="C425" t="str">
            <v>491-4908</v>
          </cell>
          <cell r="D425" t="str">
            <v>6TCK90J</v>
          </cell>
          <cell r="E425" t="str">
            <v xml:space="preserve">IS </v>
          </cell>
          <cell r="F425" t="str">
            <v xml:space="preserve">MACIEJEWSKA              WANDA          </v>
          </cell>
          <cell r="G425" t="str">
            <v>U-12</v>
          </cell>
          <cell r="H425" t="str">
            <v>406</v>
          </cell>
          <cell r="I425" t="str">
            <v>34-02</v>
          </cell>
          <cell r="J425" t="str">
            <v>618</v>
          </cell>
          <cell r="K425" t="str">
            <v>491-04908</v>
          </cell>
          <cell r="L425" t="str">
            <v>2000</v>
          </cell>
          <cell r="M425" t="str">
            <v/>
          </cell>
          <cell r="N425" t="str">
            <v>255</v>
          </cell>
        </row>
        <row r="426">
          <cell r="A426" t="str">
            <v>STACJA ROBOCZA</v>
          </cell>
          <cell r="B426" t="str">
            <v>Dell Optiplex GX1M P III 450</v>
          </cell>
          <cell r="C426" t="str">
            <v>491-4873</v>
          </cell>
          <cell r="D426" t="str">
            <v>RBPMT</v>
          </cell>
          <cell r="E426" t="str">
            <v xml:space="preserve">IS </v>
          </cell>
          <cell r="F426" t="str">
            <v xml:space="preserve">PIOTROWSKI               PIOTR          </v>
          </cell>
          <cell r="G426" t="str">
            <v>U-12</v>
          </cell>
          <cell r="H426" t="str">
            <v>416</v>
          </cell>
          <cell r="I426" t="str">
            <v>25-17 39-83</v>
          </cell>
          <cell r="J426" t="str">
            <v>803</v>
          </cell>
          <cell r="K426" t="str">
            <v/>
          </cell>
          <cell r="L426" t="str">
            <v>450</v>
          </cell>
          <cell r="M426" t="str">
            <v>?????</v>
          </cell>
          <cell r="N426" t="str">
            <v/>
          </cell>
        </row>
        <row r="427">
          <cell r="A427" t="str">
            <v>STACJA ROBOCZA</v>
          </cell>
          <cell r="B427" t="str">
            <v>NEC PowerMate VT Destop P III 450</v>
          </cell>
          <cell r="C427" t="str">
            <v>491-3993</v>
          </cell>
          <cell r="D427" t="str">
            <v>0735109</v>
          </cell>
          <cell r="E427" t="str">
            <v xml:space="preserve">IS </v>
          </cell>
          <cell r="F427" t="str">
            <v xml:space="preserve">PARAS                    RAFAŁ          </v>
          </cell>
          <cell r="G427" t="str">
            <v>U-12</v>
          </cell>
          <cell r="H427" t="str">
            <v>411</v>
          </cell>
          <cell r="I427" t="str">
            <v>25-91</v>
          </cell>
          <cell r="J427" t="str">
            <v>9388</v>
          </cell>
          <cell r="K427" t="str">
            <v>491-01620-K025</v>
          </cell>
          <cell r="L427" t="str">
            <v>450</v>
          </cell>
          <cell r="M427" t="str">
            <v/>
          </cell>
          <cell r="N427" t="str">
            <v>256</v>
          </cell>
        </row>
        <row r="428">
          <cell r="A428" t="str">
            <v>STACJA ROBOCZA</v>
          </cell>
          <cell r="B428" t="str">
            <v>DELL Optiplex GX1M P II 450</v>
          </cell>
          <cell r="C428" t="str">
            <v>491-3651</v>
          </cell>
          <cell r="D428" t="str">
            <v>QDXTQ</v>
          </cell>
          <cell r="E428" t="str">
            <v xml:space="preserve">KB </v>
          </cell>
          <cell r="F428" t="str">
            <v xml:space="preserve">KONS                     ZOFIA          </v>
          </cell>
          <cell r="G428" t="str">
            <v>U-11</v>
          </cell>
          <cell r="H428" t="str">
            <v>515</v>
          </cell>
          <cell r="I428" t="str">
            <v>1177</v>
          </cell>
          <cell r="J428" t="str">
            <v>426</v>
          </cell>
          <cell r="K428" t="str">
            <v>491-03651</v>
          </cell>
          <cell r="L428" t="str">
            <v>450</v>
          </cell>
          <cell r="M428" t="str">
            <v/>
          </cell>
          <cell r="N428" t="str">
            <v>64</v>
          </cell>
        </row>
        <row r="429">
          <cell r="A429" t="str">
            <v>STACJA ROBOCZA</v>
          </cell>
          <cell r="B429" t="str">
            <v>DELL Optiplex GX150</v>
          </cell>
          <cell r="C429" t="str">
            <v>491-4707</v>
          </cell>
          <cell r="D429" t="str">
            <v>DMRX60J</v>
          </cell>
          <cell r="E429" t="str">
            <v xml:space="preserve">KK </v>
          </cell>
          <cell r="F429" t="str">
            <v xml:space="preserve">PIĄTKOWSKA               MAŁGORZATA     </v>
          </cell>
          <cell r="G429" t="str">
            <v>U-11</v>
          </cell>
          <cell r="H429" t="str">
            <v>508</v>
          </cell>
          <cell r="I429" t="str">
            <v>12-59</v>
          </cell>
          <cell r="J429" t="str">
            <v>732</v>
          </cell>
          <cell r="K429" t="str">
            <v>491-04707</v>
          </cell>
          <cell r="L429" t="str">
            <v>1000</v>
          </cell>
          <cell r="M429" t="str">
            <v/>
          </cell>
          <cell r="N429" t="str">
            <v>255</v>
          </cell>
        </row>
        <row r="430">
          <cell r="A430" t="str">
            <v>STACJA ROBOCZA</v>
          </cell>
          <cell r="B430" t="str">
            <v>KOMPUTER PC/AT</v>
          </cell>
          <cell r="C430" t="str">
            <v>491-1620/1692</v>
          </cell>
          <cell r="D430" t="str">
            <v>238116</v>
          </cell>
          <cell r="E430" t="str">
            <v xml:space="preserve">KK </v>
          </cell>
          <cell r="F430" t="str">
            <v xml:space="preserve">SZATANIAK                ANNA           </v>
          </cell>
          <cell r="G430" t="str">
            <v>U-11</v>
          </cell>
          <cell r="H430" t="str">
            <v>509</v>
          </cell>
          <cell r="I430" t="str">
            <v>12-58</v>
          </cell>
          <cell r="J430" t="str">
            <v>877</v>
          </cell>
          <cell r="K430" t="str">
            <v>491-01620-1692</v>
          </cell>
          <cell r="L430" t="str">
            <v>333</v>
          </cell>
          <cell r="M430" t="str">
            <v/>
          </cell>
          <cell r="N430" t="str">
            <v>64</v>
          </cell>
        </row>
        <row r="431">
          <cell r="A431" t="str">
            <v>STACJA ROBOCZA</v>
          </cell>
          <cell r="B431" t="str">
            <v>COMPAQ DESKPRO EXD PIII 733</v>
          </cell>
          <cell r="C431" t="str">
            <v>491-SZ2</v>
          </cell>
          <cell r="D431" t="str">
            <v>8036FR4ZE299</v>
          </cell>
          <cell r="E431" t="str">
            <v xml:space="preserve">KK </v>
          </cell>
          <cell r="F431" t="str">
            <v xml:space="preserve">KRASKA                   ELŻBIETA       </v>
          </cell>
          <cell r="G431" t="str">
            <v>U-11</v>
          </cell>
          <cell r="H431" t="str">
            <v>502A</v>
          </cell>
          <cell r="I431" t="str">
            <v>13-38</v>
          </cell>
          <cell r="J431" t="str">
            <v>8184</v>
          </cell>
          <cell r="K431" t="str">
            <v>KKELZBIETAK</v>
          </cell>
          <cell r="L431" t="str">
            <v>733</v>
          </cell>
          <cell r="M431" t="str">
            <v>komp. Zastepczy</v>
          </cell>
          <cell r="N431" t="str">
            <v/>
          </cell>
        </row>
        <row r="432">
          <cell r="A432" t="str">
            <v>STACJA ROBOCZA</v>
          </cell>
          <cell r="B432" t="str">
            <v>NEC PMVT Desktop P III 450</v>
          </cell>
          <cell r="C432" t="str">
            <v>491-3811</v>
          </cell>
          <cell r="D432" t="str">
            <v>0174109</v>
          </cell>
          <cell r="E432" t="str">
            <v xml:space="preserve">KK </v>
          </cell>
          <cell r="F432" t="str">
            <v xml:space="preserve">JAWORSKA                 BARBARA        </v>
          </cell>
          <cell r="G432" t="str">
            <v>U-11</v>
          </cell>
          <cell r="H432" t="str">
            <v>508</v>
          </cell>
          <cell r="I432" t="str">
            <v>12-59</v>
          </cell>
          <cell r="J432" t="str">
            <v>8123</v>
          </cell>
          <cell r="K432" t="str">
            <v>491-03811</v>
          </cell>
          <cell r="L432" t="str">
            <v>450</v>
          </cell>
          <cell r="M432" t="str">
            <v/>
          </cell>
          <cell r="N432" t="str">
            <v>64</v>
          </cell>
        </row>
        <row r="433">
          <cell r="A433" t="str">
            <v>STACJA ROBOCZA</v>
          </cell>
          <cell r="B433" t="str">
            <v>ZENITH Z STATION P166</v>
          </cell>
          <cell r="C433" t="str">
            <v>491-3116</v>
          </cell>
          <cell r="D433" t="str">
            <v>GVDD72905585</v>
          </cell>
          <cell r="E433" t="str">
            <v xml:space="preserve">KK </v>
          </cell>
          <cell r="F433" t="str">
            <v xml:space="preserve">LETKIMAN                 MAŁGORZATA     </v>
          </cell>
          <cell r="G433" t="str">
            <v>U-11</v>
          </cell>
          <cell r="H433" t="str">
            <v>508</v>
          </cell>
          <cell r="I433" t="str">
            <v>12-59</v>
          </cell>
          <cell r="J433" t="str">
            <v>935</v>
          </cell>
          <cell r="K433" t="str">
            <v>491-03116</v>
          </cell>
          <cell r="L433" t="str">
            <v>166</v>
          </cell>
          <cell r="M433" t="str">
            <v/>
          </cell>
          <cell r="N433" t="str">
            <v>80</v>
          </cell>
        </row>
        <row r="434">
          <cell r="A434" t="str">
            <v>STACJA ROBOCZA</v>
          </cell>
          <cell r="B434" t="str">
            <v>DELL Optiplex GX150</v>
          </cell>
          <cell r="C434" t="str">
            <v>491-4706</v>
          </cell>
          <cell r="D434" t="str">
            <v>6PRX60J</v>
          </cell>
          <cell r="E434" t="str">
            <v xml:space="preserve">KK </v>
          </cell>
          <cell r="F434" t="str">
            <v xml:space="preserve">STĘPIŃSKA                ANNA           </v>
          </cell>
          <cell r="G434" t="str">
            <v>U-11</v>
          </cell>
          <cell r="H434" t="str">
            <v>507</v>
          </cell>
          <cell r="I434" t="str">
            <v/>
          </cell>
          <cell r="J434" t="str">
            <v>921</v>
          </cell>
          <cell r="K434" t="str">
            <v>491-04706</v>
          </cell>
          <cell r="L434" t="str">
            <v>1000</v>
          </cell>
          <cell r="M434" t="str">
            <v/>
          </cell>
          <cell r="N434" t="str">
            <v>255</v>
          </cell>
        </row>
        <row r="435">
          <cell r="A435" t="str">
            <v>STACJA ROBOCZA</v>
          </cell>
          <cell r="B435" t="str">
            <v>DELL Optiplex GX150</v>
          </cell>
          <cell r="C435" t="str">
            <v>491-4705</v>
          </cell>
          <cell r="D435" t="str">
            <v>FPRX60J</v>
          </cell>
          <cell r="E435" t="str">
            <v xml:space="preserve">KK </v>
          </cell>
          <cell r="F435" t="str">
            <v xml:space="preserve">KOSZEK                   JOLANTA        </v>
          </cell>
          <cell r="G435" t="str">
            <v>U-11</v>
          </cell>
          <cell r="H435" t="str">
            <v>507A</v>
          </cell>
          <cell r="I435" t="str">
            <v>11-78</v>
          </cell>
          <cell r="J435" t="str">
            <v>573</v>
          </cell>
          <cell r="K435" t="str">
            <v>491-04705</v>
          </cell>
          <cell r="L435" t="str">
            <v>1000</v>
          </cell>
          <cell r="M435" t="str">
            <v/>
          </cell>
          <cell r="N435" t="str">
            <v>255</v>
          </cell>
        </row>
        <row r="436">
          <cell r="A436" t="str">
            <v>STACJA ROBOCZA</v>
          </cell>
          <cell r="B436" t="str">
            <v>NEC PowerMate VT Destop P III 450</v>
          </cell>
          <cell r="C436" t="str">
            <v>491-3869</v>
          </cell>
          <cell r="D436" t="str">
            <v>0223109</v>
          </cell>
          <cell r="E436" t="str">
            <v xml:space="preserve">KK </v>
          </cell>
          <cell r="F436" t="str">
            <v xml:space="preserve">STĘPNIK                  KRZYSZTOF      </v>
          </cell>
          <cell r="G436" t="str">
            <v>U-11</v>
          </cell>
          <cell r="H436" t="str">
            <v>515</v>
          </cell>
          <cell r="I436" t="str">
            <v>11-11</v>
          </cell>
          <cell r="J436" t="str">
            <v>920</v>
          </cell>
          <cell r="K436" t="str">
            <v>491-03869</v>
          </cell>
          <cell r="L436" t="str">
            <v>450</v>
          </cell>
          <cell r="M436" t="str">
            <v/>
          </cell>
          <cell r="N436" t="str">
            <v>64</v>
          </cell>
        </row>
        <row r="437">
          <cell r="A437" t="str">
            <v>STACJA ROBOCZA</v>
          </cell>
          <cell r="B437" t="str">
            <v>COMPAQ DESKPRO EXD PIII 733</v>
          </cell>
          <cell r="C437" t="str">
            <v>491-4256</v>
          </cell>
          <cell r="D437" t="str">
            <v>8036FR4ZE303</v>
          </cell>
          <cell r="E437" t="str">
            <v xml:space="preserve">KK </v>
          </cell>
          <cell r="F437" t="str">
            <v xml:space="preserve">JAWORSKA                 BARBARA        </v>
          </cell>
          <cell r="G437" t="str">
            <v>U-11</v>
          </cell>
          <cell r="H437" t="str">
            <v>508</v>
          </cell>
          <cell r="I437" t="str">
            <v>12-59</v>
          </cell>
          <cell r="J437" t="str">
            <v>8123</v>
          </cell>
          <cell r="K437" t="str">
            <v>491-04256</v>
          </cell>
          <cell r="L437" t="str">
            <v>733</v>
          </cell>
          <cell r="M437" t="str">
            <v/>
          </cell>
          <cell r="N437" t="str">
            <v>127</v>
          </cell>
        </row>
        <row r="438">
          <cell r="A438" t="str">
            <v>STACJA ROBOCZA</v>
          </cell>
          <cell r="B438" t="str">
            <v>NEC PMVT Desktop P III 450</v>
          </cell>
          <cell r="C438" t="str">
            <v>491-3821</v>
          </cell>
          <cell r="D438" t="str">
            <v>0184109</v>
          </cell>
          <cell r="E438" t="str">
            <v xml:space="preserve">KL </v>
          </cell>
          <cell r="F438" t="str">
            <v xml:space="preserve">BOŻEK                    ELŻBIETA       </v>
          </cell>
          <cell r="G438" t="str">
            <v>U-11</v>
          </cell>
          <cell r="H438" t="str">
            <v>502</v>
          </cell>
          <cell r="I438" t="str">
            <v>10-65</v>
          </cell>
          <cell r="J438" t="str">
            <v>49</v>
          </cell>
          <cell r="K438" t="str">
            <v>491-03821</v>
          </cell>
          <cell r="L438" t="str">
            <v>450</v>
          </cell>
          <cell r="M438" t="str">
            <v/>
          </cell>
          <cell r="N438" t="str">
            <v>64</v>
          </cell>
        </row>
        <row r="439">
          <cell r="A439" t="str">
            <v>STACJA ROBOCZA</v>
          </cell>
          <cell r="B439" t="str">
            <v>NEC PowerMate VT Destop P III 450</v>
          </cell>
          <cell r="C439" t="str">
            <v>491-4004</v>
          </cell>
          <cell r="D439" t="str">
            <v>0289109</v>
          </cell>
          <cell r="E439" t="str">
            <v xml:space="preserve">KL </v>
          </cell>
          <cell r="F439" t="str">
            <v xml:space="preserve">ŁAWSKA                   BARBARA        </v>
          </cell>
          <cell r="G439" t="str">
            <v>U-11</v>
          </cell>
          <cell r="H439" t="str">
            <v>502</v>
          </cell>
          <cell r="I439" t="str">
            <v>10-64</v>
          </cell>
          <cell r="J439" t="str">
            <v>8206</v>
          </cell>
          <cell r="K439" t="str">
            <v>491-04004</v>
          </cell>
          <cell r="L439" t="str">
            <v>450</v>
          </cell>
          <cell r="M439" t="str">
            <v/>
          </cell>
          <cell r="N439" t="str">
            <v>64</v>
          </cell>
        </row>
        <row r="440">
          <cell r="A440" t="str">
            <v>STACJA ROBOCZA</v>
          </cell>
          <cell r="B440" t="str">
            <v>NEC PowerMate VT Destop P III 450</v>
          </cell>
          <cell r="C440" t="str">
            <v>491-3887</v>
          </cell>
          <cell r="D440" t="str">
            <v>0268109</v>
          </cell>
          <cell r="E440" t="str">
            <v xml:space="preserve">KL </v>
          </cell>
          <cell r="F440" t="str">
            <v xml:space="preserve">OLĘDZKA                  ELŻBIETA       </v>
          </cell>
          <cell r="G440" t="str">
            <v>U-11</v>
          </cell>
          <cell r="H440" t="str">
            <v>502A</v>
          </cell>
          <cell r="I440" t="str">
            <v>13-38</v>
          </cell>
          <cell r="J440" t="str">
            <v>686</v>
          </cell>
          <cell r="K440" t="str">
            <v>491-03887</v>
          </cell>
          <cell r="L440" t="str">
            <v>450</v>
          </cell>
          <cell r="M440" t="str">
            <v/>
          </cell>
          <cell r="N440" t="str">
            <v>192</v>
          </cell>
        </row>
        <row r="441">
          <cell r="A441" t="str">
            <v>STACJA ROBOCZA</v>
          </cell>
          <cell r="B441" t="str">
            <v>NEC PMVT Desktop P III 450</v>
          </cell>
          <cell r="C441" t="str">
            <v>491-3812</v>
          </cell>
          <cell r="D441" t="str">
            <v>0173109</v>
          </cell>
          <cell r="E441" t="str">
            <v xml:space="preserve">KL </v>
          </cell>
          <cell r="F441" t="str">
            <v xml:space="preserve">PIETRZYK                 KRYSTYNA       </v>
          </cell>
          <cell r="G441" t="str">
            <v>U-11</v>
          </cell>
          <cell r="H441" t="str">
            <v>502</v>
          </cell>
          <cell r="I441" t="str">
            <v>10-65</v>
          </cell>
          <cell r="J441" t="str">
            <v>755</v>
          </cell>
          <cell r="K441" t="str">
            <v>491-03812</v>
          </cell>
          <cell r="L441" t="str">
            <v>450</v>
          </cell>
          <cell r="M441" t="str">
            <v/>
          </cell>
          <cell r="N441" t="str">
            <v>64</v>
          </cell>
        </row>
        <row r="442">
          <cell r="A442" t="str">
            <v>STACJA ROBOCZA</v>
          </cell>
          <cell r="B442" t="str">
            <v>NEC PowerMate VT Destop P III 450</v>
          </cell>
          <cell r="C442" t="str">
            <v>491-3998</v>
          </cell>
          <cell r="D442" t="str">
            <v>0295109</v>
          </cell>
          <cell r="E442" t="str">
            <v xml:space="preserve">KL </v>
          </cell>
          <cell r="F442" t="str">
            <v xml:space="preserve">PILC                     WIESŁAWA       </v>
          </cell>
          <cell r="G442" t="str">
            <v>U-11</v>
          </cell>
          <cell r="H442" t="str">
            <v>502</v>
          </cell>
          <cell r="I442" t="str">
            <v>10-65</v>
          </cell>
          <cell r="J442" t="str">
            <v>767</v>
          </cell>
          <cell r="K442" t="str">
            <v>491-03998</v>
          </cell>
          <cell r="L442" t="str">
            <v>450</v>
          </cell>
          <cell r="M442" t="str">
            <v>OK55M</v>
          </cell>
          <cell r="N442" t="str">
            <v>64</v>
          </cell>
        </row>
        <row r="443">
          <cell r="A443" t="str">
            <v>STACJA ROBOCZA</v>
          </cell>
          <cell r="B443" t="str">
            <v>COMPAQ DESKPRO EXD PIII 733</v>
          </cell>
          <cell r="C443" t="str">
            <v>491-4506</v>
          </cell>
          <cell r="D443" t="str">
            <v>8037FR4Z2724</v>
          </cell>
          <cell r="E443" t="str">
            <v xml:space="preserve">KM </v>
          </cell>
          <cell r="F443" t="str">
            <v xml:space="preserve">WRÓBLEWSKA               MIROSŁAWA      </v>
          </cell>
          <cell r="G443" t="str">
            <v>U-11</v>
          </cell>
          <cell r="H443" t="str">
            <v>504</v>
          </cell>
          <cell r="I443" t="str">
            <v>13-29</v>
          </cell>
          <cell r="J443" t="str">
            <v>150</v>
          </cell>
          <cell r="K443" t="str">
            <v>491-04506</v>
          </cell>
          <cell r="L443" t="str">
            <v>733</v>
          </cell>
          <cell r="M443" t="str">
            <v/>
          </cell>
          <cell r="N443" t="str">
            <v>127</v>
          </cell>
        </row>
        <row r="444">
          <cell r="A444" t="str">
            <v>STACJA ROBOCZA</v>
          </cell>
          <cell r="B444" t="str">
            <v>NEC PowerMate VT Destop P III 450</v>
          </cell>
          <cell r="C444" t="str">
            <v>491-3856</v>
          </cell>
          <cell r="D444" t="str">
            <v>0232109</v>
          </cell>
          <cell r="E444" t="str">
            <v xml:space="preserve">KM </v>
          </cell>
          <cell r="F444" t="str">
            <v xml:space="preserve">STASZEWSKA               WIESŁAWA       </v>
          </cell>
          <cell r="G444" t="str">
            <v>U-11</v>
          </cell>
          <cell r="H444" t="str">
            <v>506A</v>
          </cell>
          <cell r="I444" t="str">
            <v>26-89</v>
          </cell>
          <cell r="J444" t="str">
            <v>940</v>
          </cell>
          <cell r="K444" t="str">
            <v>491-03856</v>
          </cell>
          <cell r="L444" t="str">
            <v>450</v>
          </cell>
          <cell r="M444" t="str">
            <v/>
          </cell>
          <cell r="N444" t="str">
            <v>64</v>
          </cell>
        </row>
        <row r="445">
          <cell r="A445" t="str">
            <v>STACJA ROBOCZA</v>
          </cell>
          <cell r="B445" t="str">
            <v>DELL Optiplex GX150</v>
          </cell>
          <cell r="C445" t="str">
            <v>491-4688</v>
          </cell>
          <cell r="D445" t="str">
            <v>5MRX60J</v>
          </cell>
          <cell r="E445" t="str">
            <v xml:space="preserve">KM </v>
          </cell>
          <cell r="F445" t="str">
            <v xml:space="preserve">ŚWIDERSKA                JOANNA         </v>
          </cell>
          <cell r="G445" t="str">
            <v>U-11</v>
          </cell>
          <cell r="H445" t="str">
            <v>506</v>
          </cell>
          <cell r="I445" t="str">
            <v>11-48</v>
          </cell>
          <cell r="J445" t="str">
            <v>952</v>
          </cell>
          <cell r="K445" t="str">
            <v>491-04688</v>
          </cell>
          <cell r="L445" t="str">
            <v>1000</v>
          </cell>
          <cell r="M445" t="str">
            <v/>
          </cell>
          <cell r="N445" t="str">
            <v>255</v>
          </cell>
        </row>
        <row r="446">
          <cell r="A446" t="str">
            <v>STACJA ROBOCZA</v>
          </cell>
          <cell r="B446" t="str">
            <v>DELL Optiplex GX150</v>
          </cell>
          <cell r="C446" t="str">
            <v>491-4689</v>
          </cell>
          <cell r="D446" t="str">
            <v>3MRX60J</v>
          </cell>
          <cell r="E446" t="str">
            <v xml:space="preserve">KM </v>
          </cell>
          <cell r="F446" t="str">
            <v xml:space="preserve">WOJEWODA                 BARBARA        </v>
          </cell>
          <cell r="G446" t="str">
            <v>U-11</v>
          </cell>
          <cell r="H446" t="str">
            <v>506</v>
          </cell>
          <cell r="I446" t="str">
            <v>11-48</v>
          </cell>
          <cell r="J446" t="str">
            <v>1095</v>
          </cell>
          <cell r="K446" t="str">
            <v>491-04689</v>
          </cell>
          <cell r="L446" t="str">
            <v>1000</v>
          </cell>
          <cell r="M446" t="str">
            <v/>
          </cell>
          <cell r="N446" t="str">
            <v>255</v>
          </cell>
        </row>
        <row r="447">
          <cell r="A447" t="str">
            <v>STACJA ROBOCZA</v>
          </cell>
          <cell r="B447" t="str">
            <v>NEC PowerMate VT Destop P III 450</v>
          </cell>
          <cell r="C447" t="str">
            <v>491-3917</v>
          </cell>
          <cell r="D447" t="str">
            <v>0275109</v>
          </cell>
          <cell r="E447" t="str">
            <v xml:space="preserve">KM </v>
          </cell>
          <cell r="F447" t="str">
            <v xml:space="preserve">ZIELNIK                  WOJCIECH       </v>
          </cell>
          <cell r="G447" t="str">
            <v>U-11</v>
          </cell>
          <cell r="H447" t="str">
            <v>505</v>
          </cell>
          <cell r="I447" t="str">
            <v>19-44</v>
          </cell>
          <cell r="J447" t="str">
            <v>9645</v>
          </cell>
          <cell r="K447" t="str">
            <v>491-03917</v>
          </cell>
          <cell r="L447" t="str">
            <v>450</v>
          </cell>
          <cell r="M447" t="str">
            <v/>
          </cell>
          <cell r="N447" t="str">
            <v>64</v>
          </cell>
        </row>
        <row r="448">
          <cell r="A448" t="str">
            <v>STACJA ROBOCZA</v>
          </cell>
          <cell r="B448" t="str">
            <v>KOMPUTER PC/AT</v>
          </cell>
          <cell r="C448" t="str">
            <v>491-1620/1753</v>
          </cell>
          <cell r="D448" t="str">
            <v>HT283151</v>
          </cell>
          <cell r="E448" t="str">
            <v xml:space="preserve">KM </v>
          </cell>
          <cell r="F448" t="str">
            <v xml:space="preserve">FUZOWSKA                 JOANNA         </v>
          </cell>
          <cell r="G448" t="str">
            <v>U-11</v>
          </cell>
          <cell r="H448" t="str">
            <v>507A</v>
          </cell>
          <cell r="I448" t="str">
            <v>14-35</v>
          </cell>
          <cell r="J448" t="str">
            <v>193</v>
          </cell>
          <cell r="K448" t="str">
            <v>491-01620-1753</v>
          </cell>
          <cell r="L448" t="str">
            <v>2400</v>
          </cell>
          <cell r="M448" t="str">
            <v/>
          </cell>
          <cell r="N448" t="str">
            <v>256</v>
          </cell>
        </row>
        <row r="449">
          <cell r="A449" t="str">
            <v>STACJA ROBOCZA</v>
          </cell>
          <cell r="B449" t="str">
            <v>DELL Optiplex GX150</v>
          </cell>
          <cell r="C449" t="str">
            <v>491-4687</v>
          </cell>
          <cell r="D449" t="str">
            <v>8MRX60J</v>
          </cell>
          <cell r="E449" t="str">
            <v xml:space="preserve">KM </v>
          </cell>
          <cell r="F449" t="str">
            <v xml:space="preserve">HERUDZIŃSKA              JADWIGA        </v>
          </cell>
          <cell r="G449" t="str">
            <v>U-11</v>
          </cell>
          <cell r="H449" t="str">
            <v>505</v>
          </cell>
          <cell r="I449" t="str">
            <v>11-48</v>
          </cell>
          <cell r="J449" t="str">
            <v>8144</v>
          </cell>
          <cell r="K449" t="str">
            <v>491-04687</v>
          </cell>
          <cell r="L449" t="str">
            <v>1000</v>
          </cell>
          <cell r="M449" t="str">
            <v/>
          </cell>
          <cell r="N449" t="str">
            <v>255</v>
          </cell>
        </row>
        <row r="450">
          <cell r="A450" t="str">
            <v>STACJA ROBOCZA</v>
          </cell>
          <cell r="B450" t="str">
            <v>KOMPUTER 486DX</v>
          </cell>
          <cell r="C450" t="str">
            <v>491-1620/8835</v>
          </cell>
          <cell r="D450" t="str">
            <v>8835/114</v>
          </cell>
          <cell r="E450" t="str">
            <v xml:space="preserve">KM </v>
          </cell>
          <cell r="F450" t="str">
            <v xml:space="preserve">MARCZAK                  EWA            </v>
          </cell>
          <cell r="G450" t="str">
            <v>U-11</v>
          </cell>
          <cell r="H450" t="str">
            <v>509</v>
          </cell>
          <cell r="I450" t="str">
            <v>12-58</v>
          </cell>
          <cell r="J450" t="str">
            <v>626</v>
          </cell>
          <cell r="K450" t="str">
            <v>491-01620-8835</v>
          </cell>
          <cell r="L450" t="str">
            <v>333</v>
          </cell>
          <cell r="M450" t="str">
            <v/>
          </cell>
          <cell r="N450" t="str">
            <v>128</v>
          </cell>
        </row>
        <row r="451">
          <cell r="A451" t="str">
            <v>STACJA ROBOCZA</v>
          </cell>
          <cell r="B451" t="str">
            <v>NEC PowerMate VT Destop P III 450</v>
          </cell>
          <cell r="C451" t="str">
            <v>491-4007</v>
          </cell>
          <cell r="D451" t="str">
            <v>0290109</v>
          </cell>
          <cell r="E451" t="str">
            <v xml:space="preserve">KM </v>
          </cell>
          <cell r="F451" t="str">
            <v xml:space="preserve">MARCZAK                  EWA            </v>
          </cell>
          <cell r="G451" t="str">
            <v>U-11</v>
          </cell>
          <cell r="H451" t="str">
            <v>509</v>
          </cell>
          <cell r="I451" t="str">
            <v>12-58</v>
          </cell>
          <cell r="J451" t="str">
            <v>626</v>
          </cell>
          <cell r="K451" t="str">
            <v>JADZIASMUGA</v>
          </cell>
          <cell r="L451" t="str">
            <v>450</v>
          </cell>
          <cell r="M451" t="str">
            <v>OK55M</v>
          </cell>
          <cell r="N451" t="str">
            <v/>
          </cell>
        </row>
        <row r="452">
          <cell r="A452" t="str">
            <v>STACJA ROBOCZA</v>
          </cell>
          <cell r="B452" t="str">
            <v>DELL Optiplex GX1L 266</v>
          </cell>
          <cell r="C452" t="str">
            <v>491-3270</v>
          </cell>
          <cell r="D452" t="str">
            <v>NM19K</v>
          </cell>
          <cell r="E452" t="str">
            <v xml:space="preserve">KM </v>
          </cell>
          <cell r="F452" t="str">
            <v xml:space="preserve">PAPUGA                   DAGMARA        </v>
          </cell>
          <cell r="G452" t="str">
            <v>U-11</v>
          </cell>
          <cell r="H452" t="str">
            <v>505</v>
          </cell>
          <cell r="I452" t="str">
            <v>11-48</v>
          </cell>
          <cell r="J452" t="str">
            <v>715</v>
          </cell>
          <cell r="K452" t="str">
            <v>491-03270</v>
          </cell>
          <cell r="L452" t="str">
            <v>266</v>
          </cell>
          <cell r="M452" t="str">
            <v/>
          </cell>
          <cell r="N452" t="str">
            <v>128</v>
          </cell>
        </row>
        <row r="453">
          <cell r="A453" t="str">
            <v>STACJA ROBOCZA</v>
          </cell>
          <cell r="B453" t="str">
            <v>NEC PMVT Desktop P III 450</v>
          </cell>
          <cell r="C453" t="str">
            <v>491-3810</v>
          </cell>
          <cell r="D453" t="str">
            <v>0241109</v>
          </cell>
          <cell r="E453" t="str">
            <v xml:space="preserve">KM </v>
          </cell>
          <cell r="F453" t="str">
            <v xml:space="preserve">MIDERA                   BARBARA        </v>
          </cell>
          <cell r="G453" t="str">
            <v>U-11</v>
          </cell>
          <cell r="H453" t="str">
            <v>504</v>
          </cell>
          <cell r="I453" t="str">
            <v>11-47</v>
          </cell>
          <cell r="J453" t="str">
            <v>621</v>
          </cell>
          <cell r="K453" t="str">
            <v>491-03810</v>
          </cell>
          <cell r="L453" t="str">
            <v>450</v>
          </cell>
          <cell r="M453" t="str">
            <v/>
          </cell>
          <cell r="N453" t="str">
            <v>192</v>
          </cell>
        </row>
        <row r="454">
          <cell r="A454" t="str">
            <v>STACJA ROBOCZA</v>
          </cell>
          <cell r="B454" t="str">
            <v>COMPAQ DESKPRO EXD PIII 733</v>
          </cell>
          <cell r="C454" t="str">
            <v>491-4513</v>
          </cell>
          <cell r="D454" t="str">
            <v>8036FR4ZE259</v>
          </cell>
          <cell r="E454" t="str">
            <v xml:space="preserve">KM </v>
          </cell>
          <cell r="F454" t="str">
            <v xml:space="preserve">OLSZAK                   EDWARDA        </v>
          </cell>
          <cell r="G454" t="str">
            <v>U-11</v>
          </cell>
          <cell r="H454" t="str">
            <v>507A</v>
          </cell>
          <cell r="I454" t="str">
            <v>34-85</v>
          </cell>
          <cell r="J454" t="str">
            <v>672</v>
          </cell>
          <cell r="K454" t="str">
            <v>491-04513</v>
          </cell>
          <cell r="L454" t="str">
            <v>733</v>
          </cell>
          <cell r="M454" t="str">
            <v/>
          </cell>
          <cell r="N454" t="str">
            <v>127</v>
          </cell>
        </row>
        <row r="455">
          <cell r="A455" t="str">
            <v>STACJA ROBOCZA</v>
          </cell>
          <cell r="B455" t="str">
            <v>KOMPUTER 486DX</v>
          </cell>
          <cell r="C455" t="str">
            <v>491-1620/11328</v>
          </cell>
          <cell r="D455" t="str">
            <v>11328/075</v>
          </cell>
          <cell r="E455" t="str">
            <v xml:space="preserve">KO </v>
          </cell>
          <cell r="F455" t="str">
            <v xml:space="preserve">MUSIAŁ                   BARBARA        </v>
          </cell>
          <cell r="G455" t="str">
            <v>U-12</v>
          </cell>
          <cell r="H455" t="str">
            <v>206</v>
          </cell>
          <cell r="I455" t="str">
            <v>11-57</v>
          </cell>
          <cell r="J455" t="str">
            <v>583</v>
          </cell>
          <cell r="K455" t="str">
            <v>491-01620-11328</v>
          </cell>
          <cell r="L455" t="str">
            <v>500</v>
          </cell>
          <cell r="M455" t="str">
            <v/>
          </cell>
          <cell r="N455" t="str">
            <v>128</v>
          </cell>
        </row>
        <row r="456">
          <cell r="A456" t="str">
            <v>STACJA ROBOCZA</v>
          </cell>
          <cell r="B456" t="str">
            <v>KOMPUTER PC/AT</v>
          </cell>
          <cell r="C456" t="str">
            <v>491-1620/1687</v>
          </cell>
          <cell r="D456" t="str">
            <v>238012</v>
          </cell>
          <cell r="E456" t="str">
            <v xml:space="preserve">KO </v>
          </cell>
          <cell r="F456" t="str">
            <v xml:space="preserve">KĘPA                     BOGUSŁAWA      </v>
          </cell>
          <cell r="G456" t="str">
            <v>U-11</v>
          </cell>
          <cell r="H456" t="str">
            <v>606</v>
          </cell>
          <cell r="I456" t="str">
            <v>14-17</v>
          </cell>
          <cell r="J456" t="str">
            <v>434</v>
          </cell>
          <cell r="K456" t="str">
            <v>491-01620-1687</v>
          </cell>
          <cell r="L456" t="str">
            <v>333</v>
          </cell>
          <cell r="M456" t="str">
            <v/>
          </cell>
          <cell r="N456" t="str">
            <v>192</v>
          </cell>
        </row>
        <row r="457">
          <cell r="A457" t="str">
            <v>STACJA ROBOCZA</v>
          </cell>
          <cell r="B457" t="str">
            <v>KOMPUTER PC/AT</v>
          </cell>
          <cell r="C457" t="str">
            <v>491-1620/K021</v>
          </cell>
          <cell r="D457" t="str">
            <v>0B23A</v>
          </cell>
          <cell r="E457" t="str">
            <v xml:space="preserve">KO </v>
          </cell>
          <cell r="F457" t="str">
            <v xml:space="preserve">HERTEL                   ALBINA         </v>
          </cell>
          <cell r="G457" t="str">
            <v>U-11</v>
          </cell>
          <cell r="H457" t="str">
            <v>606</v>
          </cell>
          <cell r="I457" t="str">
            <v>22-81</v>
          </cell>
          <cell r="J457" t="str">
            <v>288</v>
          </cell>
          <cell r="K457" t="str">
            <v>491-01620-K021</v>
          </cell>
          <cell r="L457" t="str">
            <v>500</v>
          </cell>
          <cell r="M457" t="str">
            <v/>
          </cell>
          <cell r="N457" t="str">
            <v>128</v>
          </cell>
        </row>
        <row r="458">
          <cell r="A458" t="str">
            <v>STACJA ROBOCZA</v>
          </cell>
          <cell r="B458" t="str">
            <v>COMPAQ DESKPRO EXD PIII 733</v>
          </cell>
          <cell r="C458" t="str">
            <v>491-4436</v>
          </cell>
          <cell r="D458" t="str">
            <v>8036FR4Z6600</v>
          </cell>
          <cell r="E458" t="str">
            <v xml:space="preserve">KO </v>
          </cell>
          <cell r="F458" t="str">
            <v xml:space="preserve">PAWLAK                   ALICJA         </v>
          </cell>
          <cell r="G458" t="str">
            <v>U-11</v>
          </cell>
          <cell r="H458" t="str">
            <v>606A</v>
          </cell>
          <cell r="I458" t="str">
            <v>11-79</v>
          </cell>
          <cell r="J458" t="str">
            <v>740</v>
          </cell>
          <cell r="K458" t="str">
            <v>491-04436</v>
          </cell>
          <cell r="L458" t="str">
            <v>733</v>
          </cell>
          <cell r="M458" t="str">
            <v/>
          </cell>
          <cell r="N458" t="str">
            <v>127</v>
          </cell>
        </row>
        <row r="459">
          <cell r="A459" t="str">
            <v>STACJA ROBOCZA</v>
          </cell>
          <cell r="B459" t="str">
            <v>KOMPUTER PC/AT</v>
          </cell>
          <cell r="C459" t="str">
            <v>491-1807</v>
          </cell>
          <cell r="D459" t="str">
            <v>016914/1650</v>
          </cell>
          <cell r="E459" t="str">
            <v xml:space="preserve">KO </v>
          </cell>
          <cell r="F459" t="str">
            <v xml:space="preserve">SZCZĘSNA                 ZOFIA          </v>
          </cell>
          <cell r="G459" t="str">
            <v>U-11</v>
          </cell>
          <cell r="H459" t="str">
            <v>606</v>
          </cell>
          <cell r="I459" t="str">
            <v>14-17</v>
          </cell>
          <cell r="J459" t="str">
            <v>948</v>
          </cell>
          <cell r="K459" t="str">
            <v>491-01807</v>
          </cell>
          <cell r="L459" t="str">
            <v>366</v>
          </cell>
          <cell r="M459" t="str">
            <v>OK55M</v>
          </cell>
          <cell r="N459" t="str">
            <v>64</v>
          </cell>
        </row>
        <row r="460">
          <cell r="A460" t="str">
            <v>STACJA ROBOCZA</v>
          </cell>
          <cell r="B460" t="str">
            <v>DELL Optiplex GX1M 350</v>
          </cell>
          <cell r="C460" t="str">
            <v>491-3561</v>
          </cell>
          <cell r="D460" t="str">
            <v>PKGZ6</v>
          </cell>
          <cell r="E460" t="str">
            <v xml:space="preserve">KO </v>
          </cell>
          <cell r="F460" t="str">
            <v xml:space="preserve">PAWLAK                   ALICJA         </v>
          </cell>
          <cell r="G460" t="str">
            <v>U-11</v>
          </cell>
          <cell r="H460" t="str">
            <v>606A</v>
          </cell>
          <cell r="I460" t="str">
            <v>11-79</v>
          </cell>
          <cell r="J460" t="str">
            <v>740</v>
          </cell>
          <cell r="K460" t="str">
            <v>491-03561</v>
          </cell>
          <cell r="L460" t="str">
            <v>350</v>
          </cell>
          <cell r="M460" t="str">
            <v/>
          </cell>
          <cell r="N460" t="str">
            <v>64</v>
          </cell>
        </row>
        <row r="461">
          <cell r="A461" t="str">
            <v>STACJA ROBOCZA</v>
          </cell>
          <cell r="B461" t="str">
            <v>KOMPUTER PC/AT</v>
          </cell>
          <cell r="C461" t="str">
            <v>491-1620/K034</v>
          </cell>
          <cell r="D461" t="str">
            <v>0B23A</v>
          </cell>
          <cell r="E461" t="str">
            <v xml:space="preserve">KO </v>
          </cell>
          <cell r="F461" t="str">
            <v xml:space="preserve">KUCHARSKA                MARIOLA        </v>
          </cell>
          <cell r="G461" t="str">
            <v>U-11</v>
          </cell>
          <cell r="H461" t="str">
            <v>608</v>
          </cell>
          <cell r="I461" t="str">
            <v>11-79</v>
          </cell>
          <cell r="J461" t="str">
            <v>8141</v>
          </cell>
          <cell r="K461" t="str">
            <v>491-01620-K034</v>
          </cell>
          <cell r="L461" t="str">
            <v>500</v>
          </cell>
          <cell r="M461" t="str">
            <v/>
          </cell>
          <cell r="N461" t="str">
            <v>128</v>
          </cell>
        </row>
        <row r="462">
          <cell r="A462" t="str">
            <v>STACJA ROBOCZA</v>
          </cell>
          <cell r="B462" t="str">
            <v>DELL Optiplex GX260 SD</v>
          </cell>
          <cell r="C462" t="str">
            <v>491-5084</v>
          </cell>
          <cell r="D462" t="str">
            <v>CJYGL0J</v>
          </cell>
          <cell r="E462" t="str">
            <v xml:space="preserve">KO </v>
          </cell>
          <cell r="F462" t="str">
            <v xml:space="preserve">URBAŃSKA                 JOLANTA        </v>
          </cell>
          <cell r="G462" t="str">
            <v>U-11</v>
          </cell>
          <cell r="H462" t="str">
            <v>607A</v>
          </cell>
          <cell r="I462" t="str">
            <v>11-79</v>
          </cell>
          <cell r="J462" t="str">
            <v>610</v>
          </cell>
          <cell r="K462" t="str">
            <v>491-05084</v>
          </cell>
          <cell r="L462" t="str">
            <v>2400</v>
          </cell>
          <cell r="M462" t="str">
            <v/>
          </cell>
          <cell r="N462" t="str">
            <v>254</v>
          </cell>
        </row>
        <row r="463">
          <cell r="A463" t="str">
            <v>STACJA ROBOCZA</v>
          </cell>
          <cell r="B463" t="str">
            <v>KOMPUTER 486SX</v>
          </cell>
          <cell r="C463" t="str">
            <v>491-1620/8888</v>
          </cell>
          <cell r="D463" t="str">
            <v>8888/114</v>
          </cell>
          <cell r="E463" t="str">
            <v xml:space="preserve">KO </v>
          </cell>
          <cell r="F463" t="str">
            <v xml:space="preserve">PLESKACZ                 ELŻBIETA       </v>
          </cell>
          <cell r="G463" t="str">
            <v>U-11</v>
          </cell>
          <cell r="H463" t="str">
            <v>607A</v>
          </cell>
          <cell r="I463" t="str">
            <v>11-58</v>
          </cell>
          <cell r="J463" t="str">
            <v>720</v>
          </cell>
          <cell r="K463" t="str">
            <v>491-01620-8888</v>
          </cell>
          <cell r="L463" t="str">
            <v>500</v>
          </cell>
          <cell r="M463" t="str">
            <v/>
          </cell>
          <cell r="N463" t="str">
            <v>128</v>
          </cell>
        </row>
        <row r="464">
          <cell r="A464" t="str">
            <v>STACJA ROBOCZA</v>
          </cell>
          <cell r="B464" t="str">
            <v>DELL Optiplex GX1L 266</v>
          </cell>
          <cell r="C464" t="str">
            <v>491-3258</v>
          </cell>
          <cell r="D464" t="str">
            <v>NM15K</v>
          </cell>
          <cell r="E464" t="str">
            <v xml:space="preserve">KO </v>
          </cell>
          <cell r="F464" t="str">
            <v xml:space="preserve">CIEPIERSKA               BOŻENNA        </v>
          </cell>
          <cell r="G464" t="str">
            <v>U-12</v>
          </cell>
          <cell r="H464" t="str">
            <v>206</v>
          </cell>
          <cell r="I464" t="str">
            <v>11-57</v>
          </cell>
          <cell r="J464" t="str">
            <v>100</v>
          </cell>
          <cell r="K464" t="str">
            <v>491-03258</v>
          </cell>
          <cell r="L464" t="str">
            <v>266</v>
          </cell>
          <cell r="M464" t="str">
            <v/>
          </cell>
          <cell r="N464" t="str">
            <v>192</v>
          </cell>
        </row>
        <row r="465">
          <cell r="A465" t="str">
            <v>STACJA ROBOCZA</v>
          </cell>
          <cell r="B465" t="str">
            <v>COMPAQ DESKPRO EXD PIII 733</v>
          </cell>
          <cell r="C465" t="str">
            <v>491-4400</v>
          </cell>
          <cell r="D465" t="str">
            <v>8036FR4ZE265</v>
          </cell>
          <cell r="E465" t="str">
            <v xml:space="preserve">KO </v>
          </cell>
          <cell r="F465" t="str">
            <v xml:space="preserve">MIELCZAREK               MARIUSZ        </v>
          </cell>
          <cell r="G465" t="str">
            <v>U-11</v>
          </cell>
          <cell r="H465" t="str">
            <v>507</v>
          </cell>
          <cell r="I465" t="str">
            <v>11-78</v>
          </cell>
          <cell r="J465" t="str">
            <v>9769</v>
          </cell>
          <cell r="K465" t="str">
            <v>491-04400</v>
          </cell>
          <cell r="L465" t="str">
            <v>733</v>
          </cell>
          <cell r="M465" t="str">
            <v/>
          </cell>
          <cell r="N465" t="str">
            <v>127</v>
          </cell>
        </row>
        <row r="466">
          <cell r="A466" t="str">
            <v>STACJA ROBOCZA</v>
          </cell>
          <cell r="B466" t="str">
            <v>KOMPUTER 486DX</v>
          </cell>
          <cell r="C466" t="str">
            <v>491-1620/11306</v>
          </cell>
          <cell r="D466" t="str">
            <v>11306/075</v>
          </cell>
          <cell r="E466" t="str">
            <v xml:space="preserve">KO </v>
          </cell>
          <cell r="F466" t="str">
            <v xml:space="preserve">BLONKA                   CECYLIA        </v>
          </cell>
          <cell r="G466" t="str">
            <v>U-11</v>
          </cell>
          <cell r="H466" t="str">
            <v>608</v>
          </cell>
          <cell r="I466" t="str">
            <v>22-93</v>
          </cell>
          <cell r="J466" t="str">
            <v>42</v>
          </cell>
          <cell r="K466" t="str">
            <v>491-01620-11306</v>
          </cell>
          <cell r="L466" t="str">
            <v>366</v>
          </cell>
          <cell r="M466" t="str">
            <v>OK55M</v>
          </cell>
          <cell r="N466" t="str">
            <v>64</v>
          </cell>
        </row>
        <row r="467">
          <cell r="A467" t="str">
            <v>STACJA ROBOCZA</v>
          </cell>
          <cell r="B467" t="str">
            <v>KOMPUTER PC/AT</v>
          </cell>
          <cell r="C467" t="str">
            <v>491-1620/1669</v>
          </cell>
          <cell r="D467" t="str">
            <v>238001</v>
          </cell>
          <cell r="E467" t="str">
            <v xml:space="preserve">KO </v>
          </cell>
          <cell r="F467" t="str">
            <v xml:space="preserve">ŁAZARCZYK                GRAŻYNA        </v>
          </cell>
          <cell r="G467" t="str">
            <v>U-12</v>
          </cell>
          <cell r="H467" t="str">
            <v>PKZP</v>
          </cell>
          <cell r="I467" t="str">
            <v>14-18</v>
          </cell>
          <cell r="J467" t="str">
            <v>531</v>
          </cell>
          <cell r="K467" t="str">
            <v>491-01620-1669</v>
          </cell>
          <cell r="L467" t="str">
            <v>500</v>
          </cell>
          <cell r="M467" t="str">
            <v>OK51J</v>
          </cell>
          <cell r="N467" t="str">
            <v>64</v>
          </cell>
        </row>
        <row r="468">
          <cell r="A468" t="str">
            <v>STACJA ROBOCZA</v>
          </cell>
          <cell r="B468" t="str">
            <v>DELL Optiplex GX1L 266</v>
          </cell>
          <cell r="C468" t="str">
            <v>491-3386</v>
          </cell>
          <cell r="D468" t="str">
            <v>NM1BG</v>
          </cell>
          <cell r="E468" t="str">
            <v xml:space="preserve">KO </v>
          </cell>
          <cell r="F468" t="str">
            <v xml:space="preserve">PIĄTEK                   ANNA           </v>
          </cell>
          <cell r="G468" t="str">
            <v>U-12</v>
          </cell>
          <cell r="H468" t="str">
            <v>PKZP</v>
          </cell>
          <cell r="I468" t="str">
            <v>14-18</v>
          </cell>
          <cell r="J468" t="str">
            <v>738</v>
          </cell>
          <cell r="K468" t="str">
            <v>491-03386</v>
          </cell>
          <cell r="L468" t="str">
            <v>266</v>
          </cell>
          <cell r="M468" t="str">
            <v/>
          </cell>
          <cell r="N468" t="str">
            <v>64</v>
          </cell>
        </row>
        <row r="469">
          <cell r="A469" t="str">
            <v>STACJA ROBOCZA</v>
          </cell>
          <cell r="B469" t="str">
            <v>DELL Optiplex GX1L 266</v>
          </cell>
          <cell r="C469" t="str">
            <v>491-3221</v>
          </cell>
          <cell r="D469" t="str">
            <v>NM14Z</v>
          </cell>
          <cell r="E469" t="str">
            <v xml:space="preserve">KO </v>
          </cell>
          <cell r="F469" t="str">
            <v xml:space="preserve">CIEPIERSKA               BOŻENNA        </v>
          </cell>
          <cell r="G469" t="str">
            <v>U-12</v>
          </cell>
          <cell r="H469" t="str">
            <v>206</v>
          </cell>
          <cell r="I469" t="str">
            <v>11-57</v>
          </cell>
          <cell r="J469" t="str">
            <v>100</v>
          </cell>
          <cell r="K469" t="str">
            <v>491-03221</v>
          </cell>
          <cell r="L469" t="str">
            <v>266</v>
          </cell>
          <cell r="M469" t="str">
            <v/>
          </cell>
          <cell r="N469" t="str">
            <v>32</v>
          </cell>
        </row>
        <row r="470">
          <cell r="A470" t="str">
            <v>STACJA ROBOCZA</v>
          </cell>
          <cell r="B470" t="str">
            <v>KOMPUTER PC/AT</v>
          </cell>
          <cell r="C470" t="str">
            <v>491-1620/1514</v>
          </cell>
          <cell r="D470" t="str">
            <v>592094</v>
          </cell>
          <cell r="E470" t="str">
            <v xml:space="preserve">KO </v>
          </cell>
          <cell r="F470" t="str">
            <v xml:space="preserve">PASZKOWSKA               ELŻBIETA       </v>
          </cell>
          <cell r="G470" t="str">
            <v>U-12</v>
          </cell>
          <cell r="H470" t="str">
            <v>206</v>
          </cell>
          <cell r="I470" t="str">
            <v>11-57</v>
          </cell>
          <cell r="J470" t="str">
            <v>729</v>
          </cell>
          <cell r="K470" t="str">
            <v>491-01620-1514</v>
          </cell>
          <cell r="L470" t="str">
            <v>500</v>
          </cell>
          <cell r="M470" t="str">
            <v/>
          </cell>
          <cell r="N470" t="str">
            <v>128</v>
          </cell>
        </row>
        <row r="471">
          <cell r="A471" t="str">
            <v>STACJA ROBOCZA</v>
          </cell>
          <cell r="B471" t="str">
            <v>COMPAQ DESKPRO EXD PIII 733</v>
          </cell>
          <cell r="C471" t="str">
            <v>491-4459</v>
          </cell>
          <cell r="D471" t="str">
            <v>8036FR4ZE577</v>
          </cell>
          <cell r="E471" t="str">
            <v xml:space="preserve">KO </v>
          </cell>
          <cell r="F471" t="str">
            <v xml:space="preserve">POSPISZYŁ                HALINA         </v>
          </cell>
          <cell r="G471" t="str">
            <v>U-11</v>
          </cell>
          <cell r="H471" t="str">
            <v>612A</v>
          </cell>
          <cell r="I471" t="str">
            <v>10-58</v>
          </cell>
          <cell r="J471" t="str">
            <v>804</v>
          </cell>
          <cell r="K471" t="str">
            <v>491-04459</v>
          </cell>
          <cell r="L471" t="str">
            <v>733</v>
          </cell>
          <cell r="M471" t="str">
            <v/>
          </cell>
          <cell r="N471" t="str">
            <v>127</v>
          </cell>
        </row>
        <row r="472">
          <cell r="A472" t="str">
            <v>STACJA ROBOCZA</v>
          </cell>
          <cell r="B472" t="str">
            <v>KOMPUTER 486DX</v>
          </cell>
          <cell r="C472" t="str">
            <v>491-1620/8824</v>
          </cell>
          <cell r="D472" t="str">
            <v>8824/114</v>
          </cell>
          <cell r="E472" t="str">
            <v xml:space="preserve">KO </v>
          </cell>
          <cell r="F472" t="str">
            <v xml:space="preserve">ROZPĘDOWSKA              BARBARA        </v>
          </cell>
          <cell r="G472" t="str">
            <v>U-11</v>
          </cell>
          <cell r="H472" t="str">
            <v>607</v>
          </cell>
          <cell r="I472" t="str">
            <v>11-79</v>
          </cell>
          <cell r="J472" t="str">
            <v>823</v>
          </cell>
          <cell r="K472" t="str">
            <v>491-01620-8824</v>
          </cell>
          <cell r="L472" t="str">
            <v>500</v>
          </cell>
          <cell r="M472" t="str">
            <v/>
          </cell>
          <cell r="N472" t="str">
            <v>64</v>
          </cell>
        </row>
        <row r="473">
          <cell r="A473" t="str">
            <v>STACJA ROBOCZA</v>
          </cell>
          <cell r="B473" t="str">
            <v>DELL Optiplex GX150</v>
          </cell>
          <cell r="C473" t="str">
            <v>491-4691</v>
          </cell>
          <cell r="D473" t="str">
            <v>7RRX60J</v>
          </cell>
          <cell r="E473" t="str">
            <v xml:space="preserve">KO </v>
          </cell>
          <cell r="F473" t="str">
            <v xml:space="preserve">PLUTA                    WIESŁAWA       </v>
          </cell>
          <cell r="G473" t="str">
            <v>U-11</v>
          </cell>
          <cell r="H473" t="str">
            <v>606</v>
          </cell>
          <cell r="I473" t="str">
            <v>14-17</v>
          </cell>
          <cell r="J473" t="str">
            <v>757</v>
          </cell>
          <cell r="K473" t="str">
            <v>491-04691</v>
          </cell>
          <cell r="L473" t="str">
            <v>1000</v>
          </cell>
          <cell r="M473" t="str">
            <v/>
          </cell>
          <cell r="N473" t="str">
            <v>255</v>
          </cell>
        </row>
        <row r="474">
          <cell r="A474" t="str">
            <v>STACJA ROBOCZA</v>
          </cell>
          <cell r="B474" t="str">
            <v>COMPAQ DESKPRO EXD PIII 733</v>
          </cell>
          <cell r="C474" t="str">
            <v>491-4265</v>
          </cell>
          <cell r="D474" t="str">
            <v>8036FR4ZE255</v>
          </cell>
          <cell r="E474" t="str">
            <v xml:space="preserve">KO </v>
          </cell>
          <cell r="F474" t="str">
            <v xml:space="preserve">DĄBROWSKA                ELŻBIETA       </v>
          </cell>
          <cell r="G474" t="str">
            <v>U-11</v>
          </cell>
          <cell r="H474" t="str">
            <v>607A</v>
          </cell>
          <cell r="I474" t="str">
            <v>11-58</v>
          </cell>
          <cell r="J474" t="str">
            <v>161</v>
          </cell>
          <cell r="K474" t="str">
            <v>491-04265</v>
          </cell>
          <cell r="L474" t="str">
            <v>733</v>
          </cell>
          <cell r="M474" t="str">
            <v/>
          </cell>
          <cell r="N474" t="str">
            <v>127</v>
          </cell>
        </row>
        <row r="475">
          <cell r="A475" t="str">
            <v>STACJA ROBOCZA</v>
          </cell>
          <cell r="B475" t="str">
            <v>KOMPUTER 486SX</v>
          </cell>
          <cell r="C475" t="str">
            <v>491-1620/8892</v>
          </cell>
          <cell r="D475" t="str">
            <v>8892/114</v>
          </cell>
          <cell r="E475" t="str">
            <v xml:space="preserve">KO </v>
          </cell>
          <cell r="F475" t="str">
            <v xml:space="preserve">WIDAWSKI                 MARIUSZ        </v>
          </cell>
          <cell r="G475" t="str">
            <v>U-11</v>
          </cell>
          <cell r="H475" t="str">
            <v>607A</v>
          </cell>
          <cell r="I475" t="str">
            <v>11-79</v>
          </cell>
          <cell r="J475" t="str">
            <v>9676</v>
          </cell>
          <cell r="K475" t="str">
            <v>491-01620-8892</v>
          </cell>
          <cell r="L475" t="str">
            <v>300</v>
          </cell>
          <cell r="M475" t="str">
            <v/>
          </cell>
          <cell r="N475" t="str">
            <v>64</v>
          </cell>
        </row>
        <row r="476">
          <cell r="A476" t="str">
            <v>STACJA ROBOCZA</v>
          </cell>
          <cell r="B476" t="str">
            <v>KOMPUTER 486SX</v>
          </cell>
          <cell r="C476" t="str">
            <v>491-1620/8886</v>
          </cell>
          <cell r="D476" t="str">
            <v>8886/114</v>
          </cell>
          <cell r="E476" t="str">
            <v xml:space="preserve">KO </v>
          </cell>
          <cell r="F476" t="str">
            <v xml:space="preserve">WATAŁA                   MARIANNA       </v>
          </cell>
          <cell r="G476" t="str">
            <v>U-11</v>
          </cell>
          <cell r="H476" t="str">
            <v>606A</v>
          </cell>
          <cell r="I476" t="str">
            <v>10-58</v>
          </cell>
          <cell r="J476" t="str">
            <v>1066</v>
          </cell>
          <cell r="K476" t="str">
            <v>491-01620-8886</v>
          </cell>
          <cell r="L476" t="str">
            <v>500</v>
          </cell>
          <cell r="M476" t="str">
            <v/>
          </cell>
          <cell r="N476" t="str">
            <v>128</v>
          </cell>
        </row>
        <row r="477">
          <cell r="A477" t="str">
            <v>STACJA ROBOCZA</v>
          </cell>
          <cell r="B477" t="str">
            <v>DELL Optiplex GX150</v>
          </cell>
          <cell r="C477" t="str">
            <v>491-4690</v>
          </cell>
          <cell r="D477" t="str">
            <v>1NRX60J</v>
          </cell>
          <cell r="E477" t="str">
            <v xml:space="preserve">KO </v>
          </cell>
          <cell r="F477" t="str">
            <v xml:space="preserve">GRĘBOSZ                  ZOFIA          </v>
          </cell>
          <cell r="G477" t="str">
            <v>U-11</v>
          </cell>
          <cell r="H477" t="str">
            <v>608</v>
          </cell>
          <cell r="I477" t="str">
            <v>22-93</v>
          </cell>
          <cell r="J477" t="str">
            <v>262</v>
          </cell>
          <cell r="K477" t="str">
            <v>491-04690</v>
          </cell>
          <cell r="L477" t="str">
            <v>1000</v>
          </cell>
          <cell r="M477" t="str">
            <v/>
          </cell>
          <cell r="N477" t="str">
            <v>255</v>
          </cell>
        </row>
        <row r="478">
          <cell r="A478" t="str">
            <v>STACJA ROBOCZA</v>
          </cell>
          <cell r="B478" t="str">
            <v>DELL Optiplex GX1L 266</v>
          </cell>
          <cell r="C478" t="str">
            <v>491-3238</v>
          </cell>
          <cell r="D478" t="str">
            <v>NM19L</v>
          </cell>
          <cell r="E478" t="str">
            <v xml:space="preserve">KP </v>
          </cell>
          <cell r="F478" t="str">
            <v xml:space="preserve">STANIK                   ANNA           </v>
          </cell>
          <cell r="G478" t="str">
            <v>U-11</v>
          </cell>
          <cell r="H478" t="str">
            <v>612</v>
          </cell>
          <cell r="I478" t="str">
            <v>14-16</v>
          </cell>
          <cell r="J478" t="str">
            <v>929</v>
          </cell>
          <cell r="K478" t="str">
            <v>491-03238</v>
          </cell>
          <cell r="L478" t="str">
            <v>266</v>
          </cell>
          <cell r="M478" t="str">
            <v/>
          </cell>
          <cell r="N478" t="str">
            <v>32</v>
          </cell>
        </row>
        <row r="479">
          <cell r="A479" t="str">
            <v>STACJA ROBOCZA</v>
          </cell>
          <cell r="B479" t="str">
            <v>COMPAQ DESKPRO EXD PIII 733</v>
          </cell>
          <cell r="C479" t="str">
            <v>491-4263</v>
          </cell>
          <cell r="D479" t="str">
            <v>8036FR4ZE401</v>
          </cell>
          <cell r="E479" t="str">
            <v xml:space="preserve">KP </v>
          </cell>
          <cell r="F479" t="str">
            <v xml:space="preserve">CZAJKA                   AGNIESZKA      </v>
          </cell>
          <cell r="G479" t="str">
            <v>U-11</v>
          </cell>
          <cell r="H479" t="str">
            <v>612</v>
          </cell>
          <cell r="I479" t="str">
            <v>21-64</v>
          </cell>
          <cell r="J479" t="str">
            <v>9594</v>
          </cell>
          <cell r="K479" t="str">
            <v>491-04263</v>
          </cell>
          <cell r="L479" t="str">
            <v>733</v>
          </cell>
          <cell r="M479" t="str">
            <v/>
          </cell>
          <cell r="N479" t="str">
            <v>127</v>
          </cell>
        </row>
        <row r="480">
          <cell r="A480" t="str">
            <v>STACJA ROBOCZA</v>
          </cell>
          <cell r="B480" t="str">
            <v>COMPAQ DESKPRO EXD PIII 733</v>
          </cell>
          <cell r="C480" t="str">
            <v>491-4384</v>
          </cell>
          <cell r="D480" t="str">
            <v>8036FR4ZE302</v>
          </cell>
          <cell r="E480" t="str">
            <v xml:space="preserve">KP </v>
          </cell>
          <cell r="F480" t="str">
            <v xml:space="preserve">KLEJDYSZ                 ANNA           </v>
          </cell>
          <cell r="G480" t="str">
            <v>U-11</v>
          </cell>
          <cell r="H480" t="str">
            <v>612</v>
          </cell>
          <cell r="I480" t="str">
            <v/>
          </cell>
          <cell r="J480" t="str">
            <v>399</v>
          </cell>
          <cell r="K480" t="str">
            <v>491-04384</v>
          </cell>
          <cell r="L480" t="str">
            <v>733</v>
          </cell>
          <cell r="M480" t="str">
            <v/>
          </cell>
          <cell r="N480" t="str">
            <v>127</v>
          </cell>
        </row>
        <row r="481">
          <cell r="A481" t="str">
            <v>STACJA ROBOCZA</v>
          </cell>
          <cell r="B481" t="str">
            <v>COMPAQ DESKPRO EXD PIII 733</v>
          </cell>
          <cell r="C481" t="str">
            <v>491-4449</v>
          </cell>
          <cell r="D481" t="str">
            <v>8036FR4ZE421</v>
          </cell>
          <cell r="E481" t="str">
            <v xml:space="preserve">KP </v>
          </cell>
          <cell r="F481" t="str">
            <v xml:space="preserve">WIĘCKOWSKA               DANUTA         </v>
          </cell>
          <cell r="G481" t="str">
            <v>U-11</v>
          </cell>
          <cell r="H481" t="str">
            <v>612</v>
          </cell>
          <cell r="I481" t="str">
            <v>14-64</v>
          </cell>
          <cell r="J481" t="str">
            <v>1063</v>
          </cell>
          <cell r="K481" t="str">
            <v>491-04449</v>
          </cell>
          <cell r="L481" t="str">
            <v>733</v>
          </cell>
          <cell r="M481" t="str">
            <v/>
          </cell>
          <cell r="N481" t="str">
            <v>127</v>
          </cell>
        </row>
        <row r="482">
          <cell r="A482" t="str">
            <v>STACJA ROBOCZA</v>
          </cell>
          <cell r="B482" t="str">
            <v>DELL Optiplex GX1L 350</v>
          </cell>
          <cell r="C482" t="str">
            <v>491-3577</v>
          </cell>
          <cell r="D482" t="str">
            <v>PKGPT</v>
          </cell>
          <cell r="E482" t="str">
            <v xml:space="preserve">KZ </v>
          </cell>
          <cell r="F482" t="str">
            <v xml:space="preserve">RASZEWSKA                SABINA         </v>
          </cell>
          <cell r="G482" t="str">
            <v>U-11</v>
          </cell>
          <cell r="H482" t="str">
            <v>513</v>
          </cell>
          <cell r="I482" t="str">
            <v>11-68</v>
          </cell>
          <cell r="J482" t="str">
            <v>813</v>
          </cell>
          <cell r="K482" t="str">
            <v>491-03577</v>
          </cell>
          <cell r="L482" t="str">
            <v>350</v>
          </cell>
          <cell r="M482" t="str">
            <v/>
          </cell>
          <cell r="N482" t="str">
            <v>64</v>
          </cell>
        </row>
        <row r="483">
          <cell r="A483" t="str">
            <v>STACJA ROBOCZA</v>
          </cell>
          <cell r="B483" t="str">
            <v>DELL Optiplex GX1M 350</v>
          </cell>
          <cell r="C483" t="str">
            <v>491-3558</v>
          </cell>
          <cell r="D483" t="str">
            <v>PKGZ9</v>
          </cell>
          <cell r="E483" t="str">
            <v xml:space="preserve">KZ </v>
          </cell>
          <cell r="F483" t="str">
            <v xml:space="preserve">CHMIEL                   MARIA          </v>
          </cell>
          <cell r="G483" t="str">
            <v>U-11</v>
          </cell>
          <cell r="H483" t="str">
            <v>510</v>
          </cell>
          <cell r="I483" t="str">
            <v>11-67</v>
          </cell>
          <cell r="J483" t="str">
            <v>123</v>
          </cell>
          <cell r="K483" t="str">
            <v>491-03558</v>
          </cell>
          <cell r="L483" t="str">
            <v>350</v>
          </cell>
          <cell r="M483" t="str">
            <v/>
          </cell>
          <cell r="N483" t="str">
            <v>64</v>
          </cell>
        </row>
        <row r="484">
          <cell r="A484" t="str">
            <v>STACJA ROBOCZA</v>
          </cell>
          <cell r="B484" t="str">
            <v>DELL Optiplex GX240</v>
          </cell>
          <cell r="C484" t="str">
            <v>491-4911</v>
          </cell>
          <cell r="D484" t="str">
            <v>6YCK90J</v>
          </cell>
          <cell r="E484" t="str">
            <v xml:space="preserve">KZ </v>
          </cell>
          <cell r="F484" t="str">
            <v xml:space="preserve">JANUS                    LEOKADIA       </v>
          </cell>
          <cell r="G484" t="str">
            <v>U-11</v>
          </cell>
          <cell r="H484" t="str">
            <v>510</v>
          </cell>
          <cell r="I484" t="str">
            <v>11-67</v>
          </cell>
          <cell r="J484" t="str">
            <v>305</v>
          </cell>
          <cell r="K484" t="str">
            <v>491-04911</v>
          </cell>
          <cell r="L484" t="str">
            <v>2000</v>
          </cell>
          <cell r="M484" t="str">
            <v/>
          </cell>
          <cell r="N484" t="str">
            <v>255</v>
          </cell>
        </row>
        <row r="485">
          <cell r="A485" t="str">
            <v>STACJA ROBOCZA</v>
          </cell>
          <cell r="B485" t="str">
            <v>DELL Optiplex GX240</v>
          </cell>
          <cell r="C485" t="str">
            <v>491-4917</v>
          </cell>
          <cell r="D485" t="str">
            <v>8TCK90J</v>
          </cell>
          <cell r="E485" t="str">
            <v xml:space="preserve">KZ </v>
          </cell>
          <cell r="F485" t="str">
            <v xml:space="preserve">KRUSZYŃSKA               DANUTA         </v>
          </cell>
          <cell r="G485" t="str">
            <v>U-11</v>
          </cell>
          <cell r="H485" t="str">
            <v>512</v>
          </cell>
          <cell r="I485" t="str">
            <v>15-33</v>
          </cell>
          <cell r="J485" t="str">
            <v>408</v>
          </cell>
          <cell r="K485" t="str">
            <v>491-04917</v>
          </cell>
          <cell r="L485" t="str">
            <v>2000</v>
          </cell>
          <cell r="M485" t="str">
            <v/>
          </cell>
          <cell r="N485" t="str">
            <v>255</v>
          </cell>
        </row>
        <row r="486">
          <cell r="A486" t="str">
            <v>STACJA ROBOCZA</v>
          </cell>
          <cell r="B486" t="str">
            <v>NEC PowerMate VT Destop P III 450</v>
          </cell>
          <cell r="C486" t="str">
            <v>491-4009</v>
          </cell>
          <cell r="D486" t="str">
            <v>0310109</v>
          </cell>
          <cell r="E486" t="str">
            <v xml:space="preserve">KZ </v>
          </cell>
          <cell r="F486" t="str">
            <v xml:space="preserve">MARKIEWICZ               HALINA         </v>
          </cell>
          <cell r="G486" t="str">
            <v>U-11</v>
          </cell>
          <cell r="H486" t="str">
            <v>510</v>
          </cell>
          <cell r="I486" t="str">
            <v>25-33</v>
          </cell>
          <cell r="J486" t="str">
            <v>588</v>
          </cell>
          <cell r="K486" t="str">
            <v>491-04009</v>
          </cell>
          <cell r="L486" t="str">
            <v>450</v>
          </cell>
          <cell r="M486" t="str">
            <v/>
          </cell>
          <cell r="N486" t="str">
            <v>64</v>
          </cell>
        </row>
        <row r="487">
          <cell r="A487" t="str">
            <v>STACJA ROBOCZA</v>
          </cell>
          <cell r="B487" t="str">
            <v>NEC PowerMate VT Destop P III 450</v>
          </cell>
          <cell r="C487" t="str">
            <v>491-4035</v>
          </cell>
          <cell r="D487" t="str">
            <v>0206109</v>
          </cell>
          <cell r="E487" t="str">
            <v xml:space="preserve">KZ </v>
          </cell>
          <cell r="F487" t="str">
            <v xml:space="preserve">KWIECIEŃ                 MARIA          </v>
          </cell>
          <cell r="G487" t="str">
            <v>U-11</v>
          </cell>
          <cell r="H487" t="str">
            <v>511</v>
          </cell>
          <cell r="I487" t="str">
            <v>11-50</v>
          </cell>
          <cell r="J487" t="str">
            <v>383</v>
          </cell>
          <cell r="K487" t="str">
            <v/>
          </cell>
          <cell r="L487" t="str">
            <v>450</v>
          </cell>
          <cell r="M487" t="str">
            <v>OK55M</v>
          </cell>
          <cell r="N487" t="str">
            <v/>
          </cell>
        </row>
        <row r="488">
          <cell r="A488" t="str">
            <v>STACJA ROBOCZA</v>
          </cell>
          <cell r="B488" t="str">
            <v>DELL Optiplex GX1MT 450</v>
          </cell>
          <cell r="C488" t="str">
            <v>491-3622</v>
          </cell>
          <cell r="D488" t="str">
            <v>PF149</v>
          </cell>
          <cell r="E488" t="str">
            <v xml:space="preserve">KZ </v>
          </cell>
          <cell r="F488" t="str">
            <v xml:space="preserve">IGNASIAK                 KRYSTYNA       </v>
          </cell>
          <cell r="G488" t="str">
            <v>U-11</v>
          </cell>
          <cell r="H488" t="str">
            <v>512</v>
          </cell>
          <cell r="I488" t="str">
            <v/>
          </cell>
          <cell r="J488" t="str">
            <v>244</v>
          </cell>
          <cell r="K488" t="str">
            <v>491-03622</v>
          </cell>
          <cell r="L488" t="str">
            <v>450</v>
          </cell>
          <cell r="M488" t="str">
            <v/>
          </cell>
          <cell r="N488" t="str">
            <v>256</v>
          </cell>
        </row>
        <row r="489">
          <cell r="A489" t="str">
            <v>STACJA ROBOCZA</v>
          </cell>
          <cell r="B489" t="str">
            <v>Dell Optiplex GX1M P III 450</v>
          </cell>
          <cell r="C489" t="str">
            <v>491-4871</v>
          </cell>
          <cell r="D489" t="str">
            <v>RBPN2</v>
          </cell>
          <cell r="E489" t="str">
            <v xml:space="preserve">KZ </v>
          </cell>
          <cell r="F489" t="str">
            <v xml:space="preserve">PAPRZYCKA                TERESA         </v>
          </cell>
          <cell r="G489" t="str">
            <v>U-11</v>
          </cell>
          <cell r="H489" t="str">
            <v>513</v>
          </cell>
          <cell r="I489" t="str">
            <v>11-68</v>
          </cell>
          <cell r="J489" t="str">
            <v>735</v>
          </cell>
          <cell r="K489" t="str">
            <v>491-04871</v>
          </cell>
          <cell r="L489" t="str">
            <v>450</v>
          </cell>
          <cell r="M489" t="str">
            <v>OK55M</v>
          </cell>
          <cell r="N489" t="str">
            <v>64</v>
          </cell>
        </row>
        <row r="490">
          <cell r="A490" t="str">
            <v>STACJA ROBOCZA</v>
          </cell>
          <cell r="B490" t="str">
            <v>KOMPUTER 486DX</v>
          </cell>
          <cell r="C490" t="str">
            <v>491-1620/11326</v>
          </cell>
          <cell r="D490" t="str">
            <v>11326/075</v>
          </cell>
          <cell r="E490" t="str">
            <v xml:space="preserve">KZ </v>
          </cell>
          <cell r="F490" t="str">
            <v xml:space="preserve">DĄBROWSKA-KOZŁOWSKA      JANINA         </v>
          </cell>
          <cell r="G490" t="str">
            <v>U-11</v>
          </cell>
          <cell r="H490" t="str">
            <v>513</v>
          </cell>
          <cell r="I490" t="str">
            <v>11-68</v>
          </cell>
          <cell r="J490" t="str">
            <v>166</v>
          </cell>
          <cell r="K490" t="str">
            <v>491-01620-11326</v>
          </cell>
          <cell r="L490" t="str">
            <v>500</v>
          </cell>
          <cell r="M490" t="str">
            <v/>
          </cell>
          <cell r="N490" t="str">
            <v>64</v>
          </cell>
        </row>
        <row r="491">
          <cell r="A491" t="str">
            <v>STACJA ROBOCZA</v>
          </cell>
          <cell r="B491" t="str">
            <v>KOMPUTER PC/AT</v>
          </cell>
          <cell r="C491" t="str">
            <v>491-1620/1676</v>
          </cell>
          <cell r="D491" t="str">
            <v>90074387</v>
          </cell>
          <cell r="E491" t="str">
            <v xml:space="preserve">KZ </v>
          </cell>
          <cell r="F491" t="str">
            <v xml:space="preserve">FIGURA                   ALINA          </v>
          </cell>
          <cell r="G491" t="str">
            <v>U-11</v>
          </cell>
          <cell r="H491" t="str">
            <v>511A</v>
          </cell>
          <cell r="I491" t="str">
            <v/>
          </cell>
          <cell r="J491" t="str">
            <v>195</v>
          </cell>
          <cell r="K491" t="str">
            <v>491-01620-1676</v>
          </cell>
          <cell r="L491" t="str">
            <v>400</v>
          </cell>
          <cell r="M491" t="str">
            <v/>
          </cell>
          <cell r="N491" t="str">
            <v>64</v>
          </cell>
        </row>
        <row r="492">
          <cell r="A492" t="str">
            <v>STACJA ROBOCZA</v>
          </cell>
          <cell r="B492" t="str">
            <v>KOMPUTER PC/AT</v>
          </cell>
          <cell r="C492" t="str">
            <v>491-1620/1690</v>
          </cell>
          <cell r="D492" t="str">
            <v>235843</v>
          </cell>
          <cell r="E492" t="str">
            <v xml:space="preserve">KZ </v>
          </cell>
          <cell r="F492" t="str">
            <v xml:space="preserve">KOSTRZEWSKA              ELŻBIETA       </v>
          </cell>
          <cell r="G492" t="str">
            <v>U-11</v>
          </cell>
          <cell r="H492" t="str">
            <v>511A</v>
          </cell>
          <cell r="I492" t="str">
            <v>19-54</v>
          </cell>
          <cell r="J492" t="str">
            <v>427</v>
          </cell>
          <cell r="K492" t="str">
            <v>491-01620-1690</v>
          </cell>
          <cell r="L492" t="str">
            <v>500</v>
          </cell>
          <cell r="M492" t="str">
            <v/>
          </cell>
          <cell r="N492" t="str">
            <v>128</v>
          </cell>
        </row>
        <row r="493">
          <cell r="A493" t="str">
            <v>STACJA ROBOCZA</v>
          </cell>
          <cell r="B493" t="str">
            <v>NEC PowerMate VT Destop P III 450</v>
          </cell>
          <cell r="C493" t="str">
            <v>491-4019</v>
          </cell>
          <cell r="D493" t="str">
            <v>0196109</v>
          </cell>
          <cell r="E493" t="str">
            <v xml:space="preserve">KZ </v>
          </cell>
          <cell r="F493" t="str">
            <v xml:space="preserve">KULESZA                  JANINA         </v>
          </cell>
          <cell r="G493" t="str">
            <v>U-11</v>
          </cell>
          <cell r="H493" t="str">
            <v>511</v>
          </cell>
          <cell r="I493" t="str">
            <v>11-57</v>
          </cell>
          <cell r="J493" t="str">
            <v>467</v>
          </cell>
          <cell r="K493" t="str">
            <v>491-04019</v>
          </cell>
          <cell r="L493" t="str">
            <v>450</v>
          </cell>
          <cell r="M493" t="str">
            <v/>
          </cell>
          <cell r="N493" t="str">
            <v>64</v>
          </cell>
        </row>
        <row r="494">
          <cell r="A494" t="str">
            <v>STACJA ROBOCZA</v>
          </cell>
          <cell r="B494" t="str">
            <v>DELL Optiplex GX240</v>
          </cell>
          <cell r="C494" t="str">
            <v>491-4918</v>
          </cell>
          <cell r="D494" t="str">
            <v>7TCK90J</v>
          </cell>
          <cell r="E494" t="str">
            <v xml:space="preserve">KZ </v>
          </cell>
          <cell r="F494" t="str">
            <v xml:space="preserve">WROŃSKA                  JOLANTA        </v>
          </cell>
          <cell r="G494" t="str">
            <v>U-11</v>
          </cell>
          <cell r="H494" t="str">
            <v>510A</v>
          </cell>
          <cell r="I494" t="str">
            <v>11-67</v>
          </cell>
          <cell r="J494" t="str">
            <v>1068</v>
          </cell>
          <cell r="K494" t="str">
            <v>491-04918</v>
          </cell>
          <cell r="L494" t="str">
            <v>2000</v>
          </cell>
          <cell r="M494" t="str">
            <v/>
          </cell>
          <cell r="N494" t="str">
            <v>255</v>
          </cell>
        </row>
        <row r="495">
          <cell r="A495" t="str">
            <v>STACJA ROBOCZA</v>
          </cell>
          <cell r="B495" t="str">
            <v>NEC PowerMate VT Destop P III 450</v>
          </cell>
          <cell r="C495" t="str">
            <v>491-4016</v>
          </cell>
          <cell r="D495" t="str">
            <v>0200109</v>
          </cell>
          <cell r="E495" t="str">
            <v xml:space="preserve">KZ </v>
          </cell>
          <cell r="F495" t="str">
            <v xml:space="preserve">KOWALSKA                 MARIA          </v>
          </cell>
          <cell r="G495" t="str">
            <v>U-11</v>
          </cell>
          <cell r="H495" t="str">
            <v>511</v>
          </cell>
          <cell r="I495" t="str">
            <v>11-50</v>
          </cell>
          <cell r="J495" t="str">
            <v>416</v>
          </cell>
          <cell r="K495" t="str">
            <v>WODNIK109</v>
          </cell>
          <cell r="L495" t="str">
            <v>450</v>
          </cell>
          <cell r="M495" t="str">
            <v/>
          </cell>
          <cell r="N495" t="str">
            <v>64</v>
          </cell>
        </row>
        <row r="496">
          <cell r="A496" t="str">
            <v>STACJA ROBOCZA</v>
          </cell>
          <cell r="B496" t="str">
            <v>PENTIUM AMD K5 P90</v>
          </cell>
          <cell r="C496" t="str">
            <v>491-2690</v>
          </cell>
          <cell r="D496" t="str">
            <v>303298</v>
          </cell>
          <cell r="E496" t="str">
            <v xml:space="preserve">KZ </v>
          </cell>
          <cell r="F496" t="str">
            <v xml:space="preserve">KAUC                     WANDA          </v>
          </cell>
          <cell r="G496" t="str">
            <v>U-11</v>
          </cell>
          <cell r="H496" t="str">
            <v>512</v>
          </cell>
          <cell r="I496" t="str">
            <v>15-33</v>
          </cell>
          <cell r="J496" t="str">
            <v>56</v>
          </cell>
          <cell r="K496" t="str">
            <v>491-02690</v>
          </cell>
          <cell r="L496" t="str">
            <v>366</v>
          </cell>
          <cell r="M496" t="str">
            <v/>
          </cell>
          <cell r="N496" t="str">
            <v>64</v>
          </cell>
        </row>
        <row r="497">
          <cell r="A497" t="str">
            <v>STACJA ROBOCZA</v>
          </cell>
          <cell r="B497" t="str">
            <v>DELL Optiplex GX1L 266</v>
          </cell>
          <cell r="C497" t="str">
            <v>491-3240</v>
          </cell>
          <cell r="D497" t="str">
            <v>NM19N</v>
          </cell>
          <cell r="E497" t="str">
            <v xml:space="preserve">KZ </v>
          </cell>
          <cell r="F497" t="str">
            <v xml:space="preserve">SIEWIERSKA               ANNA           </v>
          </cell>
          <cell r="G497" t="str">
            <v>U-11</v>
          </cell>
          <cell r="H497" t="str">
            <v>511A</v>
          </cell>
          <cell r="I497" t="str">
            <v>19-54</v>
          </cell>
          <cell r="J497" t="str">
            <v>891</v>
          </cell>
          <cell r="K497" t="str">
            <v>491-03240</v>
          </cell>
          <cell r="L497" t="str">
            <v>266</v>
          </cell>
          <cell r="M497" t="str">
            <v/>
          </cell>
          <cell r="N497" t="str">
            <v>128</v>
          </cell>
        </row>
        <row r="498">
          <cell r="A498" t="str">
            <v>STACJA ROBOCZA</v>
          </cell>
          <cell r="B498" t="str">
            <v>DELL Optiplex GX1L 350</v>
          </cell>
          <cell r="C498" t="str">
            <v>491-3542</v>
          </cell>
          <cell r="D498" t="str">
            <v>PDZBC</v>
          </cell>
          <cell r="E498" t="str">
            <v xml:space="preserve">KZ </v>
          </cell>
          <cell r="F498" t="str">
            <v xml:space="preserve">WOLNA                    DANIELA        </v>
          </cell>
          <cell r="G498" t="str">
            <v>U-11</v>
          </cell>
          <cell r="H498" t="str">
            <v>514</v>
          </cell>
          <cell r="I498" t="str">
            <v>11-50</v>
          </cell>
          <cell r="J498" t="str">
            <v>1040</v>
          </cell>
          <cell r="K498" t="str">
            <v>491-03542</v>
          </cell>
          <cell r="L498" t="str">
            <v>350</v>
          </cell>
          <cell r="M498" t="str">
            <v/>
          </cell>
          <cell r="N498" t="str">
            <v>64</v>
          </cell>
        </row>
        <row r="499">
          <cell r="A499" t="str">
            <v>STACJA ROBOCZA</v>
          </cell>
          <cell r="B499" t="str">
            <v>DELL Optiplex GX1M P II 450</v>
          </cell>
          <cell r="C499" t="str">
            <v>491-3656</v>
          </cell>
          <cell r="D499" t="str">
            <v>QDXV1</v>
          </cell>
          <cell r="E499" t="str">
            <v xml:space="preserve">MD </v>
          </cell>
          <cell r="F499" t="str">
            <v xml:space="preserve">TERKIEWICZ               ZBIGNIEW       </v>
          </cell>
          <cell r="G499" t="str">
            <v>U-12</v>
          </cell>
          <cell r="H499" t="str">
            <v>402</v>
          </cell>
          <cell r="I499" t="str">
            <v>11-30</v>
          </cell>
          <cell r="J499" t="str">
            <v>1018</v>
          </cell>
          <cell r="K499" t="str">
            <v>491-03656</v>
          </cell>
          <cell r="L499" t="str">
            <v>450</v>
          </cell>
          <cell r="M499" t="str">
            <v/>
          </cell>
          <cell r="N499" t="str">
            <v>64</v>
          </cell>
        </row>
        <row r="500">
          <cell r="A500" t="str">
            <v>STACJA ROBOCZA</v>
          </cell>
          <cell r="B500" t="str">
            <v>COMPAQ DESKPRO EXD PIII 733</v>
          </cell>
          <cell r="C500" t="str">
            <v>491-4315</v>
          </cell>
          <cell r="D500" t="str">
            <v>8036FR4ZE390</v>
          </cell>
          <cell r="E500" t="str">
            <v xml:space="preserve">MD </v>
          </cell>
          <cell r="F500" t="str">
            <v xml:space="preserve">PIASECKI                 KRZYSZTOF      </v>
          </cell>
          <cell r="G500" t="str">
            <v>U-12</v>
          </cell>
          <cell r="H500" t="str">
            <v>401</v>
          </cell>
          <cell r="I500" t="str">
            <v>10-56</v>
          </cell>
          <cell r="J500" t="str">
            <v>718</v>
          </cell>
          <cell r="K500" t="str">
            <v>491-04315</v>
          </cell>
          <cell r="L500" t="str">
            <v>733</v>
          </cell>
          <cell r="M500" t="str">
            <v/>
          </cell>
          <cell r="N500" t="str">
            <v>127</v>
          </cell>
        </row>
        <row r="501">
          <cell r="A501" t="str">
            <v>STACJA ROBOCZA</v>
          </cell>
          <cell r="B501" t="str">
            <v>COMPAQ DESKPRO EXD PIII 733</v>
          </cell>
          <cell r="C501" t="str">
            <v>491-4393</v>
          </cell>
          <cell r="D501" t="str">
            <v>8036FR4ZE231</v>
          </cell>
          <cell r="E501" t="str">
            <v xml:space="preserve">MD </v>
          </cell>
          <cell r="F501" t="str">
            <v xml:space="preserve">WOJCIECHOWSKA            BOGUSŁAWA      </v>
          </cell>
          <cell r="G501" t="str">
            <v>U-12</v>
          </cell>
          <cell r="H501" t="str">
            <v>211</v>
          </cell>
          <cell r="I501" t="str">
            <v>15-16</v>
          </cell>
          <cell r="J501" t="str">
            <v>1084</v>
          </cell>
          <cell r="K501" t="str">
            <v>491-04393</v>
          </cell>
          <cell r="L501" t="str">
            <v>733</v>
          </cell>
          <cell r="M501" t="str">
            <v>OK51J</v>
          </cell>
          <cell r="N501" t="str">
            <v>127</v>
          </cell>
        </row>
        <row r="502">
          <cell r="A502" t="str">
            <v>STACJA ROBOCZA</v>
          </cell>
          <cell r="B502" t="str">
            <v>KOMPUTER 386SX</v>
          </cell>
          <cell r="C502" t="str">
            <v>491-1784</v>
          </cell>
          <cell r="D502" t="str">
            <v>019029/1675</v>
          </cell>
          <cell r="E502" t="str">
            <v xml:space="preserve">MD </v>
          </cell>
          <cell r="F502" t="str">
            <v xml:space="preserve">SUDOLSKA                 ANNA           </v>
          </cell>
          <cell r="G502" t="str">
            <v>U-12</v>
          </cell>
          <cell r="H502" t="str">
            <v>400</v>
          </cell>
          <cell r="I502" t="str">
            <v>34-35</v>
          </cell>
          <cell r="J502" t="str">
            <v>862</v>
          </cell>
          <cell r="K502" t="str">
            <v>491-01784</v>
          </cell>
          <cell r="L502" t="str">
            <v>366</v>
          </cell>
          <cell r="M502" t="str">
            <v/>
          </cell>
          <cell r="N502" t="str">
            <v>64</v>
          </cell>
        </row>
        <row r="503">
          <cell r="A503" t="str">
            <v>STACJA ROBOCZA</v>
          </cell>
          <cell r="B503" t="str">
            <v>DELL Optiplex GX150</v>
          </cell>
          <cell r="C503" t="str">
            <v>491-4692</v>
          </cell>
          <cell r="D503" t="str">
            <v>GMVX60J</v>
          </cell>
          <cell r="E503" t="str">
            <v xml:space="preserve">MD </v>
          </cell>
          <cell r="F503" t="str">
            <v xml:space="preserve">TERKIEWICZ               ZBIGNIEW       </v>
          </cell>
          <cell r="G503" t="str">
            <v>U-12</v>
          </cell>
          <cell r="H503" t="str">
            <v>402</v>
          </cell>
          <cell r="I503" t="str">
            <v>11-30</v>
          </cell>
          <cell r="J503" t="str">
            <v>1018</v>
          </cell>
          <cell r="K503" t="str">
            <v>491-04692</v>
          </cell>
          <cell r="L503" t="str">
            <v>1000</v>
          </cell>
          <cell r="M503" t="str">
            <v/>
          </cell>
          <cell r="N503" t="str">
            <v>255</v>
          </cell>
        </row>
        <row r="504">
          <cell r="A504" t="str">
            <v>STACJA ROBOCZA</v>
          </cell>
          <cell r="B504" t="str">
            <v>NEC PowerMate VT Destop P III 450</v>
          </cell>
          <cell r="C504" t="str">
            <v>491-3928</v>
          </cell>
          <cell r="D504" t="str">
            <v>0299109</v>
          </cell>
          <cell r="E504" t="str">
            <v xml:space="preserve">MD </v>
          </cell>
          <cell r="F504" t="str">
            <v xml:space="preserve">BURAKOWSKA               ELŻBIETA       </v>
          </cell>
          <cell r="G504" t="str">
            <v>U-12</v>
          </cell>
          <cell r="H504" t="str">
            <v>211</v>
          </cell>
          <cell r="I504" t="str">
            <v>18-37</v>
          </cell>
          <cell r="J504" t="str">
            <v>22</v>
          </cell>
          <cell r="K504" t="str">
            <v>491-03928</v>
          </cell>
          <cell r="L504" t="str">
            <v>450</v>
          </cell>
          <cell r="M504" t="str">
            <v/>
          </cell>
          <cell r="N504" t="str">
            <v>64</v>
          </cell>
        </row>
        <row r="505">
          <cell r="A505" t="str">
            <v>STACJA ROBOCZA</v>
          </cell>
          <cell r="B505" t="str">
            <v>COMPAQ DESKPRO EXD PIII 733</v>
          </cell>
          <cell r="C505" t="str">
            <v>491-4410</v>
          </cell>
          <cell r="D505" t="str">
            <v>8037FR4Z2727</v>
          </cell>
          <cell r="E505" t="str">
            <v xml:space="preserve">MD </v>
          </cell>
          <cell r="F505" t="str">
            <v xml:space="preserve">JAŚKIEWICZ               BARBARA        </v>
          </cell>
          <cell r="G505" t="str">
            <v>U-12</v>
          </cell>
          <cell r="H505" t="str">
            <v>401</v>
          </cell>
          <cell r="I505" t="str">
            <v>10-56</v>
          </cell>
          <cell r="J505" t="str">
            <v>119</v>
          </cell>
          <cell r="K505" t="str">
            <v>491-04410</v>
          </cell>
          <cell r="L505" t="str">
            <v>733</v>
          </cell>
          <cell r="M505" t="str">
            <v/>
          </cell>
          <cell r="N505" t="str">
            <v>127</v>
          </cell>
        </row>
        <row r="506">
          <cell r="A506" t="str">
            <v>STACJA ROBOCZA</v>
          </cell>
          <cell r="B506" t="str">
            <v>DELL Optiplex GX150</v>
          </cell>
          <cell r="C506" t="str">
            <v>491-4693</v>
          </cell>
          <cell r="D506" t="str">
            <v>3PVX60J</v>
          </cell>
          <cell r="E506" t="str">
            <v xml:space="preserve">MD </v>
          </cell>
          <cell r="F506" t="str">
            <v xml:space="preserve">SZCZEPANIAK              JAN            </v>
          </cell>
          <cell r="G506" t="str">
            <v>U-12</v>
          </cell>
          <cell r="H506" t="str">
            <v>212</v>
          </cell>
          <cell r="I506" t="str">
            <v>19-15</v>
          </cell>
          <cell r="J506" t="str">
            <v>943</v>
          </cell>
          <cell r="K506" t="str">
            <v>491-04693</v>
          </cell>
          <cell r="L506" t="str">
            <v>1000</v>
          </cell>
          <cell r="M506" t="str">
            <v/>
          </cell>
          <cell r="N506" t="str">
            <v>255</v>
          </cell>
        </row>
        <row r="507">
          <cell r="A507" t="str">
            <v>STACJA ROBOCZA</v>
          </cell>
          <cell r="B507" t="str">
            <v>COMPAQ DESKPRO EXD PIII 733</v>
          </cell>
          <cell r="C507" t="str">
            <v>491-4318</v>
          </cell>
          <cell r="D507" t="str">
            <v>8036FR4Z6711</v>
          </cell>
          <cell r="E507" t="str">
            <v xml:space="preserve">MD </v>
          </cell>
          <cell r="F507" t="str">
            <v xml:space="preserve">KĘPA                     EWA            </v>
          </cell>
          <cell r="G507" t="str">
            <v>U-12</v>
          </cell>
          <cell r="H507" t="str">
            <v>212</v>
          </cell>
          <cell r="I507" t="str">
            <v>19-12</v>
          </cell>
          <cell r="J507" t="str">
            <v>951</v>
          </cell>
          <cell r="K507" t="str">
            <v/>
          </cell>
          <cell r="L507" t="str">
            <v>733</v>
          </cell>
          <cell r="M507" t="str">
            <v>OK56M</v>
          </cell>
          <cell r="N507" t="str">
            <v/>
          </cell>
        </row>
        <row r="508">
          <cell r="A508" t="str">
            <v>STACJA ROBOCZA</v>
          </cell>
          <cell r="B508" t="str">
            <v>NEC PowerMate VT Destop P III 450</v>
          </cell>
          <cell r="C508" t="str">
            <v>491-3898</v>
          </cell>
          <cell r="D508" t="str">
            <v>0272109</v>
          </cell>
          <cell r="E508" t="str">
            <v xml:space="preserve">MD </v>
          </cell>
          <cell r="F508" t="str">
            <v xml:space="preserve">CYWIŃSKA                 DOROTA         </v>
          </cell>
          <cell r="G508" t="str">
            <v>U-12</v>
          </cell>
          <cell r="H508" t="str">
            <v>211</v>
          </cell>
          <cell r="I508" t="str">
            <v>18-37</v>
          </cell>
          <cell r="J508" t="str">
            <v>128</v>
          </cell>
          <cell r="K508" t="str">
            <v>491-03898</v>
          </cell>
          <cell r="L508" t="str">
            <v>450</v>
          </cell>
          <cell r="M508" t="str">
            <v/>
          </cell>
          <cell r="N508" t="str">
            <v>64</v>
          </cell>
        </row>
        <row r="509">
          <cell r="A509" t="str">
            <v>STACJA ROBOCZA</v>
          </cell>
          <cell r="B509" t="str">
            <v>NEC PowerMate VT Destop P III 450</v>
          </cell>
          <cell r="C509" t="str">
            <v>491-4053</v>
          </cell>
          <cell r="D509" t="str">
            <v>0279109</v>
          </cell>
          <cell r="E509" t="str">
            <v xml:space="preserve">MD </v>
          </cell>
          <cell r="F509" t="str">
            <v xml:space="preserve">KĘPA                     EWA            </v>
          </cell>
          <cell r="G509" t="str">
            <v>U-12</v>
          </cell>
          <cell r="H509" t="str">
            <v>212</v>
          </cell>
          <cell r="I509" t="str">
            <v>19-12</v>
          </cell>
          <cell r="J509" t="str">
            <v>951</v>
          </cell>
          <cell r="K509" t="str">
            <v>491-04053</v>
          </cell>
          <cell r="L509" t="str">
            <v>450</v>
          </cell>
          <cell r="M509" t="str">
            <v/>
          </cell>
          <cell r="N509" t="str">
            <v>64</v>
          </cell>
        </row>
        <row r="510">
          <cell r="A510" t="str">
            <v>STACJA ROBOCZA</v>
          </cell>
          <cell r="B510" t="str">
            <v>DELL Optiplex GX150</v>
          </cell>
          <cell r="C510" t="str">
            <v>491-4697</v>
          </cell>
          <cell r="D510" t="str">
            <v>9KVX60J</v>
          </cell>
          <cell r="E510" t="str">
            <v xml:space="preserve">MI </v>
          </cell>
          <cell r="F510" t="str">
            <v xml:space="preserve">ROSIŃSKA-SIUDY           ALINA          </v>
          </cell>
          <cell r="G510" t="str">
            <v>U-72</v>
          </cell>
          <cell r="H510" t="str">
            <v>3</v>
          </cell>
          <cell r="I510" t="str">
            <v>19-55</v>
          </cell>
          <cell r="J510" t="str">
            <v>820</v>
          </cell>
          <cell r="K510" t="str">
            <v>491-04697</v>
          </cell>
          <cell r="L510" t="str">
            <v>1000</v>
          </cell>
          <cell r="M510" t="str">
            <v/>
          </cell>
          <cell r="N510" t="str">
            <v>255</v>
          </cell>
        </row>
        <row r="511">
          <cell r="A511" t="str">
            <v>STACJA ROBOCZA</v>
          </cell>
          <cell r="B511" t="str">
            <v>DELL Optiplex GX1L 266</v>
          </cell>
          <cell r="C511" t="str">
            <v>491-3297</v>
          </cell>
          <cell r="D511" t="str">
            <v>NM18V</v>
          </cell>
          <cell r="E511" t="str">
            <v xml:space="preserve">MI </v>
          </cell>
          <cell r="F511" t="str">
            <v xml:space="preserve">PETRUS                   ALEKSANDRA     </v>
          </cell>
          <cell r="G511" t="str">
            <v>U-72</v>
          </cell>
          <cell r="H511" t="str">
            <v>4</v>
          </cell>
          <cell r="I511" t="str">
            <v>19-47</v>
          </cell>
          <cell r="J511" t="str">
            <v>707</v>
          </cell>
          <cell r="K511" t="str">
            <v>491-03297</v>
          </cell>
          <cell r="L511" t="str">
            <v>266</v>
          </cell>
          <cell r="M511" t="str">
            <v/>
          </cell>
          <cell r="N511" t="str">
            <v>32</v>
          </cell>
        </row>
        <row r="512">
          <cell r="A512" t="str">
            <v>STACJA ROBOCZA</v>
          </cell>
          <cell r="B512" t="str">
            <v>NEC PowerMate VT Destop P III 450</v>
          </cell>
          <cell r="C512" t="str">
            <v>491-3892</v>
          </cell>
          <cell r="D512" t="str">
            <v>0264109</v>
          </cell>
          <cell r="E512" t="str">
            <v xml:space="preserve">MI </v>
          </cell>
          <cell r="F512" t="str">
            <v xml:space="preserve">SITEK                    KRYSTYNA       </v>
          </cell>
          <cell r="G512" t="str">
            <v>U-72</v>
          </cell>
          <cell r="H512" t="str">
            <v>5</v>
          </cell>
          <cell r="I512" t="str">
            <v>19-81</v>
          </cell>
          <cell r="J512" t="str">
            <v>934</v>
          </cell>
          <cell r="K512" t="str">
            <v>491-03892</v>
          </cell>
          <cell r="L512" t="str">
            <v>450</v>
          </cell>
          <cell r="M512" t="str">
            <v/>
          </cell>
          <cell r="N512" t="str">
            <v>64</v>
          </cell>
        </row>
        <row r="513">
          <cell r="A513" t="str">
            <v>STACJA ROBOCZA</v>
          </cell>
          <cell r="B513" t="str">
            <v>KOMPUTER PC/AT</v>
          </cell>
          <cell r="C513" t="str">
            <v>491-1620/1704</v>
          </cell>
          <cell r="D513" t="str">
            <v>238107</v>
          </cell>
          <cell r="E513" t="str">
            <v xml:space="preserve">MI </v>
          </cell>
          <cell r="F513" t="str">
            <v xml:space="preserve">LIGĘZA                   JACEK          </v>
          </cell>
          <cell r="G513" t="str">
            <v>U-72</v>
          </cell>
          <cell r="H513" t="str">
            <v>14</v>
          </cell>
          <cell r="I513" t="str">
            <v>10-67</v>
          </cell>
          <cell r="J513" t="str">
            <v>8951</v>
          </cell>
          <cell r="K513" t="str">
            <v>491-01620-1704</v>
          </cell>
          <cell r="L513" t="str">
            <v>500</v>
          </cell>
          <cell r="M513" t="str">
            <v>OK54J</v>
          </cell>
          <cell r="N513" t="str">
            <v>64</v>
          </cell>
        </row>
        <row r="514">
          <cell r="A514" t="str">
            <v>STACJA ROBOCZA</v>
          </cell>
          <cell r="B514" t="str">
            <v>DELL Optiplex GX150</v>
          </cell>
          <cell r="C514" t="str">
            <v>491-4695</v>
          </cell>
          <cell r="D514" t="str">
            <v>GNVX60J</v>
          </cell>
          <cell r="E514" t="str">
            <v xml:space="preserve">MI </v>
          </cell>
          <cell r="F514" t="str">
            <v xml:space="preserve">KAMYK                    HENRYK         </v>
          </cell>
          <cell r="G514" t="str">
            <v>U-72</v>
          </cell>
          <cell r="H514" t="str">
            <v>9</v>
          </cell>
          <cell r="I514" t="str">
            <v>19-33</v>
          </cell>
          <cell r="J514" t="str">
            <v>377</v>
          </cell>
          <cell r="K514" t="str">
            <v>491-04695</v>
          </cell>
          <cell r="L514" t="str">
            <v>1000</v>
          </cell>
          <cell r="M514" t="str">
            <v/>
          </cell>
          <cell r="N514" t="str">
            <v>255</v>
          </cell>
        </row>
        <row r="515">
          <cell r="A515" t="str">
            <v>STACJA ROBOCZA</v>
          </cell>
          <cell r="B515" t="str">
            <v>DELL Optiplex GX1L 266</v>
          </cell>
          <cell r="C515" t="str">
            <v>491-3255</v>
          </cell>
          <cell r="D515" t="str">
            <v>NM16S</v>
          </cell>
          <cell r="E515" t="str">
            <v xml:space="preserve">MI </v>
          </cell>
          <cell r="F515" t="str">
            <v xml:space="preserve">TYLKOWSKI                HENRYK         </v>
          </cell>
          <cell r="G515" t="str">
            <v>U-72</v>
          </cell>
          <cell r="H515" t="str">
            <v>14</v>
          </cell>
          <cell r="I515" t="str">
            <v>19-76</v>
          </cell>
          <cell r="J515" t="str">
            <v>1009</v>
          </cell>
          <cell r="K515" t="str">
            <v>491-03255</v>
          </cell>
          <cell r="L515" t="str">
            <v>266</v>
          </cell>
          <cell r="M515" t="str">
            <v/>
          </cell>
          <cell r="N515" t="str">
            <v>32</v>
          </cell>
        </row>
        <row r="516">
          <cell r="A516" t="str">
            <v>STACJA ROBOCZA</v>
          </cell>
          <cell r="B516" t="str">
            <v>COMPAQ DESKPRO EXD PIII 733</v>
          </cell>
          <cell r="C516" t="str">
            <v>491-4510</v>
          </cell>
          <cell r="D516" t="str">
            <v>8036FR4ZE266</v>
          </cell>
          <cell r="E516" t="str">
            <v xml:space="preserve">MI </v>
          </cell>
          <cell r="F516" t="str">
            <v xml:space="preserve">ZARZECZNA                MAGDALENA      </v>
          </cell>
          <cell r="G516" t="str">
            <v>U-72</v>
          </cell>
          <cell r="H516" t="str">
            <v>8</v>
          </cell>
          <cell r="I516" t="str">
            <v>19-51</v>
          </cell>
          <cell r="J516" t="str">
            <v>1118</v>
          </cell>
          <cell r="K516" t="str">
            <v>491-04510</v>
          </cell>
          <cell r="L516" t="str">
            <v>733</v>
          </cell>
          <cell r="M516" t="str">
            <v/>
          </cell>
          <cell r="N516" t="str">
            <v>127</v>
          </cell>
        </row>
        <row r="517">
          <cell r="A517" t="str">
            <v>STACJA ROBOCZA</v>
          </cell>
          <cell r="B517" t="str">
            <v>DELL Optiplex GX260 SD</v>
          </cell>
          <cell r="C517" t="str">
            <v>491-5102</v>
          </cell>
          <cell r="D517" t="str">
            <v>BJYGL0J</v>
          </cell>
          <cell r="E517" t="str">
            <v xml:space="preserve">MI </v>
          </cell>
          <cell r="F517" t="str">
            <v xml:space="preserve">HĘCIA                    ANDRZEJ        </v>
          </cell>
          <cell r="G517" t="str">
            <v>U-72</v>
          </cell>
          <cell r="H517" t="str">
            <v>4</v>
          </cell>
          <cell r="I517" t="str">
            <v>19-63</v>
          </cell>
          <cell r="J517" t="str">
            <v>283</v>
          </cell>
          <cell r="K517" t="str">
            <v>491-05102</v>
          </cell>
          <cell r="L517" t="str">
            <v>2400</v>
          </cell>
          <cell r="M517" t="str">
            <v/>
          </cell>
          <cell r="N517" t="str">
            <v>254</v>
          </cell>
        </row>
        <row r="518">
          <cell r="A518" t="str">
            <v>STACJA ROBOCZA</v>
          </cell>
          <cell r="B518" t="str">
            <v>DELL Optiplex GX1L 266</v>
          </cell>
          <cell r="C518" t="str">
            <v>491-3247</v>
          </cell>
          <cell r="D518" t="str">
            <v>NM19Y</v>
          </cell>
          <cell r="E518" t="str">
            <v xml:space="preserve">MI </v>
          </cell>
          <cell r="F518" t="str">
            <v xml:space="preserve">TETERWAK                 JOLANTA        </v>
          </cell>
          <cell r="G518" t="str">
            <v>U-72</v>
          </cell>
          <cell r="H518" t="str">
            <v>117</v>
          </cell>
          <cell r="I518" t="str">
            <v/>
          </cell>
          <cell r="J518" t="str">
            <v>926</v>
          </cell>
          <cell r="K518" t="str">
            <v>491-03247</v>
          </cell>
          <cell r="L518" t="str">
            <v>266</v>
          </cell>
          <cell r="M518" t="str">
            <v/>
          </cell>
          <cell r="N518" t="str">
            <v>32</v>
          </cell>
        </row>
        <row r="519">
          <cell r="A519" t="str">
            <v>STACJA ROBOCZA</v>
          </cell>
          <cell r="B519" t="str">
            <v>COMPAQ DESKPRO EXD PIII 733</v>
          </cell>
          <cell r="C519" t="str">
            <v>491-4474</v>
          </cell>
          <cell r="D519" t="str">
            <v>8036FR4ZE226</v>
          </cell>
          <cell r="E519" t="str">
            <v xml:space="preserve">MI </v>
          </cell>
          <cell r="F519" t="str">
            <v xml:space="preserve">CIECHOWSKA               JOLANTA        </v>
          </cell>
          <cell r="G519" t="str">
            <v>U-72</v>
          </cell>
          <cell r="H519" t="str">
            <v>9</v>
          </cell>
          <cell r="I519" t="str">
            <v>19-40</v>
          </cell>
          <cell r="J519" t="str">
            <v>99</v>
          </cell>
          <cell r="K519" t="str">
            <v>491-04474</v>
          </cell>
          <cell r="L519" t="str">
            <v>733</v>
          </cell>
          <cell r="M519" t="str">
            <v/>
          </cell>
          <cell r="N519" t="str">
            <v>127</v>
          </cell>
        </row>
        <row r="520">
          <cell r="A520" t="str">
            <v>STACJA ROBOCZA</v>
          </cell>
          <cell r="B520" t="str">
            <v>COMPAQ DESKPRO EXD PIII 733</v>
          </cell>
          <cell r="C520" t="str">
            <v>491-4414</v>
          </cell>
          <cell r="D520" t="str">
            <v>8036FR4ZE546</v>
          </cell>
          <cell r="E520" t="str">
            <v xml:space="preserve">MI </v>
          </cell>
          <cell r="F520" t="str">
            <v xml:space="preserve">BAREŁA                   ZBIGNIEW       </v>
          </cell>
          <cell r="G520" t="str">
            <v>U-72</v>
          </cell>
          <cell r="H520" t="str">
            <v>120</v>
          </cell>
          <cell r="I520" t="str">
            <v>19-60</v>
          </cell>
          <cell r="J520" t="str">
            <v>44</v>
          </cell>
          <cell r="K520" t="str">
            <v>491-04414</v>
          </cell>
          <cell r="L520" t="str">
            <v>733</v>
          </cell>
          <cell r="M520" t="str">
            <v/>
          </cell>
          <cell r="N520" t="str">
            <v>127</v>
          </cell>
        </row>
        <row r="521">
          <cell r="A521" t="str">
            <v>STACJA ROBOCZA</v>
          </cell>
          <cell r="B521" t="str">
            <v>DELL Optiplex GX150</v>
          </cell>
          <cell r="C521" t="str">
            <v>491-4699</v>
          </cell>
          <cell r="D521" t="str">
            <v>FKVX60J</v>
          </cell>
          <cell r="E521" t="str">
            <v xml:space="preserve">MI </v>
          </cell>
          <cell r="F521" t="str">
            <v xml:space="preserve">LENKIEWICZ               TADEUSZ        </v>
          </cell>
          <cell r="G521" t="str">
            <v>U-72</v>
          </cell>
          <cell r="H521" t="str">
            <v>7</v>
          </cell>
          <cell r="I521" t="str">
            <v>19-59</v>
          </cell>
          <cell r="J521" t="str">
            <v>513</v>
          </cell>
          <cell r="K521" t="str">
            <v>491-04699</v>
          </cell>
          <cell r="L521" t="str">
            <v>1000</v>
          </cell>
          <cell r="M521" t="str">
            <v/>
          </cell>
          <cell r="N521" t="str">
            <v>255</v>
          </cell>
        </row>
        <row r="522">
          <cell r="A522" t="str">
            <v>STACJA ROBOCZA</v>
          </cell>
          <cell r="B522" t="str">
            <v>DELL Optiplex GX150</v>
          </cell>
          <cell r="C522" t="str">
            <v>491-4694</v>
          </cell>
          <cell r="D522" t="str">
            <v>J0WX60J</v>
          </cell>
          <cell r="E522" t="str">
            <v xml:space="preserve">MI </v>
          </cell>
          <cell r="F522" t="str">
            <v xml:space="preserve">PIETRZYK                 WŁODZIMIERZ    </v>
          </cell>
          <cell r="G522" t="str">
            <v>U-72</v>
          </cell>
          <cell r="H522" t="str">
            <v>110</v>
          </cell>
          <cell r="I522" t="str">
            <v>19-74</v>
          </cell>
          <cell r="J522" t="str">
            <v>756</v>
          </cell>
          <cell r="K522" t="str">
            <v>491-04694</v>
          </cell>
          <cell r="L522" t="str">
            <v>1000</v>
          </cell>
          <cell r="M522" t="str">
            <v/>
          </cell>
          <cell r="N522" t="str">
            <v>255</v>
          </cell>
        </row>
        <row r="523">
          <cell r="A523" t="str">
            <v>STACJA ROBOCZA</v>
          </cell>
          <cell r="B523" t="str">
            <v>DELL Optiplex GX150</v>
          </cell>
          <cell r="C523" t="str">
            <v>491-4698</v>
          </cell>
          <cell r="D523" t="str">
            <v>DNVX60J</v>
          </cell>
          <cell r="E523" t="str">
            <v xml:space="preserve">MI </v>
          </cell>
          <cell r="F523" t="str">
            <v xml:space="preserve">WOLSKI                   TOMASZ         </v>
          </cell>
          <cell r="G523" t="str">
            <v>U-72</v>
          </cell>
          <cell r="H523" t="str">
            <v>3</v>
          </cell>
          <cell r="I523" t="str">
            <v>18-48</v>
          </cell>
          <cell r="J523" t="str">
            <v>1102</v>
          </cell>
          <cell r="K523" t="str">
            <v>491-04698</v>
          </cell>
          <cell r="L523" t="str">
            <v>1000</v>
          </cell>
          <cell r="M523" t="str">
            <v/>
          </cell>
          <cell r="N523" t="str">
            <v>255</v>
          </cell>
        </row>
        <row r="524">
          <cell r="A524" t="str">
            <v>STACJA ROBOCZA</v>
          </cell>
          <cell r="B524" t="str">
            <v>DELL Optiplex GX1L 266</v>
          </cell>
          <cell r="C524" t="str">
            <v>491-3312</v>
          </cell>
          <cell r="D524" t="str">
            <v>NM14L</v>
          </cell>
          <cell r="E524" t="str">
            <v xml:space="preserve">MI </v>
          </cell>
          <cell r="F524" t="str">
            <v xml:space="preserve">MAĆKOWIAK                WIESŁAW        </v>
          </cell>
          <cell r="G524" t="str">
            <v>U-72</v>
          </cell>
          <cell r="H524" t="str">
            <v>7</v>
          </cell>
          <cell r="I524" t="str">
            <v>19-36</v>
          </cell>
          <cell r="J524" t="str">
            <v>560</v>
          </cell>
          <cell r="K524" t="str">
            <v>491-03312</v>
          </cell>
          <cell r="L524" t="str">
            <v>266</v>
          </cell>
          <cell r="M524" t="str">
            <v/>
          </cell>
          <cell r="N524" t="str">
            <v>32</v>
          </cell>
        </row>
        <row r="525">
          <cell r="A525" t="str">
            <v>STACJA ROBOCZA</v>
          </cell>
          <cell r="B525" t="str">
            <v>NEC PowerMate VT Destop P III 450</v>
          </cell>
          <cell r="C525" t="str">
            <v>491-3859</v>
          </cell>
          <cell r="D525" t="str">
            <v>0666109</v>
          </cell>
          <cell r="E525" t="str">
            <v xml:space="preserve">MI </v>
          </cell>
          <cell r="F525" t="str">
            <v xml:space="preserve">FIGLUS                   ZENON          </v>
          </cell>
          <cell r="G525" t="str">
            <v>U-72</v>
          </cell>
          <cell r="H525" t="str">
            <v>8</v>
          </cell>
          <cell r="I525" t="str">
            <v>19-39</v>
          </cell>
          <cell r="J525" t="str">
            <v>194</v>
          </cell>
          <cell r="K525" t="str">
            <v>491-03859</v>
          </cell>
          <cell r="L525" t="str">
            <v>450</v>
          </cell>
          <cell r="M525" t="str">
            <v/>
          </cell>
          <cell r="N525" t="str">
            <v>64</v>
          </cell>
        </row>
        <row r="526">
          <cell r="A526" t="str">
            <v>STACJA ROBOCZA</v>
          </cell>
          <cell r="B526" t="str">
            <v>NEC PowerMate VT Destop P III 450</v>
          </cell>
          <cell r="C526" t="str">
            <v>491-3874</v>
          </cell>
          <cell r="D526" t="str">
            <v>0737109</v>
          </cell>
          <cell r="E526" t="str">
            <v xml:space="preserve">MI </v>
          </cell>
          <cell r="F526" t="str">
            <v xml:space="preserve">PAWLACZYK                EDMUND         </v>
          </cell>
          <cell r="G526" t="str">
            <v>U-72</v>
          </cell>
          <cell r="H526" t="str">
            <v>5</v>
          </cell>
          <cell r="I526" t="str">
            <v>19-80</v>
          </cell>
          <cell r="J526" t="str">
            <v>711</v>
          </cell>
          <cell r="K526" t="str">
            <v>491-03874</v>
          </cell>
          <cell r="L526" t="str">
            <v>450</v>
          </cell>
          <cell r="M526" t="str">
            <v/>
          </cell>
          <cell r="N526" t="str">
            <v>192</v>
          </cell>
        </row>
        <row r="527">
          <cell r="A527" t="str">
            <v>STACJA ROBOCZA</v>
          </cell>
          <cell r="B527" t="str">
            <v>COMPAQ DESKPRO EXD PIII 733</v>
          </cell>
          <cell r="C527" t="str">
            <v>491-4429</v>
          </cell>
          <cell r="D527" t="str">
            <v>8036FR4Z6075</v>
          </cell>
          <cell r="E527" t="str">
            <v xml:space="preserve">MN </v>
          </cell>
          <cell r="F527" t="str">
            <v xml:space="preserve">LITWICKI                 WOJCIECH       </v>
          </cell>
          <cell r="G527" t="str">
            <v>U-2/3</v>
          </cell>
          <cell r="H527" t="str">
            <v>307</v>
          </cell>
          <cell r="I527" t="str">
            <v>19-69</v>
          </cell>
          <cell r="J527" t="str">
            <v>520</v>
          </cell>
          <cell r="K527" t="str">
            <v>491-04429</v>
          </cell>
          <cell r="L527" t="str">
            <v>733</v>
          </cell>
          <cell r="M527" t="str">
            <v/>
          </cell>
          <cell r="N527" t="str">
            <v>127</v>
          </cell>
        </row>
        <row r="528">
          <cell r="A528" t="str">
            <v>STACJA ROBOCZA</v>
          </cell>
          <cell r="B528" t="str">
            <v>DELL Optiplex GX1L 266</v>
          </cell>
          <cell r="C528" t="str">
            <v>491-3296</v>
          </cell>
          <cell r="D528" t="str">
            <v>NM18S</v>
          </cell>
          <cell r="E528" t="str">
            <v xml:space="preserve">MN </v>
          </cell>
          <cell r="F528" t="str">
            <v xml:space="preserve">ANDRYJOWICZ              CZESŁAW        </v>
          </cell>
          <cell r="G528" t="str">
            <v>U-2/3</v>
          </cell>
          <cell r="H528" t="str">
            <v>308</v>
          </cell>
          <cell r="I528" t="str">
            <v>16-60</v>
          </cell>
          <cell r="J528" t="str">
            <v>5745</v>
          </cell>
          <cell r="K528" t="str">
            <v>491-03296</v>
          </cell>
          <cell r="L528" t="str">
            <v>266</v>
          </cell>
          <cell r="M528" t="str">
            <v/>
          </cell>
          <cell r="N528" t="str">
            <v>128</v>
          </cell>
        </row>
        <row r="529">
          <cell r="A529" t="str">
            <v>STACJA ROBOCZA</v>
          </cell>
          <cell r="B529" t="str">
            <v>NEC PowerMate VT Destop P III 450</v>
          </cell>
          <cell r="C529" t="str">
            <v>491-3862</v>
          </cell>
          <cell r="D529" t="str">
            <v>0208109</v>
          </cell>
          <cell r="E529" t="str">
            <v xml:space="preserve">MN </v>
          </cell>
          <cell r="F529" t="str">
            <v xml:space="preserve">KIDA                     KAZIMIERZ      </v>
          </cell>
          <cell r="G529" t="str">
            <v>U-2/3</v>
          </cell>
          <cell r="H529" t="str">
            <v>312</v>
          </cell>
          <cell r="I529" t="str">
            <v>19-69</v>
          </cell>
          <cell r="J529" t="str">
            <v>357</v>
          </cell>
          <cell r="K529" t="str">
            <v>491-03862</v>
          </cell>
          <cell r="L529" t="str">
            <v>450</v>
          </cell>
          <cell r="M529" t="str">
            <v/>
          </cell>
          <cell r="N529" t="str">
            <v>64</v>
          </cell>
        </row>
        <row r="530">
          <cell r="A530" t="str">
            <v>NOTEBOOK</v>
          </cell>
          <cell r="B530" t="str">
            <v>NEC VERSA SX PII 366 14.1" XGA TFT</v>
          </cell>
          <cell r="C530" t="str">
            <v>491-3731</v>
          </cell>
          <cell r="D530" t="str">
            <v>G697700005</v>
          </cell>
          <cell r="E530" t="str">
            <v xml:space="preserve">MN </v>
          </cell>
          <cell r="F530" t="str">
            <v xml:space="preserve">PRZEGALIŃSKI             KRZYSZTOF      </v>
          </cell>
          <cell r="G530" t="str">
            <v>U-2/3</v>
          </cell>
          <cell r="H530" t="str">
            <v>309</v>
          </cell>
          <cell r="I530" t="str">
            <v>10-02</v>
          </cell>
          <cell r="J530" t="str">
            <v>705</v>
          </cell>
          <cell r="K530" t="str">
            <v>491-03731</v>
          </cell>
          <cell r="L530" t="str">
            <v>366</v>
          </cell>
          <cell r="M530" t="str">
            <v/>
          </cell>
          <cell r="N530" t="str">
            <v>62</v>
          </cell>
        </row>
        <row r="531">
          <cell r="A531" t="str">
            <v>STACJA ROBOCZA</v>
          </cell>
          <cell r="B531" t="str">
            <v>NEC PowerMate VT Destop P III 450</v>
          </cell>
          <cell r="C531" t="str">
            <v>491-3995</v>
          </cell>
          <cell r="D531" t="str">
            <v>0730109</v>
          </cell>
          <cell r="E531" t="str">
            <v xml:space="preserve">MN </v>
          </cell>
          <cell r="F531" t="str">
            <v xml:space="preserve">KUDŁA                    JAN            </v>
          </cell>
          <cell r="G531" t="str">
            <v>U-72</v>
          </cell>
          <cell r="H531" t="str">
            <v>123</v>
          </cell>
          <cell r="I531" t="str">
            <v>28-38</v>
          </cell>
          <cell r="J531" t="str">
            <v>341</v>
          </cell>
          <cell r="K531" t="str">
            <v>491-03995</v>
          </cell>
          <cell r="L531" t="str">
            <v>450</v>
          </cell>
          <cell r="M531" t="str">
            <v/>
          </cell>
          <cell r="N531" t="str">
            <v>64</v>
          </cell>
        </row>
        <row r="532">
          <cell r="A532" t="str">
            <v>STACJA ROBOCZA</v>
          </cell>
          <cell r="B532" t="str">
            <v>COMPAQ DESKPRO EXD PIII 733</v>
          </cell>
          <cell r="C532" t="str">
            <v>491-4328</v>
          </cell>
          <cell r="D532" t="str">
            <v>8037FR4Z2731</v>
          </cell>
          <cell r="E532" t="str">
            <v xml:space="preserve">MN </v>
          </cell>
          <cell r="F532" t="str">
            <v xml:space="preserve">ANDRYJOWICZ              CZESŁAW        </v>
          </cell>
          <cell r="G532" t="str">
            <v>U-2/3</v>
          </cell>
          <cell r="H532" t="str">
            <v>308</v>
          </cell>
          <cell r="I532" t="str">
            <v>16-60</v>
          </cell>
          <cell r="J532" t="str">
            <v>5745</v>
          </cell>
          <cell r="K532" t="str">
            <v>491-04328</v>
          </cell>
          <cell r="L532" t="str">
            <v>733</v>
          </cell>
          <cell r="M532" t="str">
            <v/>
          </cell>
          <cell r="N532" t="str">
            <v>255</v>
          </cell>
        </row>
        <row r="533">
          <cell r="A533" t="str">
            <v>STACJA ROBOCZA</v>
          </cell>
          <cell r="B533" t="str">
            <v>COMPAQ DESKPRO EXD PIII 733</v>
          </cell>
          <cell r="C533" t="str">
            <v>491-4248</v>
          </cell>
          <cell r="D533" t="str">
            <v>8036FR4ZE464</v>
          </cell>
          <cell r="E533" t="str">
            <v xml:space="preserve">MN </v>
          </cell>
          <cell r="F533" t="str">
            <v xml:space="preserve">DZIADZIO                 STELLA         </v>
          </cell>
          <cell r="G533" t="str">
            <v>U-72</v>
          </cell>
          <cell r="H533" t="str">
            <v>115</v>
          </cell>
          <cell r="I533" t="str">
            <v/>
          </cell>
          <cell r="J533" t="str">
            <v>180</v>
          </cell>
          <cell r="K533" t="str">
            <v>491-04248</v>
          </cell>
          <cell r="L533" t="str">
            <v>733</v>
          </cell>
          <cell r="M533" t="str">
            <v/>
          </cell>
          <cell r="N533" t="str">
            <v>127</v>
          </cell>
        </row>
        <row r="534">
          <cell r="A534" t="str">
            <v>STACJA ROBOCZA</v>
          </cell>
          <cell r="B534" t="str">
            <v>COMPAQ DESKPRO EXD PIII 733</v>
          </cell>
          <cell r="C534" t="str">
            <v>491-4277</v>
          </cell>
          <cell r="D534" t="str">
            <v>8036FR4ZE496</v>
          </cell>
          <cell r="E534" t="str">
            <v xml:space="preserve">MN </v>
          </cell>
          <cell r="F534" t="str">
            <v xml:space="preserve">MAZURKIEWICZ             EDWARD         </v>
          </cell>
          <cell r="G534" t="str">
            <v>U-72</v>
          </cell>
          <cell r="H534" t="str">
            <v>120</v>
          </cell>
          <cell r="I534" t="str">
            <v>1004</v>
          </cell>
          <cell r="J534" t="str">
            <v>622</v>
          </cell>
          <cell r="K534" t="str">
            <v>491-04277</v>
          </cell>
          <cell r="L534" t="str">
            <v>733</v>
          </cell>
          <cell r="M534" t="str">
            <v/>
          </cell>
          <cell r="N534" t="str">
            <v/>
          </cell>
        </row>
        <row r="535">
          <cell r="A535" t="str">
            <v>STACJA ROBOCZA</v>
          </cell>
          <cell r="B535" t="str">
            <v>COMPAQ DP2000/32/CD/RS422</v>
          </cell>
          <cell r="C535" t="str">
            <v>491-3134</v>
          </cell>
          <cell r="D535" t="str">
            <v>8742BK623856</v>
          </cell>
          <cell r="E535" t="str">
            <v xml:space="preserve">MN </v>
          </cell>
          <cell r="F535" t="str">
            <v xml:space="preserve">HŁOPAŚ                   ANDRZEJ        </v>
          </cell>
          <cell r="G535" t="str">
            <v>U-72</v>
          </cell>
          <cell r="H535" t="str">
            <v>115</v>
          </cell>
          <cell r="I535" t="str">
            <v>34-69</v>
          </cell>
          <cell r="J535" t="str">
            <v>8952</v>
          </cell>
          <cell r="K535" t="str">
            <v/>
          </cell>
          <cell r="L535" t="str">
            <v>200</v>
          </cell>
          <cell r="M535" t="str">
            <v>OK54J</v>
          </cell>
          <cell r="N535" t="str">
            <v/>
          </cell>
        </row>
        <row r="536">
          <cell r="A536" t="str">
            <v>STACJA ROBOCZA</v>
          </cell>
          <cell r="B536" t="str">
            <v>NEC Direction Minitower P III 450</v>
          </cell>
          <cell r="C536" t="str">
            <v>491-3770</v>
          </cell>
          <cell r="D536" t="str">
            <v>0142109</v>
          </cell>
          <cell r="E536" t="str">
            <v xml:space="preserve">MN </v>
          </cell>
          <cell r="F536" t="str">
            <v xml:space="preserve">JACKOWSKI                GRZEGORZ       </v>
          </cell>
          <cell r="G536" t="str">
            <v>U-72</v>
          </cell>
          <cell r="H536" t="str">
            <v>123</v>
          </cell>
          <cell r="I536" t="str">
            <v>40-37</v>
          </cell>
          <cell r="J536" t="str">
            <v>313</v>
          </cell>
          <cell r="K536" t="str">
            <v>491-03770</v>
          </cell>
          <cell r="L536" t="str">
            <v>450</v>
          </cell>
          <cell r="M536" t="str">
            <v/>
          </cell>
          <cell r="N536" t="str">
            <v>128</v>
          </cell>
        </row>
        <row r="537">
          <cell r="A537" t="str">
            <v>STACJA ROBOCZA</v>
          </cell>
          <cell r="B537" t="str">
            <v>NEC Direction Minitower P III 450</v>
          </cell>
          <cell r="C537" t="str">
            <v>491-3771</v>
          </cell>
          <cell r="D537" t="str">
            <v>0151109</v>
          </cell>
          <cell r="E537" t="str">
            <v xml:space="preserve">MN </v>
          </cell>
          <cell r="F537" t="str">
            <v xml:space="preserve">HŁOPAŚ                   ANDRZEJ        </v>
          </cell>
          <cell r="G537" t="str">
            <v>U-72</v>
          </cell>
          <cell r="H537" t="str">
            <v>115</v>
          </cell>
          <cell r="I537" t="str">
            <v>34-69</v>
          </cell>
          <cell r="J537" t="str">
            <v>8952</v>
          </cell>
          <cell r="K537" t="str">
            <v>491-03771</v>
          </cell>
          <cell r="L537" t="str">
            <v>450</v>
          </cell>
          <cell r="M537" t="str">
            <v/>
          </cell>
          <cell r="N537" t="str">
            <v>256</v>
          </cell>
        </row>
        <row r="538">
          <cell r="A538" t="str">
            <v>STACJA ROBOCZA</v>
          </cell>
          <cell r="B538" t="str">
            <v>NEC Direction Minitower P III 450</v>
          </cell>
          <cell r="C538" t="str">
            <v>491-3772</v>
          </cell>
          <cell r="D538" t="str">
            <v>0157109</v>
          </cell>
          <cell r="E538" t="str">
            <v xml:space="preserve">MN </v>
          </cell>
          <cell r="F538" t="str">
            <v xml:space="preserve">LITWICKI                 WOJCIECH       </v>
          </cell>
          <cell r="G538" t="str">
            <v>U-2/3</v>
          </cell>
          <cell r="H538" t="str">
            <v>307</v>
          </cell>
          <cell r="I538" t="str">
            <v>19-69</v>
          </cell>
          <cell r="J538" t="str">
            <v>520</v>
          </cell>
          <cell r="K538" t="str">
            <v>491-03772</v>
          </cell>
          <cell r="L538" t="str">
            <v>450</v>
          </cell>
          <cell r="M538" t="str">
            <v/>
          </cell>
          <cell r="N538" t="str">
            <v>64</v>
          </cell>
        </row>
        <row r="539">
          <cell r="A539" t="str">
            <v>STACJA ROBOCZA</v>
          </cell>
          <cell r="B539" t="str">
            <v>NEC Direction Minitower P III 450</v>
          </cell>
          <cell r="C539" t="str">
            <v>491-3756</v>
          </cell>
          <cell r="D539" t="str">
            <v>0139109</v>
          </cell>
          <cell r="E539" t="str">
            <v xml:space="preserve">MN </v>
          </cell>
          <cell r="F539" t="str">
            <v xml:space="preserve">PRZEGALIŃSKI             KRZYSZTOF      </v>
          </cell>
          <cell r="G539" t="str">
            <v>U-2/3</v>
          </cell>
          <cell r="H539" t="str">
            <v>309</v>
          </cell>
          <cell r="I539" t="str">
            <v>10-02</v>
          </cell>
          <cell r="J539" t="str">
            <v>705</v>
          </cell>
          <cell r="K539" t="str">
            <v>491-03756</v>
          </cell>
          <cell r="L539" t="str">
            <v>450</v>
          </cell>
          <cell r="M539" t="str">
            <v/>
          </cell>
          <cell r="N539" t="str">
            <v>192</v>
          </cell>
        </row>
        <row r="540">
          <cell r="A540" t="str">
            <v>NOTEBOOK</v>
          </cell>
          <cell r="B540" t="str">
            <v>COMPAQ ARMADA E500  PIII 600</v>
          </cell>
          <cell r="C540" t="str">
            <v>491-4365</v>
          </cell>
          <cell r="D540" t="str">
            <v>7J0ADN98Y009</v>
          </cell>
          <cell r="E540" t="str">
            <v xml:space="preserve">MN </v>
          </cell>
          <cell r="F540" t="str">
            <v xml:space="preserve">TYREK                    ANDRZEJ        </v>
          </cell>
          <cell r="G540" t="str">
            <v>U-72</v>
          </cell>
          <cell r="H540" t="str">
            <v>108</v>
          </cell>
          <cell r="I540" t="str">
            <v>11-17</v>
          </cell>
          <cell r="J540" t="str">
            <v>1011</v>
          </cell>
          <cell r="K540" t="str">
            <v>491-04365</v>
          </cell>
          <cell r="L540" t="str">
            <v>600</v>
          </cell>
          <cell r="M540" t="str">
            <v/>
          </cell>
          <cell r="N540" t="str">
            <v>192</v>
          </cell>
        </row>
        <row r="541">
          <cell r="A541" t="str">
            <v>STACJA ROBOCZA</v>
          </cell>
          <cell r="B541" t="str">
            <v>NEC PowerMate VT Destop P III 450</v>
          </cell>
          <cell r="C541" t="str">
            <v>491-4048</v>
          </cell>
          <cell r="D541" t="str">
            <v>0698109</v>
          </cell>
          <cell r="E541" t="str">
            <v xml:space="preserve">MN </v>
          </cell>
          <cell r="F541" t="str">
            <v xml:space="preserve">NIEWIADOMSKI             MIROSŁAW       </v>
          </cell>
          <cell r="G541" t="str">
            <v>U-72</v>
          </cell>
          <cell r="H541" t="str">
            <v>125</v>
          </cell>
          <cell r="I541" t="str">
            <v>38-92</v>
          </cell>
          <cell r="J541" t="str">
            <v>9371</v>
          </cell>
          <cell r="K541" t="str">
            <v>491-04048</v>
          </cell>
          <cell r="L541" t="str">
            <v>450</v>
          </cell>
          <cell r="M541" t="str">
            <v>OK54J</v>
          </cell>
          <cell r="N541" t="str">
            <v>192</v>
          </cell>
        </row>
        <row r="542">
          <cell r="A542" t="str">
            <v>STACJA ROBOCZA</v>
          </cell>
          <cell r="B542" t="str">
            <v>DELL Optiplex GX150</v>
          </cell>
          <cell r="C542" t="str">
            <v>491-4696</v>
          </cell>
          <cell r="D542" t="str">
            <v>2PVX60J</v>
          </cell>
          <cell r="E542" t="str">
            <v xml:space="preserve">MN </v>
          </cell>
          <cell r="F542" t="str">
            <v xml:space="preserve">TYREK                    ANDRZEJ        </v>
          </cell>
          <cell r="G542" t="str">
            <v>U-72</v>
          </cell>
          <cell r="H542" t="str">
            <v>108</v>
          </cell>
          <cell r="I542" t="str">
            <v>11-17</v>
          </cell>
          <cell r="J542" t="str">
            <v>1011</v>
          </cell>
          <cell r="K542" t="str">
            <v>491-04696</v>
          </cell>
          <cell r="L542" t="str">
            <v>1000</v>
          </cell>
          <cell r="M542" t="str">
            <v/>
          </cell>
          <cell r="N542" t="str">
            <v>255</v>
          </cell>
        </row>
        <row r="543">
          <cell r="A543" t="str">
            <v>STACJA ROBOCZA</v>
          </cell>
          <cell r="B543" t="str">
            <v>DELL Optiplex GX260 SD</v>
          </cell>
          <cell r="C543" t="str">
            <v>491-5101</v>
          </cell>
          <cell r="D543" t="str">
            <v>BKYGL0J</v>
          </cell>
          <cell r="E543" t="str">
            <v xml:space="preserve">MN </v>
          </cell>
          <cell r="F543" t="str">
            <v xml:space="preserve">NOWAK                    WIESŁAW        </v>
          </cell>
          <cell r="G543" t="str">
            <v>U-2/3</v>
          </cell>
          <cell r="H543" t="str">
            <v>308</v>
          </cell>
          <cell r="I543" t="str">
            <v>16-60</v>
          </cell>
          <cell r="J543" t="str">
            <v>645</v>
          </cell>
          <cell r="K543" t="str">
            <v>491-05101</v>
          </cell>
          <cell r="L543" t="str">
            <v>2400</v>
          </cell>
          <cell r="M543" t="str">
            <v/>
          </cell>
          <cell r="N543" t="str">
            <v>254</v>
          </cell>
        </row>
        <row r="544">
          <cell r="A544" t="str">
            <v>STACJA ROBOCZA</v>
          </cell>
          <cell r="B544" t="str">
            <v>COMPAQ DESKPRO EXD PIII 733</v>
          </cell>
          <cell r="C544" t="str">
            <v>491-4390</v>
          </cell>
          <cell r="D544" t="str">
            <v>8036FR4Z3897</v>
          </cell>
          <cell r="E544" t="str">
            <v xml:space="preserve">MN </v>
          </cell>
          <cell r="F544" t="str">
            <v xml:space="preserve">KLIMA                    ANDRZEJ        </v>
          </cell>
          <cell r="G544" t="str">
            <v>U-2/3</v>
          </cell>
          <cell r="H544" t="str">
            <v>308</v>
          </cell>
          <cell r="I544" t="str">
            <v>19-31</v>
          </cell>
          <cell r="J544" t="str">
            <v>343</v>
          </cell>
          <cell r="K544" t="str">
            <v>491-04390</v>
          </cell>
          <cell r="L544" t="str">
            <v>733</v>
          </cell>
          <cell r="M544" t="str">
            <v>OK55J</v>
          </cell>
          <cell r="N544" t="str">
            <v>127</v>
          </cell>
        </row>
        <row r="545">
          <cell r="A545" t="str">
            <v>NOTEBOOK</v>
          </cell>
          <cell r="B545" t="str">
            <v>DELL Latitude D600</v>
          </cell>
          <cell r="C545" t="str">
            <v>491-</v>
          </cell>
          <cell r="D545" t="str">
            <v>B7KRS0J</v>
          </cell>
          <cell r="E545" t="str">
            <v xml:space="preserve">MN </v>
          </cell>
          <cell r="F545" t="str">
            <v xml:space="preserve">NIEWIADOMSKI             MIROSŁAW       </v>
          </cell>
          <cell r="G545" t="str">
            <v>U-72</v>
          </cell>
          <cell r="H545" t="str">
            <v>125</v>
          </cell>
          <cell r="I545" t="str">
            <v>38-92</v>
          </cell>
          <cell r="J545" t="str">
            <v>9371</v>
          </cell>
          <cell r="K545" t="str">
            <v>491-MARIUSZB</v>
          </cell>
          <cell r="L545" t="str">
            <v/>
          </cell>
          <cell r="M545" t="str">
            <v/>
          </cell>
          <cell r="N545" t="str">
            <v/>
          </cell>
        </row>
        <row r="546">
          <cell r="A546" t="str">
            <v>NOTEBOOK</v>
          </cell>
          <cell r="B546" t="str">
            <v>NEC VERSA SX PII 366</v>
          </cell>
          <cell r="C546" t="str">
            <v>491-3970</v>
          </cell>
          <cell r="D546" t="str">
            <v>H021500006</v>
          </cell>
          <cell r="E546" t="str">
            <v xml:space="preserve">MN </v>
          </cell>
          <cell r="F546" t="str">
            <v xml:space="preserve">HŁOPAŚ                   ANDRZEJ        </v>
          </cell>
          <cell r="G546" t="str">
            <v>U-72</v>
          </cell>
          <cell r="H546" t="str">
            <v>115</v>
          </cell>
          <cell r="I546" t="str">
            <v>34-69</v>
          </cell>
          <cell r="J546" t="str">
            <v>8952</v>
          </cell>
          <cell r="K546" t="str">
            <v>ACNEC</v>
          </cell>
          <cell r="L546" t="str">
            <v>366</v>
          </cell>
          <cell r="M546" t="str">
            <v/>
          </cell>
          <cell r="N546" t="str">
            <v/>
          </cell>
        </row>
        <row r="547">
          <cell r="A547" t="str">
            <v>STACJA ROBOCZA</v>
          </cell>
          <cell r="B547" t="str">
            <v>COMPAQ DESKPRO EXD PIII 733</v>
          </cell>
          <cell r="C547" t="str">
            <v>491-4311</v>
          </cell>
          <cell r="D547" t="str">
            <v>8036FR4ZE556</v>
          </cell>
          <cell r="E547" t="str">
            <v xml:space="preserve">MN </v>
          </cell>
          <cell r="F547" t="str">
            <v xml:space="preserve">KRZEMIŃSKI               KRZYSZTOF      </v>
          </cell>
          <cell r="G547" t="str">
            <v>U-2/3</v>
          </cell>
          <cell r="H547" t="str">
            <v>315</v>
          </cell>
          <cell r="I547" t="str">
            <v>39-80</v>
          </cell>
          <cell r="J547" t="str">
            <v>490</v>
          </cell>
          <cell r="K547" t="str">
            <v>491-04311</v>
          </cell>
          <cell r="L547" t="str">
            <v>733</v>
          </cell>
          <cell r="M547" t="str">
            <v/>
          </cell>
          <cell r="N547" t="str">
            <v>127</v>
          </cell>
        </row>
        <row r="548">
          <cell r="A548" t="str">
            <v>NOTEBOOK</v>
          </cell>
          <cell r="B548" t="str">
            <v>NEC VERSA SX PII 366</v>
          </cell>
          <cell r="C548" t="str">
            <v>491-3953</v>
          </cell>
          <cell r="D548" t="str">
            <v>H055300004</v>
          </cell>
          <cell r="E548" t="str">
            <v xml:space="preserve">MN </v>
          </cell>
          <cell r="F548" t="str">
            <v xml:space="preserve">HŁOPAŚ                   ANDRZEJ        </v>
          </cell>
          <cell r="G548" t="str">
            <v>U-72</v>
          </cell>
          <cell r="H548" t="str">
            <v>115</v>
          </cell>
          <cell r="I548" t="str">
            <v>34-69</v>
          </cell>
          <cell r="J548" t="str">
            <v>8952</v>
          </cell>
          <cell r="K548" t="str">
            <v/>
          </cell>
          <cell r="L548" t="str">
            <v>366</v>
          </cell>
          <cell r="M548" t="str">
            <v/>
          </cell>
          <cell r="N548" t="str">
            <v/>
          </cell>
        </row>
        <row r="549">
          <cell r="A549" t="str">
            <v>NOTEBOOK</v>
          </cell>
          <cell r="B549" t="str">
            <v>DELL Latitude C640</v>
          </cell>
          <cell r="C549" t="str">
            <v>491-5063</v>
          </cell>
          <cell r="D549" t="str">
            <v>56RGL0J</v>
          </cell>
          <cell r="E549" t="str">
            <v xml:space="preserve">MN </v>
          </cell>
          <cell r="F549" t="str">
            <v xml:space="preserve">KIDA                     KAZIMIERZ      </v>
          </cell>
          <cell r="G549" t="str">
            <v>U-2/3</v>
          </cell>
          <cell r="H549" t="str">
            <v>312</v>
          </cell>
          <cell r="I549" t="str">
            <v>19-69</v>
          </cell>
          <cell r="J549" t="str">
            <v>357</v>
          </cell>
          <cell r="K549" t="str">
            <v>491-5063</v>
          </cell>
          <cell r="L549" t="str">
            <v>1200</v>
          </cell>
          <cell r="M549" t="str">
            <v/>
          </cell>
          <cell r="N549" t="str">
            <v/>
          </cell>
        </row>
        <row r="550">
          <cell r="A550" t="str">
            <v>STACJA ROBOCZA</v>
          </cell>
          <cell r="B550" t="str">
            <v>COMPAQ DESKPRO EXD PIII 733</v>
          </cell>
          <cell r="C550" t="str">
            <v>491-4404</v>
          </cell>
          <cell r="D550" t="str">
            <v>8036FR4ZE523</v>
          </cell>
          <cell r="E550" t="str">
            <v xml:space="preserve">MN </v>
          </cell>
          <cell r="F550" t="str">
            <v xml:space="preserve">BEKASIAK                 WINCENTY       </v>
          </cell>
          <cell r="G550" t="str">
            <v>U-2/3</v>
          </cell>
          <cell r="H550" t="str">
            <v>312</v>
          </cell>
          <cell r="I550" t="str">
            <v>19-69</v>
          </cell>
          <cell r="J550" t="str">
            <v>31</v>
          </cell>
          <cell r="K550" t="str">
            <v>491-04404</v>
          </cell>
          <cell r="L550" t="str">
            <v>733</v>
          </cell>
          <cell r="M550" t="str">
            <v/>
          </cell>
          <cell r="N550" t="str">
            <v>127</v>
          </cell>
        </row>
        <row r="551">
          <cell r="A551" t="str">
            <v>STACJA ROBOCZA</v>
          </cell>
          <cell r="B551" t="str">
            <v>DELL Optiplex GX260 SD</v>
          </cell>
          <cell r="C551" t="str">
            <v>491-5099</v>
          </cell>
          <cell r="D551" t="str">
            <v>8JYGL0J</v>
          </cell>
          <cell r="E551" t="str">
            <v xml:space="preserve">MP </v>
          </cell>
          <cell r="F551" t="str">
            <v xml:space="preserve">CHEŁMIK                  MARIANNA       </v>
          </cell>
          <cell r="G551" t="str">
            <v>U-72</v>
          </cell>
          <cell r="H551" t="str">
            <v>105</v>
          </cell>
          <cell r="I551" t="str">
            <v>19-26</v>
          </cell>
          <cell r="J551" t="str">
            <v>133</v>
          </cell>
          <cell r="K551" t="str">
            <v>491-05099</v>
          </cell>
          <cell r="L551" t="str">
            <v>2400</v>
          </cell>
          <cell r="M551" t="str">
            <v/>
          </cell>
          <cell r="N551" t="str">
            <v>254</v>
          </cell>
        </row>
        <row r="552">
          <cell r="A552" t="str">
            <v>STACJA ROBOCZA</v>
          </cell>
          <cell r="B552" t="str">
            <v>DELL Optiplex GX1L 266</v>
          </cell>
          <cell r="C552" t="str">
            <v>491-3363</v>
          </cell>
          <cell r="D552" t="str">
            <v>NM1BL</v>
          </cell>
          <cell r="E552" t="str">
            <v xml:space="preserve">MP </v>
          </cell>
          <cell r="F552" t="str">
            <v xml:space="preserve">KOSICKA                  JADWIGA        </v>
          </cell>
          <cell r="G552" t="str">
            <v>U-72</v>
          </cell>
          <cell r="H552" t="str">
            <v>122</v>
          </cell>
          <cell r="I552" t="str">
            <v>34-67</v>
          </cell>
          <cell r="J552" t="str">
            <v>433</v>
          </cell>
          <cell r="K552" t="str">
            <v>491-03363</v>
          </cell>
          <cell r="L552" t="str">
            <v>266</v>
          </cell>
          <cell r="M552" t="str">
            <v/>
          </cell>
          <cell r="N552" t="str">
            <v/>
          </cell>
        </row>
        <row r="553">
          <cell r="A553" t="str">
            <v>STACJA ROBOCZA</v>
          </cell>
          <cell r="B553" t="str">
            <v>COMPAQ DESKPRO EXD PIII 733</v>
          </cell>
          <cell r="C553" t="str">
            <v>491-4262</v>
          </cell>
          <cell r="D553" t="str">
            <v>8036FR4ZE443</v>
          </cell>
          <cell r="E553" t="str">
            <v xml:space="preserve">MP </v>
          </cell>
          <cell r="F553" t="str">
            <v xml:space="preserve">KOSICKA                  JADWIGA        </v>
          </cell>
          <cell r="G553" t="str">
            <v>U-72</v>
          </cell>
          <cell r="H553" t="str">
            <v>122</v>
          </cell>
          <cell r="I553" t="str">
            <v>34-67</v>
          </cell>
          <cell r="J553" t="str">
            <v>433</v>
          </cell>
          <cell r="K553" t="str">
            <v>491-04262</v>
          </cell>
          <cell r="L553" t="str">
            <v>733</v>
          </cell>
          <cell r="M553" t="str">
            <v/>
          </cell>
          <cell r="N553" t="str">
            <v>127</v>
          </cell>
        </row>
        <row r="554">
          <cell r="A554" t="str">
            <v>STACJA ROBOCZA</v>
          </cell>
          <cell r="B554" t="str">
            <v>COMPAQ DESKPRO EXD PIII 733</v>
          </cell>
          <cell r="C554" t="str">
            <v>491-4484</v>
          </cell>
          <cell r="D554" t="str">
            <v>8036FR4ZE579</v>
          </cell>
          <cell r="E554" t="str">
            <v xml:space="preserve">MP </v>
          </cell>
          <cell r="F554" t="str">
            <v xml:space="preserve">WIATRAK                  KRZYSZTOF      </v>
          </cell>
          <cell r="G554" t="str">
            <v>U-72</v>
          </cell>
          <cell r="H554" t="str">
            <v>104</v>
          </cell>
          <cell r="I554" t="str">
            <v>28-35</v>
          </cell>
          <cell r="J554" t="str">
            <v>1049</v>
          </cell>
          <cell r="K554" t="str">
            <v>491-04484</v>
          </cell>
          <cell r="L554" t="str">
            <v>733</v>
          </cell>
          <cell r="M554" t="str">
            <v/>
          </cell>
          <cell r="N554" t="str">
            <v>127</v>
          </cell>
        </row>
        <row r="555">
          <cell r="A555" t="str">
            <v>STACJA ROBOCZA</v>
          </cell>
          <cell r="B555" t="str">
            <v>DELL Optiplex GX260 SD</v>
          </cell>
          <cell r="C555" t="str">
            <v>491-5100</v>
          </cell>
          <cell r="D555" t="str">
            <v>5KYGL0J</v>
          </cell>
          <cell r="E555" t="str">
            <v xml:space="preserve">MP </v>
          </cell>
          <cell r="F555" t="str">
            <v xml:space="preserve">JASITCZAK                KRZYSZTOF      </v>
          </cell>
          <cell r="G555" t="str">
            <v>U-72</v>
          </cell>
          <cell r="H555" t="str">
            <v>110</v>
          </cell>
          <cell r="I555" t="str">
            <v>19-70</v>
          </cell>
          <cell r="J555" t="str">
            <v>5610</v>
          </cell>
          <cell r="K555" t="str">
            <v>491-05100</v>
          </cell>
          <cell r="L555" t="str">
            <v>2400</v>
          </cell>
          <cell r="M555" t="str">
            <v/>
          </cell>
          <cell r="N555" t="str">
            <v>254</v>
          </cell>
        </row>
        <row r="556">
          <cell r="A556" t="str">
            <v>STACJA ROBOCZA</v>
          </cell>
          <cell r="B556" t="str">
            <v>DELL Optiplex GX1L 266</v>
          </cell>
          <cell r="C556" t="str">
            <v>491-3399</v>
          </cell>
          <cell r="D556" t="str">
            <v>NM1CW</v>
          </cell>
          <cell r="E556" t="str">
            <v xml:space="preserve">MP </v>
          </cell>
          <cell r="F556" t="str">
            <v xml:space="preserve">JASITCZAK                KRZYSZTOF      </v>
          </cell>
          <cell r="G556" t="str">
            <v>U-72</v>
          </cell>
          <cell r="H556" t="str">
            <v>110</v>
          </cell>
          <cell r="I556" t="str">
            <v>19-70</v>
          </cell>
          <cell r="J556" t="str">
            <v>5610</v>
          </cell>
          <cell r="K556" t="str">
            <v>491-3399</v>
          </cell>
          <cell r="L556" t="str">
            <v>266</v>
          </cell>
          <cell r="M556" t="str">
            <v>OK54J</v>
          </cell>
          <cell r="N556" t="str">
            <v/>
          </cell>
        </row>
        <row r="557">
          <cell r="A557" t="str">
            <v>STACJA ROBOCZA</v>
          </cell>
          <cell r="B557" t="str">
            <v>COMPAQ DESKPRO EXD PIII 733</v>
          </cell>
          <cell r="C557" t="str">
            <v>491-4464</v>
          </cell>
          <cell r="D557" t="str">
            <v>8036FR4ZE269</v>
          </cell>
          <cell r="E557" t="str">
            <v xml:space="preserve">MP </v>
          </cell>
          <cell r="F557" t="str">
            <v xml:space="preserve">CHODKIEWICZ              PAWEŁ          </v>
          </cell>
          <cell r="G557" t="str">
            <v>U-72</v>
          </cell>
          <cell r="H557" t="str">
            <v>111</v>
          </cell>
          <cell r="I557" t="str">
            <v>11-85</v>
          </cell>
          <cell r="J557" t="str">
            <v>113</v>
          </cell>
          <cell r="K557" t="str">
            <v>491-04464</v>
          </cell>
          <cell r="L557" t="str">
            <v>733</v>
          </cell>
          <cell r="M557" t="str">
            <v/>
          </cell>
          <cell r="N557" t="str">
            <v>127</v>
          </cell>
        </row>
        <row r="558">
          <cell r="A558" t="str">
            <v>STACJA ROBOCZA</v>
          </cell>
          <cell r="B558" t="str">
            <v>COMPAQ DESKPRO EXD PIII 733</v>
          </cell>
          <cell r="C558" t="str">
            <v>491-4282</v>
          </cell>
          <cell r="D558" t="str">
            <v>8036FR4ZE532</v>
          </cell>
          <cell r="E558" t="str">
            <v xml:space="preserve">MP </v>
          </cell>
          <cell r="F558" t="str">
            <v xml:space="preserve">KOCH                     LIDIA          </v>
          </cell>
          <cell r="G558" t="str">
            <v>U-72</v>
          </cell>
          <cell r="H558" t="str">
            <v>109</v>
          </cell>
          <cell r="I558" t="str">
            <v>12-99</v>
          </cell>
          <cell r="J558" t="str">
            <v>4284</v>
          </cell>
          <cell r="K558" t="str">
            <v>491-04282</v>
          </cell>
          <cell r="L558" t="str">
            <v>733</v>
          </cell>
          <cell r="M558" t="str">
            <v/>
          </cell>
          <cell r="N558" t="str">
            <v>127</v>
          </cell>
        </row>
        <row r="559">
          <cell r="A559" t="str">
            <v>STACJA ROBOCZA</v>
          </cell>
          <cell r="B559" t="str">
            <v>DELL Optiplex GX1L 266</v>
          </cell>
          <cell r="C559" t="str">
            <v>491-3246</v>
          </cell>
          <cell r="D559" t="str">
            <v>NM19W</v>
          </cell>
          <cell r="E559" t="str">
            <v xml:space="preserve">MP </v>
          </cell>
          <cell r="F559" t="str">
            <v xml:space="preserve">ZBROJA                   STANISŁAW      </v>
          </cell>
          <cell r="G559" t="str">
            <v>U-72</v>
          </cell>
          <cell r="H559" t="str">
            <v>103</v>
          </cell>
          <cell r="I559" t="str">
            <v>24-83</v>
          </cell>
          <cell r="J559" t="str">
            <v>1136</v>
          </cell>
          <cell r="K559" t="str">
            <v>DANIELS</v>
          </cell>
          <cell r="L559" t="str">
            <v>266</v>
          </cell>
          <cell r="M559" t="str">
            <v>OK54J</v>
          </cell>
          <cell r="N559" t="str">
            <v/>
          </cell>
        </row>
        <row r="560">
          <cell r="A560" t="str">
            <v>STACJA ROBOCZA</v>
          </cell>
          <cell r="B560" t="str">
            <v>NEC PowerMate VT Destop P III 450</v>
          </cell>
          <cell r="C560" t="str">
            <v>491-3881</v>
          </cell>
          <cell r="D560" t="str">
            <v>0688109</v>
          </cell>
          <cell r="E560" t="str">
            <v xml:space="preserve">MP </v>
          </cell>
          <cell r="F560" t="str">
            <v xml:space="preserve">SAŁBUT                   DANIEL         </v>
          </cell>
          <cell r="G560" t="str">
            <v>U-72</v>
          </cell>
          <cell r="H560" t="str">
            <v>103</v>
          </cell>
          <cell r="I560" t="str">
            <v>19-35</v>
          </cell>
          <cell r="J560" t="str">
            <v>871</v>
          </cell>
          <cell r="K560" t="str">
            <v>491-03881</v>
          </cell>
          <cell r="L560" t="str">
            <v>450</v>
          </cell>
          <cell r="M560" t="str">
            <v/>
          </cell>
          <cell r="N560" t="str">
            <v>64</v>
          </cell>
        </row>
        <row r="561">
          <cell r="A561" t="str">
            <v>STACJA ROBOCZA</v>
          </cell>
          <cell r="B561" t="str">
            <v>NEC PowerMate VT Destop P III 450</v>
          </cell>
          <cell r="C561" t="str">
            <v>491-3875</v>
          </cell>
          <cell r="D561" t="str">
            <v>0692109</v>
          </cell>
          <cell r="E561" t="str">
            <v xml:space="preserve">MP </v>
          </cell>
          <cell r="F561" t="str">
            <v xml:space="preserve">DĄBROWSKA                ANNA           </v>
          </cell>
          <cell r="G561" t="str">
            <v>U-72</v>
          </cell>
          <cell r="H561" t="str">
            <v>105</v>
          </cell>
          <cell r="I561" t="str">
            <v>19-10</v>
          </cell>
          <cell r="J561" t="str">
            <v>139</v>
          </cell>
          <cell r="K561" t="str">
            <v>491-03875</v>
          </cell>
          <cell r="L561" t="str">
            <v>450</v>
          </cell>
          <cell r="M561" t="str">
            <v/>
          </cell>
          <cell r="N561" t="str">
            <v>64</v>
          </cell>
        </row>
        <row r="562">
          <cell r="A562" t="str">
            <v>STACJA ROBOCZA</v>
          </cell>
          <cell r="B562" t="str">
            <v>COMPAQ DESKPRO EXD PIII 733</v>
          </cell>
          <cell r="C562" t="str">
            <v>491-4261</v>
          </cell>
          <cell r="D562" t="str">
            <v>8036FR4ZE480</v>
          </cell>
          <cell r="E562" t="str">
            <v xml:space="preserve">MP </v>
          </cell>
          <cell r="F562" t="str">
            <v xml:space="preserve">KLECZKOWSKA              EWA            </v>
          </cell>
          <cell r="G562" t="str">
            <v>U-72</v>
          </cell>
          <cell r="H562" t="str">
            <v>109</v>
          </cell>
          <cell r="I562" t="str">
            <v>19-11</v>
          </cell>
          <cell r="J562" t="str">
            <v>8227</v>
          </cell>
          <cell r="K562" t="str">
            <v>491-04261</v>
          </cell>
          <cell r="L562" t="str">
            <v>733</v>
          </cell>
          <cell r="M562" t="str">
            <v>OK54J</v>
          </cell>
          <cell r="N562" t="str">
            <v>127</v>
          </cell>
        </row>
        <row r="563">
          <cell r="A563" t="str">
            <v>NOTEBOOK</v>
          </cell>
          <cell r="B563" t="str">
            <v>Dell Latitude</v>
          </cell>
          <cell r="C563" t="str">
            <v>491-3341</v>
          </cell>
          <cell r="D563" t="str">
            <v>Z53KH</v>
          </cell>
          <cell r="E563" t="str">
            <v xml:space="preserve">MP </v>
          </cell>
          <cell r="F563" t="str">
            <v xml:space="preserve">WIATRAK                  KRZYSZTOF      </v>
          </cell>
          <cell r="G563" t="str">
            <v>U-72</v>
          </cell>
          <cell r="H563" t="str">
            <v>104</v>
          </cell>
          <cell r="I563" t="str">
            <v>28-35</v>
          </cell>
          <cell r="J563" t="str">
            <v>1049</v>
          </cell>
          <cell r="K563" t="str">
            <v>491-03341</v>
          </cell>
          <cell r="L563" t="str">
            <v>233</v>
          </cell>
          <cell r="M563" t="str">
            <v/>
          </cell>
          <cell r="N563" t="str">
            <v>96</v>
          </cell>
        </row>
        <row r="564">
          <cell r="A564" t="str">
            <v>STACJA ROBOCZA</v>
          </cell>
          <cell r="B564" t="str">
            <v>DELL Optiplex GX150</v>
          </cell>
          <cell r="C564" t="str">
            <v>491-4804</v>
          </cell>
          <cell r="D564" t="str">
            <v>9NRX60J</v>
          </cell>
          <cell r="E564" t="str">
            <v xml:space="preserve">MP </v>
          </cell>
          <cell r="F564" t="str">
            <v xml:space="preserve">ZDYBEL-KISIEL            BOŻENA         </v>
          </cell>
          <cell r="G564" t="str">
            <v>U-72</v>
          </cell>
          <cell r="H564" t="str">
            <v>111</v>
          </cell>
          <cell r="I564" t="str">
            <v>15-40</v>
          </cell>
          <cell r="J564" t="str">
            <v>460</v>
          </cell>
          <cell r="K564" t="str">
            <v>491-04804</v>
          </cell>
          <cell r="L564" t="str">
            <v>1000</v>
          </cell>
          <cell r="M564" t="str">
            <v/>
          </cell>
          <cell r="N564" t="str">
            <v>255</v>
          </cell>
        </row>
        <row r="565">
          <cell r="A565" t="str">
            <v>STACJA ROBOCZA</v>
          </cell>
          <cell r="B565" t="str">
            <v>DELL Optiplex GX1L 350</v>
          </cell>
          <cell r="C565" t="str">
            <v>491-3547</v>
          </cell>
          <cell r="D565" t="str">
            <v>PDZCO</v>
          </cell>
          <cell r="E565" t="str">
            <v xml:space="preserve">MP </v>
          </cell>
          <cell r="F565" t="str">
            <v xml:space="preserve">WEDER                    MARIA          </v>
          </cell>
          <cell r="G565" t="str">
            <v>U-72</v>
          </cell>
          <cell r="H565" t="str">
            <v>126</v>
          </cell>
          <cell r="I565" t="str">
            <v>19-26</v>
          </cell>
          <cell r="J565" t="str">
            <v>1056</v>
          </cell>
          <cell r="K565" t="str">
            <v>491-03547</v>
          </cell>
          <cell r="L565" t="str">
            <v>350</v>
          </cell>
          <cell r="M565" t="str">
            <v/>
          </cell>
          <cell r="N565" t="str">
            <v>64</v>
          </cell>
        </row>
        <row r="566">
          <cell r="A566" t="str">
            <v>STACJA ROBOCZA</v>
          </cell>
          <cell r="B566" t="str">
            <v>COMPAQ DESKPRO EXD PIII 733</v>
          </cell>
          <cell r="C566" t="str">
            <v>491-4491</v>
          </cell>
          <cell r="D566" t="str">
            <v>8036FR4ZE297</v>
          </cell>
          <cell r="E566" t="str">
            <v xml:space="preserve">MP </v>
          </cell>
          <cell r="F566" t="str">
            <v xml:space="preserve">KOŃ                      JOLANTA        </v>
          </cell>
          <cell r="G566" t="str">
            <v>U-72</v>
          </cell>
          <cell r="H566" t="str">
            <v>109</v>
          </cell>
          <cell r="I566" t="str">
            <v>40-64</v>
          </cell>
          <cell r="J566" t="str">
            <v>363</v>
          </cell>
          <cell r="K566" t="str">
            <v>491-04491</v>
          </cell>
          <cell r="L566" t="str">
            <v>733</v>
          </cell>
          <cell r="M566" t="str">
            <v/>
          </cell>
          <cell r="N566" t="str">
            <v>127</v>
          </cell>
        </row>
        <row r="567">
          <cell r="A567" t="str">
            <v>STACJA ROBOCZA</v>
          </cell>
          <cell r="B567" t="str">
            <v>DELL Optiplex GX1L 266</v>
          </cell>
          <cell r="C567" t="str">
            <v>491-3413</v>
          </cell>
          <cell r="D567" t="str">
            <v>NM1D7</v>
          </cell>
          <cell r="E567" t="str">
            <v xml:space="preserve">MR </v>
          </cell>
          <cell r="F567" t="str">
            <v xml:space="preserve">MATYŚKIEWICZ             KRZYSZTOF      </v>
          </cell>
          <cell r="G567" t="str">
            <v>U-72</v>
          </cell>
          <cell r="H567" t="str">
            <v>124</v>
          </cell>
          <cell r="I567" t="str">
            <v>34-68</v>
          </cell>
          <cell r="J567" t="str">
            <v>628</v>
          </cell>
          <cell r="K567" t="str">
            <v>491-03413</v>
          </cell>
          <cell r="L567" t="str">
            <v>266</v>
          </cell>
          <cell r="M567" t="str">
            <v/>
          </cell>
          <cell r="N567" t="str">
            <v>256</v>
          </cell>
        </row>
        <row r="568">
          <cell r="A568" t="str">
            <v>NOTEBOOK</v>
          </cell>
          <cell r="B568" t="str">
            <v>COMPAQ ARMADA E500  PIII 600</v>
          </cell>
          <cell r="C568" t="str">
            <v>491-4373</v>
          </cell>
          <cell r="D568" t="str">
            <v>7J0ADN98Y00E</v>
          </cell>
          <cell r="E568" t="str">
            <v xml:space="preserve">MR </v>
          </cell>
          <cell r="F568" t="str">
            <v xml:space="preserve">SZMAJ                    PIOTR          </v>
          </cell>
          <cell r="G568" t="str">
            <v>U-72</v>
          </cell>
          <cell r="H568" t="str">
            <v>124</v>
          </cell>
          <cell r="I568" t="str">
            <v>34-68 30-70</v>
          </cell>
          <cell r="J568" t="str">
            <v>961</v>
          </cell>
          <cell r="K568" t="str">
            <v>491-04373</v>
          </cell>
          <cell r="L568" t="str">
            <v>600</v>
          </cell>
          <cell r="M568" t="str">
            <v/>
          </cell>
          <cell r="N568" t="str">
            <v>256</v>
          </cell>
        </row>
        <row r="569">
          <cell r="A569" t="str">
            <v>NOTEBOOK</v>
          </cell>
          <cell r="B569" t="str">
            <v>DELL Latitude C640</v>
          </cell>
          <cell r="C569" t="str">
            <v>491-5061</v>
          </cell>
          <cell r="D569" t="str">
            <v>45RGL0J</v>
          </cell>
          <cell r="E569" t="str">
            <v xml:space="preserve">MR </v>
          </cell>
          <cell r="F569" t="str">
            <v xml:space="preserve">MATYŚKIEWICZ             KRZYSZTOF      </v>
          </cell>
          <cell r="G569" t="str">
            <v>U-72</v>
          </cell>
          <cell r="H569" t="str">
            <v>124</v>
          </cell>
          <cell r="I569" t="str">
            <v>34-68</v>
          </cell>
          <cell r="J569" t="str">
            <v>628</v>
          </cell>
          <cell r="K569" t="str">
            <v>491-05061</v>
          </cell>
          <cell r="L569" t="str">
            <v>1800</v>
          </cell>
          <cell r="M569" t="str">
            <v/>
          </cell>
          <cell r="N569" t="str">
            <v>256</v>
          </cell>
        </row>
        <row r="570">
          <cell r="A570" t="str">
            <v>STACJA ROBOCZA</v>
          </cell>
          <cell r="B570" t="str">
            <v>COMPAQ DESKPRO EXD PIII 733</v>
          </cell>
          <cell r="C570" t="str">
            <v>491-4252</v>
          </cell>
          <cell r="D570" t="str">
            <v>8036FR4ZE429</v>
          </cell>
          <cell r="E570" t="str">
            <v xml:space="preserve">MR </v>
          </cell>
          <cell r="F570" t="str">
            <v xml:space="preserve">LUTKIEWICZ               BOLESŁAW       </v>
          </cell>
          <cell r="G570" t="str">
            <v>U-72</v>
          </cell>
          <cell r="H570" t="str">
            <v>117</v>
          </cell>
          <cell r="I570" t="str">
            <v>19-57</v>
          </cell>
          <cell r="J570" t="str">
            <v>508</v>
          </cell>
          <cell r="K570" t="str">
            <v>491-04252</v>
          </cell>
          <cell r="L570" t="str">
            <v>733</v>
          </cell>
          <cell r="M570" t="str">
            <v>OK54J</v>
          </cell>
          <cell r="N570" t="str">
            <v>127</v>
          </cell>
        </row>
        <row r="571">
          <cell r="A571" t="str">
            <v>STACJA ROBOCZA</v>
          </cell>
          <cell r="B571" t="str">
            <v>DELL Optiplex GX260 SD</v>
          </cell>
          <cell r="C571" t="str">
            <v>491-5057</v>
          </cell>
          <cell r="D571" t="str">
            <v>6TCFL0J</v>
          </cell>
          <cell r="E571" t="str">
            <v xml:space="preserve">MR </v>
          </cell>
          <cell r="F571" t="str">
            <v xml:space="preserve">SZMAJ                    PIOTR          </v>
          </cell>
          <cell r="G571" t="str">
            <v>U-72</v>
          </cell>
          <cell r="H571" t="str">
            <v>124</v>
          </cell>
          <cell r="I571" t="str">
            <v>34-68 30-70</v>
          </cell>
          <cell r="J571" t="str">
            <v>961</v>
          </cell>
          <cell r="K571" t="str">
            <v>491-05057</v>
          </cell>
          <cell r="L571" t="str">
            <v>2400</v>
          </cell>
          <cell r="M571" t="str">
            <v/>
          </cell>
          <cell r="N571" t="str">
            <v>254</v>
          </cell>
        </row>
        <row r="572">
          <cell r="A572" t="str">
            <v>NOTEBOOK</v>
          </cell>
          <cell r="B572" t="str">
            <v>COMPAQ ARMADA E500  PIII 600</v>
          </cell>
          <cell r="C572" t="str">
            <v>491-4368</v>
          </cell>
          <cell r="D572" t="str">
            <v>7J0ADN98Y00N</v>
          </cell>
          <cell r="E572" t="str">
            <v xml:space="preserve">MR </v>
          </cell>
          <cell r="F572" t="str">
            <v xml:space="preserve">LUTKIEWICZ               BOLESŁAW       </v>
          </cell>
          <cell r="G572" t="str">
            <v>U-72</v>
          </cell>
          <cell r="H572" t="str">
            <v>117</v>
          </cell>
          <cell r="I572" t="str">
            <v>19-57</v>
          </cell>
          <cell r="J572" t="str">
            <v>508</v>
          </cell>
          <cell r="K572" t="str">
            <v>491-04368</v>
          </cell>
          <cell r="L572" t="str">
            <v>600</v>
          </cell>
          <cell r="M572" t="str">
            <v/>
          </cell>
          <cell r="N572" t="str">
            <v>128</v>
          </cell>
        </row>
        <row r="573">
          <cell r="A573" t="str">
            <v>STACJA ROBOCZA</v>
          </cell>
          <cell r="B573" t="str">
            <v>COMPAQ DESKPRO EXD PIII 733</v>
          </cell>
          <cell r="C573" t="str">
            <v>491-4387</v>
          </cell>
          <cell r="D573" t="str">
            <v>8036FR4ZE569</v>
          </cell>
          <cell r="E573" t="str">
            <v xml:space="preserve">MR </v>
          </cell>
          <cell r="F573" t="str">
            <v xml:space="preserve">MALINOWSKA               HALINA         </v>
          </cell>
          <cell r="G573" t="str">
            <v>U-2/3</v>
          </cell>
          <cell r="H573" t="str">
            <v>310</v>
          </cell>
          <cell r="I573" t="str">
            <v>28-40</v>
          </cell>
          <cell r="J573" t="str">
            <v>580</v>
          </cell>
          <cell r="K573" t="str">
            <v>491-04387</v>
          </cell>
          <cell r="L573" t="str">
            <v>733</v>
          </cell>
          <cell r="M573" t="str">
            <v>OK55J</v>
          </cell>
          <cell r="N573" t="str">
            <v>127</v>
          </cell>
        </row>
        <row r="574">
          <cell r="A574" t="str">
            <v>STACJA ROBOCZA</v>
          </cell>
          <cell r="B574" t="str">
            <v>COMPAQ DESKPRO 2000 DT 5120 M1080</v>
          </cell>
          <cell r="C574" t="str">
            <v>491-2754</v>
          </cell>
          <cell r="D574" t="str">
            <v>8651HVS51983</v>
          </cell>
          <cell r="E574" t="str">
            <v xml:space="preserve">MT </v>
          </cell>
          <cell r="F574" t="str">
            <v xml:space="preserve">PRÓCHENKO                JERZY          </v>
          </cell>
          <cell r="G574" t="str">
            <v>U-72</v>
          </cell>
          <cell r="H574" t="str">
            <v>22</v>
          </cell>
          <cell r="I574" t="str">
            <v>19-05</v>
          </cell>
          <cell r="J574" t="str">
            <v>702</v>
          </cell>
          <cell r="K574" t="str">
            <v>491-2754</v>
          </cell>
          <cell r="L574" t="str">
            <v>120</v>
          </cell>
          <cell r="M574" t="str">
            <v>OK54J</v>
          </cell>
          <cell r="N574" t="str">
            <v/>
          </cell>
        </row>
        <row r="575">
          <cell r="A575" t="str">
            <v>STACJA ROBOCZA</v>
          </cell>
          <cell r="B575" t="str">
            <v>ZENITH Z STATION P166</v>
          </cell>
          <cell r="C575" t="str">
            <v>491-3025</v>
          </cell>
          <cell r="D575" t="str">
            <v>GVDD72905270</v>
          </cell>
          <cell r="E575" t="str">
            <v xml:space="preserve">MT </v>
          </cell>
          <cell r="F575" t="str">
            <v xml:space="preserve">RADWAŃSKI                TADEUSZ        </v>
          </cell>
          <cell r="G575" t="str">
            <v>U-72</v>
          </cell>
          <cell r="H575" t="str">
            <v>22</v>
          </cell>
          <cell r="I575" t="str">
            <v>12-32</v>
          </cell>
          <cell r="J575" t="str">
            <v>849</v>
          </cell>
          <cell r="K575" t="str">
            <v/>
          </cell>
          <cell r="L575" t="str">
            <v>166</v>
          </cell>
          <cell r="M575" t="str">
            <v>ZWROCA DO NAS</v>
          </cell>
          <cell r="N575" t="str">
            <v/>
          </cell>
        </row>
        <row r="576">
          <cell r="A576" t="str">
            <v>STACJA ROBOCZA</v>
          </cell>
          <cell r="B576" t="str">
            <v>DELL Optiplex GX150</v>
          </cell>
          <cell r="C576" t="str">
            <v>491-4829</v>
          </cell>
          <cell r="D576" t="str">
            <v>G0RX60J</v>
          </cell>
          <cell r="E576" t="str">
            <v xml:space="preserve">MT </v>
          </cell>
          <cell r="F576" t="str">
            <v xml:space="preserve">SZYMAK-CIEŚLAK           KAZIMIERA      </v>
          </cell>
          <cell r="G576" t="str">
            <v>U-72</v>
          </cell>
          <cell r="H576" t="str">
            <v>20</v>
          </cell>
          <cell r="I576" t="str">
            <v>12-73</v>
          </cell>
          <cell r="J576" t="str">
            <v>537</v>
          </cell>
          <cell r="K576" t="str">
            <v>491-04829</v>
          </cell>
          <cell r="L576" t="str">
            <v>1000</v>
          </cell>
          <cell r="M576" t="str">
            <v/>
          </cell>
          <cell r="N576" t="str">
            <v>255</v>
          </cell>
        </row>
        <row r="577">
          <cell r="A577" t="str">
            <v>STACJA ROBOCZA</v>
          </cell>
          <cell r="B577" t="str">
            <v>COMPAQ DESKPRO EXD PIII 733</v>
          </cell>
          <cell r="C577" t="str">
            <v>491-4280</v>
          </cell>
          <cell r="D577" t="str">
            <v>8036FR4Z5726</v>
          </cell>
          <cell r="E577" t="str">
            <v xml:space="preserve">MT </v>
          </cell>
          <cell r="F577" t="str">
            <v xml:space="preserve">KOŁATEK                  HALINA         </v>
          </cell>
          <cell r="G577" t="str">
            <v>U-72</v>
          </cell>
          <cell r="H577" t="str">
            <v>19</v>
          </cell>
          <cell r="I577" t="str">
            <v>19-19</v>
          </cell>
          <cell r="J577" t="str">
            <v>358</v>
          </cell>
          <cell r="K577" t="str">
            <v>491-04280</v>
          </cell>
          <cell r="L577" t="str">
            <v>733</v>
          </cell>
          <cell r="M577" t="str">
            <v/>
          </cell>
          <cell r="N577" t="str">
            <v>127</v>
          </cell>
        </row>
        <row r="578">
          <cell r="A578" t="str">
            <v>STACJA ROBOCZA</v>
          </cell>
          <cell r="B578" t="str">
            <v>ZENITH Z STATION P200</v>
          </cell>
          <cell r="C578" t="str">
            <v>491-3027</v>
          </cell>
          <cell r="D578" t="str">
            <v>GVDD72904568</v>
          </cell>
          <cell r="E578" t="str">
            <v xml:space="preserve">MT </v>
          </cell>
          <cell r="F578" t="str">
            <v xml:space="preserve">KOŁATEK                  HALINA         </v>
          </cell>
          <cell r="G578" t="str">
            <v>U-72</v>
          </cell>
          <cell r="H578" t="str">
            <v>19</v>
          </cell>
          <cell r="I578" t="str">
            <v>19-19</v>
          </cell>
          <cell r="J578" t="str">
            <v>358</v>
          </cell>
          <cell r="K578" t="str">
            <v/>
          </cell>
          <cell r="L578" t="str">
            <v>200</v>
          </cell>
          <cell r="M578" t="str">
            <v>OK54J</v>
          </cell>
          <cell r="N578" t="str">
            <v/>
          </cell>
        </row>
        <row r="579">
          <cell r="A579" t="str">
            <v>STACJA ROBOCZA</v>
          </cell>
          <cell r="B579" t="str">
            <v>STACJA ROBOCZA</v>
          </cell>
          <cell r="C579" t="str">
            <v>491-3168</v>
          </cell>
          <cell r="D579" t="str">
            <v>24/3/98</v>
          </cell>
          <cell r="E579" t="str">
            <v xml:space="preserve">MT </v>
          </cell>
          <cell r="F579" t="str">
            <v xml:space="preserve">STRZELCZYK               HENRYK         </v>
          </cell>
          <cell r="G579" t="str">
            <v>U-72</v>
          </cell>
          <cell r="H579" t="str">
            <v>22</v>
          </cell>
          <cell r="I579" t="str">
            <v>19-18</v>
          </cell>
          <cell r="J579" t="str">
            <v>950</v>
          </cell>
          <cell r="K579" t="str">
            <v>491-03168</v>
          </cell>
          <cell r="L579" t="str">
            <v>266</v>
          </cell>
          <cell r="M579" t="str">
            <v/>
          </cell>
          <cell r="N579" t="str">
            <v>128</v>
          </cell>
        </row>
        <row r="580">
          <cell r="A580" t="str">
            <v>STACJA ROBOCZA</v>
          </cell>
          <cell r="B580" t="str">
            <v>NEC Power Mate VT P III 600</v>
          </cell>
          <cell r="C580" t="str">
            <v>491-4198</v>
          </cell>
          <cell r="D580" t="str">
            <v>0109060</v>
          </cell>
          <cell r="E580" t="str">
            <v xml:space="preserve">MT </v>
          </cell>
          <cell r="F580" t="str">
            <v xml:space="preserve">STRZELCZYK               HENRYK         </v>
          </cell>
          <cell r="G580" t="str">
            <v>U-72</v>
          </cell>
          <cell r="H580" t="str">
            <v>22</v>
          </cell>
          <cell r="I580" t="str">
            <v>19-18</v>
          </cell>
          <cell r="J580" t="str">
            <v>950</v>
          </cell>
          <cell r="K580" t="str">
            <v>491-04198</v>
          </cell>
          <cell r="L580" t="str">
            <v>600</v>
          </cell>
          <cell r="M580" t="str">
            <v>OK54J</v>
          </cell>
          <cell r="N580" t="str">
            <v>128</v>
          </cell>
        </row>
        <row r="581">
          <cell r="A581" t="str">
            <v>STACJA ROBOCZA</v>
          </cell>
          <cell r="B581" t="str">
            <v>NEC PowerMate VT Destop P III 450</v>
          </cell>
          <cell r="C581" t="str">
            <v>491-3860</v>
          </cell>
          <cell r="D581" t="str">
            <v>0746109</v>
          </cell>
          <cell r="E581" t="str">
            <v xml:space="preserve">MT </v>
          </cell>
          <cell r="F581" t="str">
            <v xml:space="preserve">SZATANIAK                JAN            </v>
          </cell>
          <cell r="G581" t="str">
            <v>U-72</v>
          </cell>
          <cell r="H581" t="str">
            <v>15</v>
          </cell>
          <cell r="I581" t="str">
            <v/>
          </cell>
          <cell r="J581" t="str">
            <v>864</v>
          </cell>
          <cell r="K581" t="str">
            <v>491-03860</v>
          </cell>
          <cell r="L581" t="str">
            <v>450</v>
          </cell>
          <cell r="M581" t="str">
            <v/>
          </cell>
          <cell r="N581" t="str">
            <v>64</v>
          </cell>
        </row>
        <row r="582">
          <cell r="A582" t="str">
            <v>STACJA ROBOCZA</v>
          </cell>
          <cell r="B582" t="str">
            <v>DELL Optiplex GX1MT 350</v>
          </cell>
          <cell r="C582" t="str">
            <v>491-3620</v>
          </cell>
          <cell r="D582" t="str">
            <v>PFON9</v>
          </cell>
          <cell r="E582" t="str">
            <v xml:space="preserve">MT </v>
          </cell>
          <cell r="F582" t="str">
            <v xml:space="preserve">NAJGIEBAUER              JOANNA         </v>
          </cell>
          <cell r="G582" t="str">
            <v>U-72</v>
          </cell>
          <cell r="H582" t="str">
            <v>19</v>
          </cell>
          <cell r="I582" t="str">
            <v>19-17</v>
          </cell>
          <cell r="J582" t="str">
            <v>658</v>
          </cell>
          <cell r="K582" t="str">
            <v/>
          </cell>
          <cell r="L582" t="str">
            <v>350</v>
          </cell>
          <cell r="M582" t="str">
            <v/>
          </cell>
          <cell r="N582" t="str">
            <v/>
          </cell>
        </row>
        <row r="583">
          <cell r="A583" t="str">
            <v>STACJA ROBOCZA</v>
          </cell>
          <cell r="B583" t="str">
            <v>DELL Optiplex GX150</v>
          </cell>
          <cell r="C583" t="str">
            <v>491-4859</v>
          </cell>
          <cell r="D583" t="str">
            <v>21RX60J</v>
          </cell>
          <cell r="E583" t="str">
            <v xml:space="preserve">MT </v>
          </cell>
          <cell r="F583" t="str">
            <v xml:space="preserve">STRZELCZYK               HENRYK         </v>
          </cell>
          <cell r="G583" t="str">
            <v>U-72</v>
          </cell>
          <cell r="H583" t="str">
            <v>22</v>
          </cell>
          <cell r="I583" t="str">
            <v>19-18</v>
          </cell>
          <cell r="J583" t="str">
            <v>950</v>
          </cell>
          <cell r="K583" t="str">
            <v>HENRYKS2</v>
          </cell>
          <cell r="L583" t="str">
            <v>1000</v>
          </cell>
          <cell r="M583" t="str">
            <v/>
          </cell>
          <cell r="N583" t="str">
            <v>255</v>
          </cell>
        </row>
        <row r="584">
          <cell r="A584" t="str">
            <v>STACJA ROBOCZA</v>
          </cell>
          <cell r="B584" t="str">
            <v>DELL Optiplex GX1L 266</v>
          </cell>
          <cell r="C584" t="str">
            <v>491-3220</v>
          </cell>
          <cell r="D584" t="str">
            <v>NM151</v>
          </cell>
          <cell r="E584" t="str">
            <v xml:space="preserve">MT </v>
          </cell>
          <cell r="F584" t="str">
            <v xml:space="preserve">PEŁKA                    JAN            </v>
          </cell>
          <cell r="G584" t="str">
            <v>U-12</v>
          </cell>
          <cell r="H584" t="str">
            <v>335</v>
          </cell>
          <cell r="I584" t="str">
            <v>19-02</v>
          </cell>
          <cell r="J584" t="str">
            <v>765</v>
          </cell>
          <cell r="K584" t="str">
            <v>491-03220</v>
          </cell>
          <cell r="L584" t="str">
            <v>266</v>
          </cell>
          <cell r="M584" t="str">
            <v/>
          </cell>
          <cell r="N584" t="str">
            <v>32</v>
          </cell>
        </row>
        <row r="585">
          <cell r="A585" t="str">
            <v>STACJA ROBOCZA</v>
          </cell>
          <cell r="B585" t="str">
            <v>COMPAQ DESKPRO EXD PIII 733</v>
          </cell>
          <cell r="C585" t="str">
            <v>491-4250</v>
          </cell>
          <cell r="D585" t="str">
            <v>8036FR4ZE457</v>
          </cell>
          <cell r="E585" t="str">
            <v xml:space="preserve">MT </v>
          </cell>
          <cell r="F585" t="str">
            <v xml:space="preserve">SZUMIGAJ-GROCHOCKA       ZOFIA          </v>
          </cell>
          <cell r="G585" t="str">
            <v>U-72</v>
          </cell>
          <cell r="H585" t="str">
            <v>115</v>
          </cell>
          <cell r="I585" t="str">
            <v>19-06</v>
          </cell>
          <cell r="J585" t="str">
            <v>941</v>
          </cell>
          <cell r="K585" t="str">
            <v>491-04250</v>
          </cell>
          <cell r="L585" t="str">
            <v>733</v>
          </cell>
          <cell r="M585" t="str">
            <v>OK54J</v>
          </cell>
          <cell r="N585" t="str">
            <v>127</v>
          </cell>
        </row>
        <row r="586">
          <cell r="A586" t="str">
            <v>STACJA ROBOCZA</v>
          </cell>
          <cell r="B586" t="str">
            <v>DELL Optiplex GX150</v>
          </cell>
          <cell r="C586" t="str">
            <v>491-4805</v>
          </cell>
          <cell r="D586" t="str">
            <v>GMRX60J</v>
          </cell>
          <cell r="E586" t="str">
            <v xml:space="preserve">MT </v>
          </cell>
          <cell r="F586" t="str">
            <v xml:space="preserve">PIOTROWSKA               DANUTA         </v>
          </cell>
          <cell r="G586" t="str">
            <v>U-72</v>
          </cell>
          <cell r="H586" t="str">
            <v>20</v>
          </cell>
          <cell r="I586" t="str">
            <v>12-73</v>
          </cell>
          <cell r="J586" t="str">
            <v>709</v>
          </cell>
          <cell r="K586" t="str">
            <v>491-04805</v>
          </cell>
          <cell r="L586" t="str">
            <v>1000</v>
          </cell>
          <cell r="M586" t="str">
            <v/>
          </cell>
          <cell r="N586" t="str">
            <v>255</v>
          </cell>
        </row>
        <row r="587">
          <cell r="A587" t="str">
            <v>STACJA ROBOCZA</v>
          </cell>
          <cell r="B587" t="str">
            <v>COMPAQ DESKPRO EXD PIII 733</v>
          </cell>
          <cell r="C587" t="str">
            <v>491-4297</v>
          </cell>
          <cell r="D587" t="str">
            <v>8036FR4ZE233</v>
          </cell>
          <cell r="E587" t="str">
            <v xml:space="preserve">MT </v>
          </cell>
          <cell r="F587" t="str">
            <v xml:space="preserve">PRÓCHENKO                JERZY          </v>
          </cell>
          <cell r="G587" t="str">
            <v>U-72</v>
          </cell>
          <cell r="H587" t="str">
            <v>22</v>
          </cell>
          <cell r="I587" t="str">
            <v>19-05</v>
          </cell>
          <cell r="J587" t="str">
            <v>702</v>
          </cell>
          <cell r="K587" t="str">
            <v>MTJERZYP</v>
          </cell>
          <cell r="L587" t="str">
            <v>733</v>
          </cell>
          <cell r="M587" t="str">
            <v>OK54J</v>
          </cell>
          <cell r="N587" t="str">
            <v/>
          </cell>
        </row>
        <row r="588">
          <cell r="A588" t="str">
            <v>STACJA ROBOCZA</v>
          </cell>
          <cell r="B588" t="str">
            <v>DELL Optiplex GX260 SD</v>
          </cell>
          <cell r="C588" t="str">
            <v>491-5103</v>
          </cell>
          <cell r="D588" t="str">
            <v>BHYGL0J</v>
          </cell>
          <cell r="E588" t="str">
            <v xml:space="preserve">MT </v>
          </cell>
          <cell r="F588" t="str">
            <v xml:space="preserve">RADWAŃSKI                TADEUSZ        </v>
          </cell>
          <cell r="G588" t="str">
            <v>U-72</v>
          </cell>
          <cell r="H588" t="str">
            <v>22</v>
          </cell>
          <cell r="I588" t="str">
            <v>12-32</v>
          </cell>
          <cell r="J588" t="str">
            <v>849</v>
          </cell>
          <cell r="K588" t="str">
            <v>491-05103</v>
          </cell>
          <cell r="L588" t="str">
            <v>2400</v>
          </cell>
          <cell r="M588" t="str">
            <v/>
          </cell>
          <cell r="N588" t="str">
            <v>254</v>
          </cell>
        </row>
        <row r="589">
          <cell r="A589" t="str">
            <v>NOTEBOOK</v>
          </cell>
          <cell r="B589" t="str">
            <v>NEC VERSA SX PII 366</v>
          </cell>
          <cell r="C589" t="str">
            <v>491-3950</v>
          </cell>
          <cell r="D589" t="str">
            <v>H055300005</v>
          </cell>
          <cell r="E589" t="str">
            <v xml:space="preserve">ND </v>
          </cell>
          <cell r="F589" t="str">
            <v xml:space="preserve">PAWŁOWSKI                ZDZISŁAW       </v>
          </cell>
          <cell r="G589" t="str">
            <v>U-11</v>
          </cell>
          <cell r="H589" t="str">
            <v>305</v>
          </cell>
          <cell r="I589" t="str">
            <v>19-20</v>
          </cell>
          <cell r="J589" t="str">
            <v>776</v>
          </cell>
          <cell r="K589" t="str">
            <v>491-03950</v>
          </cell>
          <cell r="L589" t="str">
            <v>366</v>
          </cell>
          <cell r="M589" t="str">
            <v/>
          </cell>
          <cell r="N589" t="str">
            <v>64</v>
          </cell>
        </row>
        <row r="590">
          <cell r="A590" t="str">
            <v>STACJA ROBOCZA</v>
          </cell>
          <cell r="B590" t="str">
            <v>ZENITH Z STATION P166</v>
          </cell>
          <cell r="C590" t="str">
            <v>491-2998</v>
          </cell>
          <cell r="D590" t="str">
            <v>GVDD72904598</v>
          </cell>
          <cell r="E590" t="str">
            <v xml:space="preserve">NK </v>
          </cell>
          <cell r="F590" t="str">
            <v xml:space="preserve">BABERT                   ZBIGNIEW       </v>
          </cell>
          <cell r="G590" t="str">
            <v>U-11</v>
          </cell>
          <cell r="H590" t="str">
            <v>405</v>
          </cell>
          <cell r="I590" t="str">
            <v>18-10</v>
          </cell>
          <cell r="J590" t="str">
            <v>75</v>
          </cell>
          <cell r="K590" t="str">
            <v>491-02998</v>
          </cell>
          <cell r="L590" t="str">
            <v>166</v>
          </cell>
          <cell r="M590" t="str">
            <v>OK55M</v>
          </cell>
          <cell r="N590" t="str">
            <v>64</v>
          </cell>
        </row>
        <row r="591">
          <cell r="A591" t="str">
            <v>STACJA ROBOCZA</v>
          </cell>
          <cell r="B591" t="str">
            <v>PENTIUM AMD K5 P90</v>
          </cell>
          <cell r="C591" t="str">
            <v>491-2689</v>
          </cell>
          <cell r="D591" t="str">
            <v>303288</v>
          </cell>
          <cell r="E591" t="str">
            <v xml:space="preserve">NK </v>
          </cell>
          <cell r="F591" t="str">
            <v xml:space="preserve">PISKORZ                  TERESA         </v>
          </cell>
          <cell r="G591" t="str">
            <v>U-11</v>
          </cell>
          <cell r="H591" t="str">
            <v>405</v>
          </cell>
          <cell r="I591" t="str">
            <v>18-11</v>
          </cell>
          <cell r="J591" t="str">
            <v>779</v>
          </cell>
          <cell r="K591" t="str">
            <v>491-02689</v>
          </cell>
          <cell r="L591" t="str">
            <v>366</v>
          </cell>
          <cell r="M591" t="str">
            <v/>
          </cell>
          <cell r="N591" t="str">
            <v>64</v>
          </cell>
        </row>
        <row r="592">
          <cell r="A592" t="str">
            <v>STACJA ROBOCZA</v>
          </cell>
          <cell r="B592" t="str">
            <v>DELL Optiplex GX1L 266</v>
          </cell>
          <cell r="C592" t="str">
            <v>491-3278</v>
          </cell>
          <cell r="D592" t="str">
            <v>NM191</v>
          </cell>
          <cell r="E592" t="str">
            <v xml:space="preserve">NP </v>
          </cell>
          <cell r="F592" t="str">
            <v xml:space="preserve">GRZEŚKOWIAK              DOMINIK        </v>
          </cell>
          <cell r="G592" t="str">
            <v>U-11</v>
          </cell>
          <cell r="H592" t="str">
            <v>406</v>
          </cell>
          <cell r="I592" t="str">
            <v>34-76</v>
          </cell>
          <cell r="J592" t="str">
            <v>9095</v>
          </cell>
          <cell r="K592" t="str">
            <v>491-03278</v>
          </cell>
          <cell r="L592" t="str">
            <v>266</v>
          </cell>
          <cell r="M592" t="str">
            <v>OK51J</v>
          </cell>
          <cell r="N592" t="str">
            <v>64</v>
          </cell>
        </row>
        <row r="593">
          <cell r="A593" t="str">
            <v>STACJA ROBOCZA</v>
          </cell>
          <cell r="B593" t="str">
            <v>DELL Optiplex GX240</v>
          </cell>
          <cell r="C593" t="str">
            <v>491-4912</v>
          </cell>
          <cell r="D593" t="str">
            <v>FLCK90J</v>
          </cell>
          <cell r="E593" t="str">
            <v xml:space="preserve">NP </v>
          </cell>
          <cell r="F593" t="str">
            <v xml:space="preserve">MICHEL                   JACEK          </v>
          </cell>
          <cell r="G593" t="str">
            <v>U-11</v>
          </cell>
          <cell r="H593" t="str">
            <v>404</v>
          </cell>
          <cell r="I593" t="str">
            <v>40-20</v>
          </cell>
          <cell r="J593" t="str">
            <v>9713</v>
          </cell>
          <cell r="K593" t="str">
            <v>491-4912</v>
          </cell>
          <cell r="L593" t="str">
            <v>2000</v>
          </cell>
          <cell r="M593" t="str">
            <v>OK55M</v>
          </cell>
          <cell r="N593" t="str">
            <v/>
          </cell>
        </row>
        <row r="594">
          <cell r="A594" t="str">
            <v>NOTEBOOK</v>
          </cell>
          <cell r="B594" t="str">
            <v>COMPAQ ARMADA E500 PIII 800</v>
          </cell>
          <cell r="C594" t="str">
            <v>491-4658</v>
          </cell>
          <cell r="D594" t="str">
            <v>3J17JSV1E30G</v>
          </cell>
          <cell r="E594" t="str">
            <v xml:space="preserve">NP </v>
          </cell>
          <cell r="F594" t="str">
            <v xml:space="preserve">GRZEŚKOWIAK              DOMINIK        </v>
          </cell>
          <cell r="G594" t="str">
            <v>U-11</v>
          </cell>
          <cell r="H594" t="str">
            <v>406</v>
          </cell>
          <cell r="I594" t="str">
            <v>34-76</v>
          </cell>
          <cell r="J594" t="str">
            <v>9095</v>
          </cell>
          <cell r="K594" t="str">
            <v>491-04658</v>
          </cell>
          <cell r="L594" t="str">
            <v>800</v>
          </cell>
          <cell r="M594" t="str">
            <v/>
          </cell>
          <cell r="N594" t="str">
            <v>128</v>
          </cell>
        </row>
        <row r="595">
          <cell r="A595" t="str">
            <v>STACJA ROBOCZA</v>
          </cell>
          <cell r="B595" t="str">
            <v>DELL Optiplex GX260 SD</v>
          </cell>
          <cell r="C595" t="str">
            <v>491-5041</v>
          </cell>
          <cell r="D595" t="str">
            <v>JMPFL0J</v>
          </cell>
          <cell r="E595" t="str">
            <v xml:space="preserve">NP </v>
          </cell>
          <cell r="F595" t="str">
            <v xml:space="preserve">KULA                     MAGDALENA      </v>
          </cell>
          <cell r="G595" t="str">
            <v>U-11</v>
          </cell>
          <cell r="H595" t="str">
            <v>303</v>
          </cell>
          <cell r="I595" t="str">
            <v>34-76</v>
          </cell>
          <cell r="J595" t="str">
            <v>9490</v>
          </cell>
          <cell r="K595" t="str">
            <v>491-05041</v>
          </cell>
          <cell r="L595" t="str">
            <v>2400</v>
          </cell>
          <cell r="M595" t="str">
            <v/>
          </cell>
          <cell r="N595" t="str">
            <v>254</v>
          </cell>
        </row>
        <row r="596">
          <cell r="A596" t="str">
            <v>STACJA ROBOCZA</v>
          </cell>
          <cell r="B596" t="str">
            <v>DELL Optiplex GX1L 266</v>
          </cell>
          <cell r="C596" t="str">
            <v>491-3377</v>
          </cell>
          <cell r="D596" t="str">
            <v>NM1CK</v>
          </cell>
          <cell r="E596" t="str">
            <v xml:space="preserve">NP </v>
          </cell>
          <cell r="F596" t="str">
            <v xml:space="preserve">SOCHA                    DANUTA         </v>
          </cell>
          <cell r="G596" t="str">
            <v>U-11</v>
          </cell>
          <cell r="H596" t="str">
            <v>406</v>
          </cell>
          <cell r="I596" t="str">
            <v>18-20</v>
          </cell>
          <cell r="J596" t="str">
            <v>867</v>
          </cell>
          <cell r="K596" t="str">
            <v>491-03377</v>
          </cell>
          <cell r="L596" t="str">
            <v>266</v>
          </cell>
          <cell r="M596" t="str">
            <v/>
          </cell>
          <cell r="N596" t="str">
            <v>32</v>
          </cell>
        </row>
        <row r="597">
          <cell r="A597" t="str">
            <v>STACJA ROBOCZA</v>
          </cell>
          <cell r="B597" t="str">
            <v>IVERSON 386</v>
          </cell>
          <cell r="C597" t="str">
            <v>491-1620/1725</v>
          </cell>
          <cell r="D597" t="str">
            <v>F1191-2479-001</v>
          </cell>
          <cell r="E597" t="str">
            <v xml:space="preserve">NP </v>
          </cell>
          <cell r="F597" t="str">
            <v xml:space="preserve">KULA                     MAGDALENA      </v>
          </cell>
          <cell r="G597" t="str">
            <v>U-11</v>
          </cell>
          <cell r="H597" t="str">
            <v>303</v>
          </cell>
          <cell r="I597" t="str">
            <v>34-76</v>
          </cell>
          <cell r="J597" t="str">
            <v>9490</v>
          </cell>
          <cell r="K597" t="str">
            <v/>
          </cell>
          <cell r="L597" t="str">
            <v>0</v>
          </cell>
          <cell r="M597" t="str">
            <v/>
          </cell>
          <cell r="N597" t="str">
            <v/>
          </cell>
        </row>
        <row r="598">
          <cell r="A598" t="str">
            <v>STACJA ROBOCZA</v>
          </cell>
          <cell r="B598" t="str">
            <v>KOMPUTER PC/AT</v>
          </cell>
          <cell r="C598" t="str">
            <v>491-1620/1688</v>
          </cell>
          <cell r="D598" t="str">
            <v>238018</v>
          </cell>
          <cell r="E598" t="str">
            <v xml:space="preserve">NP </v>
          </cell>
          <cell r="F598" t="str">
            <v xml:space="preserve">MARUSZAK                 ALICJA         </v>
          </cell>
          <cell r="G598" t="str">
            <v>U-11</v>
          </cell>
          <cell r="H598" t="str">
            <v>412</v>
          </cell>
          <cell r="I598" t="str">
            <v>18-21</v>
          </cell>
          <cell r="J598" t="str">
            <v>633</v>
          </cell>
          <cell r="K598" t="str">
            <v>491-01620-1688</v>
          </cell>
          <cell r="L598" t="str">
            <v>333</v>
          </cell>
          <cell r="M598" t="str">
            <v>OK55M</v>
          </cell>
          <cell r="N598" t="str">
            <v>192</v>
          </cell>
        </row>
        <row r="599">
          <cell r="A599" t="str">
            <v>STACJA ROBOCZA</v>
          </cell>
          <cell r="B599" t="str">
            <v>KOMPUTER 386SX</v>
          </cell>
          <cell r="C599" t="str">
            <v>491-1778</v>
          </cell>
          <cell r="D599" t="str">
            <v>019021/1703</v>
          </cell>
          <cell r="E599" t="str">
            <v xml:space="preserve">NP </v>
          </cell>
          <cell r="F599" t="str">
            <v xml:space="preserve">ŁAŻEWSKI                 WITOLD         </v>
          </cell>
          <cell r="G599" t="str">
            <v>U-9</v>
          </cell>
          <cell r="H599" t="str">
            <v>ROZGŁOŚNIA</v>
          </cell>
          <cell r="I599" t="str">
            <v>10-38</v>
          </cell>
          <cell r="J599" t="str">
            <v>541</v>
          </cell>
          <cell r="K599" t="str">
            <v>491-01778</v>
          </cell>
          <cell r="L599" t="str">
            <v>1700</v>
          </cell>
          <cell r="M599" t="str">
            <v/>
          </cell>
          <cell r="N599" t="str">
            <v>256</v>
          </cell>
        </row>
        <row r="600">
          <cell r="A600" t="str">
            <v>STACJA ROBOCZA</v>
          </cell>
          <cell r="B600" t="str">
            <v>DELL Optiplex GX150</v>
          </cell>
          <cell r="C600" t="str">
            <v>491-4700</v>
          </cell>
          <cell r="D600" t="str">
            <v>8LVX60J</v>
          </cell>
          <cell r="E600" t="str">
            <v xml:space="preserve">NP </v>
          </cell>
          <cell r="F600" t="str">
            <v xml:space="preserve">WÓJCIK                   ALEKSANDRA     </v>
          </cell>
          <cell r="G600" t="str">
            <v>U-11</v>
          </cell>
          <cell r="H600" t="str">
            <v>406</v>
          </cell>
          <cell r="I600" t="str">
            <v>18-20</v>
          </cell>
          <cell r="J600" t="str">
            <v>9711</v>
          </cell>
          <cell r="K600" t="str">
            <v>491-04700</v>
          </cell>
          <cell r="L600" t="str">
            <v>1000</v>
          </cell>
          <cell r="M600" t="str">
            <v/>
          </cell>
          <cell r="N600" t="str">
            <v>255</v>
          </cell>
        </row>
        <row r="601">
          <cell r="A601" t="str">
            <v>STACJA ROBOCZA</v>
          </cell>
          <cell r="B601" t="str">
            <v>NEC PowerMate VT Destop P III 450</v>
          </cell>
          <cell r="C601" t="str">
            <v>491-4052</v>
          </cell>
          <cell r="D601" t="str">
            <v>0287109</v>
          </cell>
          <cell r="E601" t="str">
            <v xml:space="preserve">NP </v>
          </cell>
          <cell r="F601" t="str">
            <v xml:space="preserve">SOWIŃSKA                 MARIA          </v>
          </cell>
          <cell r="G601" t="str">
            <v>U-11</v>
          </cell>
          <cell r="H601" t="str">
            <v>211</v>
          </cell>
          <cell r="I601" t="str">
            <v>16-40</v>
          </cell>
          <cell r="J601" t="str">
            <v>897</v>
          </cell>
          <cell r="K601" t="str">
            <v>491-04052</v>
          </cell>
          <cell r="L601" t="str">
            <v>450</v>
          </cell>
          <cell r="M601" t="str">
            <v/>
          </cell>
          <cell r="N601" t="str">
            <v>64</v>
          </cell>
        </row>
        <row r="602">
          <cell r="A602" t="str">
            <v>STACJA ROBOCZA</v>
          </cell>
          <cell r="B602" t="str">
            <v>NEC PowerMate VT Destop P III 450</v>
          </cell>
          <cell r="C602" t="str">
            <v>491-3934</v>
          </cell>
          <cell r="D602" t="str">
            <v>0282109</v>
          </cell>
          <cell r="E602" t="str">
            <v xml:space="preserve">NP </v>
          </cell>
          <cell r="F602" t="str">
            <v xml:space="preserve">GRZEŚKOWIAK              DOMINIK        </v>
          </cell>
          <cell r="G602" t="str">
            <v>U-11</v>
          </cell>
          <cell r="H602" t="str">
            <v>406</v>
          </cell>
          <cell r="I602" t="str">
            <v>34-76</v>
          </cell>
          <cell r="J602" t="str">
            <v>9095</v>
          </cell>
          <cell r="K602" t="str">
            <v>491-03934</v>
          </cell>
          <cell r="L602" t="str">
            <v>450</v>
          </cell>
          <cell r="M602" t="str">
            <v/>
          </cell>
          <cell r="N602" t="str">
            <v>128</v>
          </cell>
        </row>
        <row r="603">
          <cell r="A603" t="str">
            <v>STACJA ROBOCZA</v>
          </cell>
          <cell r="B603" t="str">
            <v>COMPAQ DESKPRO EXD PIII 733</v>
          </cell>
          <cell r="C603" t="str">
            <v>491-4476</v>
          </cell>
          <cell r="D603" t="str">
            <v>8036FR4ZE243</v>
          </cell>
          <cell r="E603" t="str">
            <v xml:space="preserve">NP </v>
          </cell>
          <cell r="F603" t="str">
            <v xml:space="preserve">PYCHOWSKA                TERESA         </v>
          </cell>
          <cell r="G603" t="str">
            <v>U-11</v>
          </cell>
          <cell r="H603" t="str">
            <v>412</v>
          </cell>
          <cell r="I603" t="str">
            <v>18-21</v>
          </cell>
          <cell r="J603" t="str">
            <v>771</v>
          </cell>
          <cell r="K603" t="str">
            <v>491-04476</v>
          </cell>
          <cell r="L603" t="str">
            <v>733</v>
          </cell>
          <cell r="M603" t="str">
            <v/>
          </cell>
          <cell r="N603" t="str">
            <v>127</v>
          </cell>
        </row>
        <row r="604">
          <cell r="A604" t="str">
            <v>STACJA ROBOCZA</v>
          </cell>
          <cell r="B604" t="str">
            <v>KOMPUTER 386SX</v>
          </cell>
          <cell r="C604" t="str">
            <v>491-1620/1731</v>
          </cell>
          <cell r="D604" t="str">
            <v>WY9112744</v>
          </cell>
          <cell r="E604" t="str">
            <v xml:space="preserve">NP </v>
          </cell>
          <cell r="F604" t="str">
            <v xml:space="preserve">WOŹNY                    PRZEMYSŁAW     </v>
          </cell>
          <cell r="G604" t="str">
            <v>U-11</v>
          </cell>
          <cell r="H604" t="str">
            <v>408</v>
          </cell>
          <cell r="I604" t="str">
            <v>18-20</v>
          </cell>
          <cell r="J604" t="str">
            <v>9474</v>
          </cell>
          <cell r="K604" t="str">
            <v>491-01620-1731</v>
          </cell>
          <cell r="L604" t="str">
            <v>366</v>
          </cell>
          <cell r="M604" t="str">
            <v/>
          </cell>
          <cell r="N604" t="str">
            <v>64</v>
          </cell>
        </row>
        <row r="605">
          <cell r="A605" t="str">
            <v>STACJA ROBOCZA</v>
          </cell>
          <cell r="B605" t="str">
            <v>DELL Optiplex GX150</v>
          </cell>
          <cell r="C605" t="str">
            <v>491-4847</v>
          </cell>
          <cell r="D605" t="str">
            <v>1TPX60J</v>
          </cell>
          <cell r="E605" t="str">
            <v xml:space="preserve">NR </v>
          </cell>
          <cell r="F605" t="str">
            <v xml:space="preserve">GAMROT                   GRAŻYNA        </v>
          </cell>
          <cell r="G605" t="str">
            <v>U-11</v>
          </cell>
          <cell r="H605" t="str">
            <v>712</v>
          </cell>
          <cell r="I605" t="str">
            <v>18-25</v>
          </cell>
          <cell r="J605" t="str">
            <v>255</v>
          </cell>
          <cell r="K605" t="str">
            <v>491-04847</v>
          </cell>
          <cell r="L605" t="str">
            <v>1000</v>
          </cell>
          <cell r="M605" t="str">
            <v/>
          </cell>
          <cell r="N605" t="str">
            <v>255</v>
          </cell>
        </row>
        <row r="606">
          <cell r="A606" t="str">
            <v>STACJA ROBOCZA</v>
          </cell>
          <cell r="B606" t="str">
            <v>DELL Optiplex GX150</v>
          </cell>
          <cell r="C606" t="str">
            <v>491-4834</v>
          </cell>
          <cell r="D606" t="str">
            <v>7WLZ60J</v>
          </cell>
          <cell r="E606" t="str">
            <v xml:space="preserve">NR </v>
          </cell>
          <cell r="F606" t="str">
            <v xml:space="preserve">KOWALCZYK-ŁASKA          HALINA         </v>
          </cell>
          <cell r="G606" t="str">
            <v>U-11</v>
          </cell>
          <cell r="H606" t="str">
            <v>712</v>
          </cell>
          <cell r="I606" t="str">
            <v/>
          </cell>
          <cell r="J606" t="str">
            <v>340</v>
          </cell>
          <cell r="K606" t="str">
            <v>491-04834</v>
          </cell>
          <cell r="L606" t="str">
            <v>1000</v>
          </cell>
          <cell r="M606" t="str">
            <v/>
          </cell>
          <cell r="N606" t="str">
            <v>255</v>
          </cell>
        </row>
        <row r="607">
          <cell r="A607" t="str">
            <v>STACJA ROBOCZA</v>
          </cell>
          <cell r="B607" t="str">
            <v>DELL Optiplex GX150</v>
          </cell>
          <cell r="C607" t="str">
            <v>491-4711</v>
          </cell>
          <cell r="D607" t="str">
            <v>BNVX60J</v>
          </cell>
          <cell r="E607" t="str">
            <v xml:space="preserve">NR </v>
          </cell>
          <cell r="F607" t="str">
            <v xml:space="preserve">DERYŁO                   WIESŁAW        </v>
          </cell>
          <cell r="G607" t="str">
            <v>U-11</v>
          </cell>
          <cell r="H607" t="str">
            <v>211</v>
          </cell>
          <cell r="I607" t="str">
            <v>18-25</v>
          </cell>
          <cell r="J607" t="str">
            <v>157</v>
          </cell>
          <cell r="K607" t="str">
            <v>491-04711</v>
          </cell>
          <cell r="L607" t="str">
            <v>1000</v>
          </cell>
          <cell r="M607" t="str">
            <v/>
          </cell>
          <cell r="N607" t="str">
            <v>255</v>
          </cell>
        </row>
        <row r="608">
          <cell r="A608" t="str">
            <v>NOTEBOOK</v>
          </cell>
          <cell r="B608" t="str">
            <v>DELL Latitude C640</v>
          </cell>
          <cell r="C608" t="str">
            <v>491-5064</v>
          </cell>
          <cell r="D608" t="str">
            <v>75RGL0J</v>
          </cell>
          <cell r="E608" t="str">
            <v xml:space="preserve">NR </v>
          </cell>
          <cell r="F608" t="str">
            <v xml:space="preserve">STRACHOCKA               JOLANTA        </v>
          </cell>
          <cell r="G608" t="str">
            <v>U-11</v>
          </cell>
          <cell r="H608" t="str">
            <v>712</v>
          </cell>
          <cell r="I608" t="str">
            <v>18-25</v>
          </cell>
          <cell r="J608" t="str">
            <v>918</v>
          </cell>
          <cell r="K608" t="str">
            <v/>
          </cell>
          <cell r="L608" t="str">
            <v>1800</v>
          </cell>
          <cell r="M608" t="str">
            <v/>
          </cell>
          <cell r="N608" t="str">
            <v/>
          </cell>
        </row>
        <row r="609">
          <cell r="A609" t="str">
            <v>STACJA ROBOCZA</v>
          </cell>
          <cell r="B609" t="str">
            <v>DELL Optiplex GX150</v>
          </cell>
          <cell r="C609" t="str">
            <v>491-4710</v>
          </cell>
          <cell r="D609" t="str">
            <v>3LVX60J</v>
          </cell>
          <cell r="E609" t="str">
            <v xml:space="preserve">NR </v>
          </cell>
          <cell r="F609" t="str">
            <v xml:space="preserve">LESZCZYŃSKA              MARIA          </v>
          </cell>
          <cell r="G609" t="str">
            <v>U-11</v>
          </cell>
          <cell r="H609" t="str">
            <v>211</v>
          </cell>
          <cell r="I609" t="str">
            <v/>
          </cell>
          <cell r="J609" t="str">
            <v>527</v>
          </cell>
          <cell r="K609" t="str">
            <v>491-04710</v>
          </cell>
          <cell r="L609" t="str">
            <v>1000</v>
          </cell>
          <cell r="M609" t="str">
            <v/>
          </cell>
          <cell r="N609" t="str">
            <v>255</v>
          </cell>
        </row>
        <row r="610">
          <cell r="A610" t="str">
            <v>NOTEBOOK</v>
          </cell>
          <cell r="B610" t="str">
            <v>LAPTOP M20</v>
          </cell>
          <cell r="C610" t="str">
            <v>491-1852</v>
          </cell>
          <cell r="D610" t="str">
            <v>H390300000 /117210013</v>
          </cell>
          <cell r="E610" t="str">
            <v xml:space="preserve">NR </v>
          </cell>
          <cell r="F610" t="str">
            <v xml:space="preserve">DERYŁO                   WIESŁAW        </v>
          </cell>
          <cell r="G610" t="str">
            <v>U-11</v>
          </cell>
          <cell r="H610" t="str">
            <v>211</v>
          </cell>
          <cell r="I610" t="str">
            <v>18-25</v>
          </cell>
          <cell r="J610" t="str">
            <v>157</v>
          </cell>
          <cell r="K610" t="str">
            <v>491-01852</v>
          </cell>
          <cell r="L610" t="str">
            <v>366</v>
          </cell>
          <cell r="M610" t="str">
            <v/>
          </cell>
          <cell r="N610" t="str">
            <v>64</v>
          </cell>
        </row>
        <row r="611">
          <cell r="A611" t="str">
            <v>STACJA ROBOCZA</v>
          </cell>
          <cell r="B611" t="str">
            <v>KOMPUTER PC/AT</v>
          </cell>
          <cell r="C611" t="str">
            <v>491-1620/1671</v>
          </cell>
          <cell r="D611" t="str">
            <v>238016</v>
          </cell>
          <cell r="E611" t="str">
            <v xml:space="preserve">NR </v>
          </cell>
          <cell r="F611" t="str">
            <v xml:space="preserve">DERYŁO                   WIESŁAW        </v>
          </cell>
          <cell r="G611" t="str">
            <v>U-11</v>
          </cell>
          <cell r="H611" t="str">
            <v>211</v>
          </cell>
          <cell r="I611" t="str">
            <v>18-25</v>
          </cell>
          <cell r="J611" t="str">
            <v>157</v>
          </cell>
          <cell r="K611" t="str">
            <v>491-1620_1671</v>
          </cell>
          <cell r="L611" t="str">
            <v>400</v>
          </cell>
          <cell r="M611" t="str">
            <v>NIE UZYWANY</v>
          </cell>
          <cell r="N611" t="str">
            <v/>
          </cell>
        </row>
        <row r="612">
          <cell r="A612" t="str">
            <v>NOTEBOOK</v>
          </cell>
          <cell r="B612" t="str">
            <v>COMPAQ ARMADA 4131T</v>
          </cell>
          <cell r="C612" t="str">
            <v>491-2899</v>
          </cell>
          <cell r="D612" t="str">
            <v>8715HYE11245</v>
          </cell>
          <cell r="E612" t="str">
            <v xml:space="preserve">NR </v>
          </cell>
          <cell r="F612" t="str">
            <v xml:space="preserve">DERYŁO                   WIESŁAW        </v>
          </cell>
          <cell r="G612" t="str">
            <v>U-11</v>
          </cell>
          <cell r="H612" t="str">
            <v>211</v>
          </cell>
          <cell r="I612" t="str">
            <v>18-25</v>
          </cell>
          <cell r="J612" t="str">
            <v>157</v>
          </cell>
          <cell r="K612" t="str">
            <v/>
          </cell>
          <cell r="L612" t="str">
            <v>133</v>
          </cell>
          <cell r="M612" t="str">
            <v/>
          </cell>
          <cell r="N612" t="str">
            <v/>
          </cell>
        </row>
        <row r="613">
          <cell r="A613" t="str">
            <v>STACJA ROBOCZA</v>
          </cell>
          <cell r="B613" t="str">
            <v>DELL Optiplex GX150</v>
          </cell>
          <cell r="C613" t="str">
            <v>491-4838</v>
          </cell>
          <cell r="D613" t="str">
            <v>7LRX60J</v>
          </cell>
          <cell r="E613" t="str">
            <v>NZB</v>
          </cell>
          <cell r="F613" t="str">
            <v xml:space="preserve">ARASZKIEWICZ             ELŻBIETA       </v>
          </cell>
          <cell r="G613" t="str">
            <v>U-11</v>
          </cell>
          <cell r="H613" t="str">
            <v>404</v>
          </cell>
          <cell r="I613" t="str">
            <v>18-42</v>
          </cell>
          <cell r="J613" t="str">
            <v>8</v>
          </cell>
          <cell r="K613" t="str">
            <v>491-04838</v>
          </cell>
          <cell r="L613" t="str">
            <v>1000</v>
          </cell>
          <cell r="M613" t="str">
            <v/>
          </cell>
          <cell r="N613" t="str">
            <v>255</v>
          </cell>
        </row>
        <row r="614">
          <cell r="A614" t="str">
            <v>STACJA ROBOCZA</v>
          </cell>
          <cell r="B614" t="str">
            <v>NEC Power Mate VT P III 600</v>
          </cell>
          <cell r="C614" t="str">
            <v>491-4225</v>
          </cell>
          <cell r="D614" t="str">
            <v>0057060</v>
          </cell>
          <cell r="E614" t="str">
            <v>NZB</v>
          </cell>
          <cell r="F614" t="str">
            <v xml:space="preserve">DZIKI                    JAN            </v>
          </cell>
          <cell r="G614" t="str">
            <v>U-11</v>
          </cell>
          <cell r="H614" t="str">
            <v>404</v>
          </cell>
          <cell r="I614" t="str">
            <v>40-40</v>
          </cell>
          <cell r="J614" t="str">
            <v>9078</v>
          </cell>
          <cell r="K614" t="str">
            <v>491-04225</v>
          </cell>
          <cell r="L614" t="str">
            <v>600</v>
          </cell>
          <cell r="M614" t="str">
            <v/>
          </cell>
          <cell r="N614" t="str">
            <v>128</v>
          </cell>
        </row>
        <row r="615">
          <cell r="A615" t="str">
            <v>STACJA ROBOCZA</v>
          </cell>
          <cell r="B615" t="str">
            <v>KOMPUTER 486SX</v>
          </cell>
          <cell r="C615" t="str">
            <v>491-1620/8895</v>
          </cell>
          <cell r="D615" t="str">
            <v>8895/114</v>
          </cell>
          <cell r="E615" t="str">
            <v>NZB</v>
          </cell>
          <cell r="F615" t="str">
            <v xml:space="preserve">POKORSKI                 KRZYSZTOF      </v>
          </cell>
          <cell r="G615" t="str">
            <v>U-11</v>
          </cell>
          <cell r="H615" t="str">
            <v>404</v>
          </cell>
          <cell r="I615" t="str">
            <v>35-59</v>
          </cell>
          <cell r="J615" t="str">
            <v>9126</v>
          </cell>
          <cell r="K615" t="str">
            <v/>
          </cell>
          <cell r="L615" t="str">
            <v>0</v>
          </cell>
          <cell r="M615" t="str">
            <v/>
          </cell>
          <cell r="N615" t="str">
            <v/>
          </cell>
        </row>
        <row r="616">
          <cell r="A616" t="str">
            <v>STACJA ROBOCZA</v>
          </cell>
          <cell r="B616" t="str">
            <v>DELL Optiplex GX150</v>
          </cell>
          <cell r="C616" t="str">
            <v>491-4845</v>
          </cell>
          <cell r="D616" t="str">
            <v>9PRX60J</v>
          </cell>
          <cell r="E616" t="str">
            <v>NZB</v>
          </cell>
          <cell r="F616" t="str">
            <v xml:space="preserve">POKORSKI                 KRZYSZTOF      </v>
          </cell>
          <cell r="G616" t="str">
            <v>U-11</v>
          </cell>
          <cell r="H616" t="str">
            <v>404</v>
          </cell>
          <cell r="I616" t="str">
            <v>35-59</v>
          </cell>
          <cell r="J616" t="str">
            <v>9126</v>
          </cell>
          <cell r="K616" t="str">
            <v>491-04845</v>
          </cell>
          <cell r="L616" t="str">
            <v>1000</v>
          </cell>
          <cell r="M616" t="str">
            <v>OK55M</v>
          </cell>
          <cell r="N616" t="str">
            <v>255</v>
          </cell>
        </row>
        <row r="617">
          <cell r="A617" t="str">
            <v>STACJA ROBOCZA</v>
          </cell>
          <cell r="B617" t="str">
            <v>DELL Optiplex GX150</v>
          </cell>
          <cell r="C617" t="str">
            <v>491-4844</v>
          </cell>
          <cell r="D617" t="str">
            <v>BLRX60J</v>
          </cell>
          <cell r="E617" t="str">
            <v>NZB</v>
          </cell>
          <cell r="F617" t="str">
            <v xml:space="preserve">POKORSKI                 KRZYSZTOF      </v>
          </cell>
          <cell r="G617" t="str">
            <v>U-11</v>
          </cell>
          <cell r="H617" t="str">
            <v>404</v>
          </cell>
          <cell r="I617" t="str">
            <v>35-59</v>
          </cell>
          <cell r="J617" t="str">
            <v>9126</v>
          </cell>
          <cell r="K617" t="str">
            <v/>
          </cell>
          <cell r="L617" t="str">
            <v>1000</v>
          </cell>
          <cell r="M617" t="str">
            <v>ZINWENTARYZOWANY</v>
          </cell>
          <cell r="N617" t="str">
            <v/>
          </cell>
        </row>
        <row r="618">
          <cell r="A618" t="str">
            <v>STACJA ROBOCZA</v>
          </cell>
          <cell r="B618" t="str">
            <v>KOMPUTER 486SX</v>
          </cell>
          <cell r="C618" t="str">
            <v>491-1620/8885</v>
          </cell>
          <cell r="D618" t="str">
            <v>8885/114</v>
          </cell>
          <cell r="E618" t="str">
            <v>NZB</v>
          </cell>
          <cell r="F618" t="str">
            <v xml:space="preserve">POKORSKI                 KRZYSZTOF      </v>
          </cell>
          <cell r="G618" t="str">
            <v>U-11</v>
          </cell>
          <cell r="H618" t="str">
            <v>404</v>
          </cell>
          <cell r="I618" t="str">
            <v>35-59</v>
          </cell>
          <cell r="J618" t="str">
            <v>9126</v>
          </cell>
          <cell r="K618" t="str">
            <v>KRZYSZTOFP</v>
          </cell>
          <cell r="L618" t="str">
            <v>0</v>
          </cell>
          <cell r="M618" t="str">
            <v>OK55M</v>
          </cell>
          <cell r="N618" t="str">
            <v/>
          </cell>
        </row>
        <row r="619">
          <cell r="A619" t="str">
            <v>STACJA ROBOCZA</v>
          </cell>
          <cell r="B619" t="str">
            <v>DELL Optiplex GX150</v>
          </cell>
          <cell r="C619" t="str">
            <v>491-4839</v>
          </cell>
          <cell r="D619" t="str">
            <v>3QRX60J</v>
          </cell>
          <cell r="E619" t="str">
            <v>NZB</v>
          </cell>
          <cell r="F619" t="str">
            <v xml:space="preserve">POKORSKI                 KRZYSZTOF      </v>
          </cell>
          <cell r="G619" t="str">
            <v>U-11</v>
          </cell>
          <cell r="H619" t="str">
            <v>404</v>
          </cell>
          <cell r="I619" t="str">
            <v>35-59</v>
          </cell>
          <cell r="J619" t="str">
            <v>9126</v>
          </cell>
          <cell r="K619" t="str">
            <v/>
          </cell>
          <cell r="L619" t="str">
            <v>1000</v>
          </cell>
          <cell r="M619" t="str">
            <v>BEZ SIECI</v>
          </cell>
          <cell r="N619" t="str">
            <v/>
          </cell>
        </row>
        <row r="620">
          <cell r="A620" t="str">
            <v>STACJA ROBOCZA</v>
          </cell>
          <cell r="B620" t="str">
            <v>NEC Power Mate VT P III 600</v>
          </cell>
          <cell r="C620" t="str">
            <v>491-4218</v>
          </cell>
          <cell r="D620" t="str">
            <v>0058060</v>
          </cell>
          <cell r="E620" t="str">
            <v>NZJ</v>
          </cell>
          <cell r="F620" t="str">
            <v xml:space="preserve">WARCHOŁ                  MARIUSZ        </v>
          </cell>
          <cell r="G620" t="str">
            <v>U-11</v>
          </cell>
          <cell r="H620" t="str">
            <v>711</v>
          </cell>
          <cell r="I620" t="str">
            <v>40-53</v>
          </cell>
          <cell r="J620" t="str">
            <v>5330</v>
          </cell>
          <cell r="K620" t="str">
            <v>491-04218</v>
          </cell>
          <cell r="L620" t="str">
            <v>600</v>
          </cell>
          <cell r="M620" t="str">
            <v/>
          </cell>
          <cell r="N620" t="str">
            <v>64</v>
          </cell>
        </row>
        <row r="621">
          <cell r="A621" t="str">
            <v>STACJA ROBOCZA</v>
          </cell>
          <cell r="B621" t="str">
            <v>COMPAQ DESKPRO EXDT</v>
          </cell>
          <cell r="C621" t="str">
            <v>491-4660</v>
          </cell>
          <cell r="D621" t="str">
            <v>8124FR4Z0G3K</v>
          </cell>
          <cell r="E621" t="str">
            <v>NZJ</v>
          </cell>
          <cell r="F621" t="str">
            <v xml:space="preserve">KOZAKOWSKA               DANUTA         </v>
          </cell>
          <cell r="G621" t="str">
            <v>U-11</v>
          </cell>
          <cell r="H621" t="str">
            <v>711</v>
          </cell>
          <cell r="I621" t="str">
            <v>40-53</v>
          </cell>
          <cell r="J621" t="str">
            <v>5637</v>
          </cell>
          <cell r="K621" t="str">
            <v>491-04660</v>
          </cell>
          <cell r="L621" t="str">
            <v>1000</v>
          </cell>
          <cell r="M621" t="str">
            <v/>
          </cell>
          <cell r="N621" t="str">
            <v>63</v>
          </cell>
        </row>
        <row r="622">
          <cell r="A622" t="str">
            <v>STACJA ROBOCZA</v>
          </cell>
          <cell r="B622" t="str">
            <v>NEC Power Mate VT P III 600</v>
          </cell>
          <cell r="C622" t="str">
            <v>491-4215</v>
          </cell>
          <cell r="D622" t="str">
            <v>0121060</v>
          </cell>
          <cell r="E622" t="str">
            <v>NZJ</v>
          </cell>
          <cell r="F622" t="str">
            <v xml:space="preserve">DUDEK                    CECYLIA        </v>
          </cell>
          <cell r="G622" t="str">
            <v>U-11</v>
          </cell>
          <cell r="H622" t="str">
            <v>408</v>
          </cell>
          <cell r="I622" t="str">
            <v>17-28</v>
          </cell>
          <cell r="J622" t="str">
            <v>8211</v>
          </cell>
          <cell r="K622" t="str">
            <v>491-04215</v>
          </cell>
          <cell r="L622" t="str">
            <v>600</v>
          </cell>
          <cell r="M622" t="str">
            <v/>
          </cell>
          <cell r="N622" t="str">
            <v>64</v>
          </cell>
        </row>
        <row r="623">
          <cell r="A623" t="str">
            <v>STACJA ROBOCZA</v>
          </cell>
          <cell r="B623" t="str">
            <v>NEC PowerMate VT Destop P III 450</v>
          </cell>
          <cell r="C623" t="str">
            <v>491-4023</v>
          </cell>
          <cell r="D623" t="str">
            <v>0684109</v>
          </cell>
          <cell r="E623" t="str">
            <v>NZJ</v>
          </cell>
          <cell r="F623" t="str">
            <v xml:space="preserve">KUDAJ                    JAROSŁAW       </v>
          </cell>
          <cell r="G623" t="str">
            <v>U-17</v>
          </cell>
          <cell r="H623" t="str">
            <v>9</v>
          </cell>
          <cell r="I623" t="str">
            <v>21-32</v>
          </cell>
          <cell r="J623" t="str">
            <v>6751</v>
          </cell>
          <cell r="K623" t="str">
            <v>491-04023</v>
          </cell>
          <cell r="L623" t="str">
            <v>450</v>
          </cell>
          <cell r="M623" t="str">
            <v/>
          </cell>
          <cell r="N623" t="str">
            <v>511</v>
          </cell>
        </row>
        <row r="624">
          <cell r="A624" t="str">
            <v>STACJA ROBOCZA</v>
          </cell>
          <cell r="B624" t="str">
            <v>NEC Power Mate VT P III 600</v>
          </cell>
          <cell r="C624" t="str">
            <v>491-4217</v>
          </cell>
          <cell r="D624" t="str">
            <v>0047060</v>
          </cell>
          <cell r="E624" t="str">
            <v>NZJ</v>
          </cell>
          <cell r="F624" t="str">
            <v xml:space="preserve">FRĄTCZAK                 TADEUSZ        </v>
          </cell>
          <cell r="G624" t="str">
            <v>U-11</v>
          </cell>
          <cell r="H624" t="str">
            <v>408</v>
          </cell>
          <cell r="I624" t="str">
            <v>17-28</v>
          </cell>
          <cell r="J624" t="str">
            <v>186</v>
          </cell>
          <cell r="K624" t="str">
            <v>491-04217</v>
          </cell>
          <cell r="L624" t="str">
            <v>600</v>
          </cell>
          <cell r="M624" t="str">
            <v/>
          </cell>
          <cell r="N624" t="str">
            <v>192</v>
          </cell>
        </row>
        <row r="625">
          <cell r="A625" t="str">
            <v>STACJA ROBOCZA</v>
          </cell>
          <cell r="B625" t="str">
            <v>DELL Optiplex GX150</v>
          </cell>
          <cell r="C625" t="str">
            <v>491-4771</v>
          </cell>
          <cell r="D625" t="str">
            <v>CKVX60J</v>
          </cell>
          <cell r="E625" t="str">
            <v>NZO</v>
          </cell>
          <cell r="F625" t="str">
            <v xml:space="preserve">JANIK                    PAWEŁ          </v>
          </cell>
          <cell r="G625" t="str">
            <v>U-11</v>
          </cell>
          <cell r="H625" t="str">
            <v>308a</v>
          </cell>
          <cell r="I625" t="str">
            <v>40-23</v>
          </cell>
          <cell r="J625" t="str">
            <v>9612</v>
          </cell>
          <cell r="K625" t="str">
            <v>491-04771</v>
          </cell>
          <cell r="L625" t="str">
            <v>1000</v>
          </cell>
          <cell r="M625" t="str">
            <v/>
          </cell>
          <cell r="N625" t="str">
            <v>255</v>
          </cell>
        </row>
        <row r="626">
          <cell r="A626" t="str">
            <v>NOTEBOOK</v>
          </cell>
          <cell r="B626" t="str">
            <v>Dell Latitude CPi 300XT</v>
          </cell>
          <cell r="C626" t="str">
            <v>491-3574</v>
          </cell>
          <cell r="D626" t="str">
            <v>ZL83Y</v>
          </cell>
          <cell r="E626" t="str">
            <v>NZO</v>
          </cell>
          <cell r="F626" t="str">
            <v xml:space="preserve">DOMAN                    DARIUSZ        </v>
          </cell>
          <cell r="G626" t="str">
            <v>U-11</v>
          </cell>
          <cell r="H626" t="str">
            <v>308</v>
          </cell>
          <cell r="I626" t="str">
            <v>11-89</v>
          </cell>
          <cell r="J626" t="str">
            <v>9593</v>
          </cell>
          <cell r="K626" t="str">
            <v>491-03574</v>
          </cell>
          <cell r="L626" t="str">
            <v>300</v>
          </cell>
          <cell r="M626" t="str">
            <v/>
          </cell>
          <cell r="N626" t="str">
            <v>32</v>
          </cell>
        </row>
        <row r="627">
          <cell r="A627" t="str">
            <v>STACJA ROBOCZA</v>
          </cell>
          <cell r="B627" t="str">
            <v>COMPAQ DESKPRO EXD PIII 733</v>
          </cell>
          <cell r="C627" t="str">
            <v>491-4468</v>
          </cell>
          <cell r="D627" t="str">
            <v>8036FR4ZE584</v>
          </cell>
          <cell r="E627" t="str">
            <v>NZO</v>
          </cell>
          <cell r="F627" t="str">
            <v xml:space="preserve">ALAMA                    GRAŻYNA        </v>
          </cell>
          <cell r="G627" t="str">
            <v>U-11</v>
          </cell>
          <cell r="H627" t="str">
            <v>308</v>
          </cell>
          <cell r="I627" t="str">
            <v>11-89</v>
          </cell>
          <cell r="J627" t="str">
            <v>609</v>
          </cell>
          <cell r="K627" t="str">
            <v>491-04468</v>
          </cell>
          <cell r="L627" t="str">
            <v>733</v>
          </cell>
          <cell r="M627" t="str">
            <v/>
          </cell>
          <cell r="N627" t="str">
            <v>127</v>
          </cell>
        </row>
        <row r="628">
          <cell r="A628" t="str">
            <v>STACJA ROBOCZA</v>
          </cell>
          <cell r="B628" t="str">
            <v>DELL Optiplex GX150</v>
          </cell>
          <cell r="C628" t="str">
            <v>491-4770</v>
          </cell>
          <cell r="D628" t="str">
            <v>DMVX60J</v>
          </cell>
          <cell r="E628" t="str">
            <v>NZO</v>
          </cell>
          <cell r="F628" t="str">
            <v xml:space="preserve">DOMAN                    DARIUSZ        </v>
          </cell>
          <cell r="G628" t="str">
            <v>U-11</v>
          </cell>
          <cell r="H628" t="str">
            <v>308</v>
          </cell>
          <cell r="I628" t="str">
            <v>11-89</v>
          </cell>
          <cell r="J628" t="str">
            <v>9593</v>
          </cell>
          <cell r="K628" t="str">
            <v>491-04770</v>
          </cell>
          <cell r="L628" t="str">
            <v>1000</v>
          </cell>
          <cell r="M628" t="str">
            <v/>
          </cell>
          <cell r="N628" t="str">
            <v>255</v>
          </cell>
        </row>
        <row r="629">
          <cell r="A629" t="str">
            <v>STACJA ROBOCZA</v>
          </cell>
          <cell r="B629" t="str">
            <v>DELL Optiplex GX150</v>
          </cell>
          <cell r="C629" t="str">
            <v>491-4843</v>
          </cell>
          <cell r="D629" t="str">
            <v>7QRX60J</v>
          </cell>
          <cell r="E629" t="str">
            <v xml:space="preserve">PA </v>
          </cell>
          <cell r="F629" t="str">
            <v xml:space="preserve">DOMIAN                   EWA            </v>
          </cell>
          <cell r="G629" t="str">
            <v>U-11</v>
          </cell>
          <cell r="H629" t="str">
            <v>607</v>
          </cell>
          <cell r="I629" t="str">
            <v>40-29</v>
          </cell>
          <cell r="J629" t="str">
            <v>991</v>
          </cell>
          <cell r="K629" t="str">
            <v>491-04843</v>
          </cell>
          <cell r="L629" t="str">
            <v>1000</v>
          </cell>
          <cell r="M629" t="str">
            <v/>
          </cell>
          <cell r="N629" t="str">
            <v>255</v>
          </cell>
        </row>
        <row r="630">
          <cell r="A630" t="str">
            <v>STACJA ROBOCZA</v>
          </cell>
          <cell r="B630" t="str">
            <v>COMPAQ DESKPRO EXD PIII 733</v>
          </cell>
          <cell r="C630" t="str">
            <v>491-4502</v>
          </cell>
          <cell r="D630" t="str">
            <v>8036FR4ZE477</v>
          </cell>
          <cell r="E630" t="str">
            <v xml:space="preserve">PA </v>
          </cell>
          <cell r="F630" t="str">
            <v xml:space="preserve">RYCHLEWICZ               JOANNA         </v>
          </cell>
          <cell r="G630" t="str">
            <v>U-9</v>
          </cell>
          <cell r="H630" t="str">
            <v>9</v>
          </cell>
          <cell r="I630" t="str">
            <v>11-92</v>
          </cell>
          <cell r="J630" t="str">
            <v>853</v>
          </cell>
          <cell r="K630" t="str">
            <v>491-04502</v>
          </cell>
          <cell r="L630" t="str">
            <v>733</v>
          </cell>
          <cell r="M630" t="str">
            <v/>
          </cell>
          <cell r="N630" t="str">
            <v>127</v>
          </cell>
        </row>
        <row r="631">
          <cell r="A631" t="str">
            <v>STACJA ROBOCZA</v>
          </cell>
          <cell r="B631" t="str">
            <v>DELL Optiplex GX150</v>
          </cell>
          <cell r="C631" t="str">
            <v>491-4842</v>
          </cell>
          <cell r="D631" t="str">
            <v>CQRX60J</v>
          </cell>
          <cell r="E631" t="str">
            <v xml:space="preserve">PA </v>
          </cell>
          <cell r="F631" t="str">
            <v xml:space="preserve">PAWLACZYK                JAN            </v>
          </cell>
          <cell r="G631" t="str">
            <v>U-17</v>
          </cell>
          <cell r="H631" t="str">
            <v>90</v>
          </cell>
          <cell r="I631" t="str">
            <v/>
          </cell>
          <cell r="J631" t="str">
            <v>741</v>
          </cell>
          <cell r="K631" t="str">
            <v>491-04842</v>
          </cell>
          <cell r="L631" t="str">
            <v>1000</v>
          </cell>
          <cell r="M631" t="str">
            <v/>
          </cell>
          <cell r="N631" t="str">
            <v>255</v>
          </cell>
        </row>
        <row r="632">
          <cell r="A632" t="str">
            <v>STACJA ROBOCZA</v>
          </cell>
          <cell r="B632" t="str">
            <v>DELL Optiplex GX1L 266</v>
          </cell>
          <cell r="C632" t="str">
            <v>491-3420</v>
          </cell>
          <cell r="D632" t="str">
            <v>NM1FP</v>
          </cell>
          <cell r="E632" t="str">
            <v xml:space="preserve">PA </v>
          </cell>
          <cell r="F632" t="str">
            <v xml:space="preserve">PAZOŁA                   BOGUSŁAW       </v>
          </cell>
          <cell r="G632" t="str">
            <v>U-11</v>
          </cell>
          <cell r="H632" t="str">
            <v>713</v>
          </cell>
          <cell r="I632" t="str">
            <v>19-73 19-72</v>
          </cell>
          <cell r="J632" t="str">
            <v>731</v>
          </cell>
          <cell r="K632" t="str">
            <v>491-03420</v>
          </cell>
          <cell r="L632" t="str">
            <v>266</v>
          </cell>
          <cell r="M632" t="str">
            <v/>
          </cell>
          <cell r="N632" t="str">
            <v>160</v>
          </cell>
        </row>
        <row r="633">
          <cell r="A633" t="str">
            <v>STACJA ROBOCZA</v>
          </cell>
          <cell r="B633" t="str">
            <v>DELL Optiplex GX1L 266</v>
          </cell>
          <cell r="C633" t="str">
            <v>491-3243</v>
          </cell>
          <cell r="D633" t="str">
            <v>NM19R</v>
          </cell>
          <cell r="E633" t="str">
            <v xml:space="preserve">PA </v>
          </cell>
          <cell r="F633" t="str">
            <v xml:space="preserve">ALEKSIEJCZYK             MAŁGORZATA     </v>
          </cell>
          <cell r="G633" t="str">
            <v>U-9</v>
          </cell>
          <cell r="H633" t="str">
            <v>9</v>
          </cell>
          <cell r="I633" t="str">
            <v>20-12</v>
          </cell>
          <cell r="J633" t="str">
            <v>7</v>
          </cell>
          <cell r="K633" t="str">
            <v>491-03243</v>
          </cell>
          <cell r="L633" t="str">
            <v>266</v>
          </cell>
          <cell r="M633" t="str">
            <v/>
          </cell>
          <cell r="N633" t="str">
            <v>128</v>
          </cell>
        </row>
        <row r="634">
          <cell r="A634" t="str">
            <v>STACJA ROBOCZA</v>
          </cell>
          <cell r="B634" t="str">
            <v>NEC PowerMate VT Destop P III 450</v>
          </cell>
          <cell r="C634" t="str">
            <v>491-3893</v>
          </cell>
          <cell r="D634" t="str">
            <v>0257109</v>
          </cell>
          <cell r="E634" t="str">
            <v xml:space="preserve">PA </v>
          </cell>
          <cell r="F634" t="str">
            <v xml:space="preserve">NOWAK                    DANUTA         </v>
          </cell>
          <cell r="G634" t="str">
            <v>U-11</v>
          </cell>
          <cell r="H634" t="str">
            <v>409</v>
          </cell>
          <cell r="I634" t="str">
            <v>11-87</v>
          </cell>
          <cell r="J634" t="str">
            <v>5369</v>
          </cell>
          <cell r="K634" t="str">
            <v>491-03893</v>
          </cell>
          <cell r="L634" t="str">
            <v>450</v>
          </cell>
          <cell r="M634" t="str">
            <v>BRAK GNIAZDA SIEC.</v>
          </cell>
          <cell r="N634" t="str">
            <v>64</v>
          </cell>
        </row>
        <row r="635">
          <cell r="A635" t="str">
            <v>STACJA ROBOCZA</v>
          </cell>
          <cell r="B635" t="str">
            <v>DELL Optiplex GX150</v>
          </cell>
          <cell r="C635" t="str">
            <v>491-4840</v>
          </cell>
          <cell r="D635" t="str">
            <v>3RRX60J</v>
          </cell>
          <cell r="E635" t="str">
            <v xml:space="preserve">PA </v>
          </cell>
          <cell r="F635" t="str">
            <v xml:space="preserve">ŻENDARSKI                MIROSŁAW       </v>
          </cell>
          <cell r="G635" t="str">
            <v>U-17</v>
          </cell>
          <cell r="H635" t="str">
            <v>88</v>
          </cell>
          <cell r="I635" t="str">
            <v>40-03</v>
          </cell>
          <cell r="J635" t="str">
            <v>1146</v>
          </cell>
          <cell r="K635" t="str">
            <v>491-04840</v>
          </cell>
          <cell r="L635" t="str">
            <v>1000</v>
          </cell>
          <cell r="M635" t="str">
            <v/>
          </cell>
          <cell r="N635" t="str">
            <v>255</v>
          </cell>
        </row>
        <row r="636">
          <cell r="A636" t="str">
            <v>STACJA ROBOCZA</v>
          </cell>
          <cell r="B636" t="str">
            <v>COMPAQ DESKPRO EXD PIII 733</v>
          </cell>
          <cell r="C636" t="str">
            <v>491-4309</v>
          </cell>
          <cell r="D636" t="str">
            <v>8037FR4Z2742</v>
          </cell>
          <cell r="E636" t="str">
            <v xml:space="preserve">PA </v>
          </cell>
          <cell r="F636" t="str">
            <v xml:space="preserve">TESKOWSKA                EWA            </v>
          </cell>
          <cell r="G636" t="str">
            <v>U-9</v>
          </cell>
          <cell r="H636" t="str">
            <v>9</v>
          </cell>
          <cell r="I636" t="str">
            <v>20-12</v>
          </cell>
          <cell r="J636" t="str">
            <v>5247</v>
          </cell>
          <cell r="K636" t="str">
            <v>491-04309</v>
          </cell>
          <cell r="L636" t="str">
            <v>733</v>
          </cell>
          <cell r="M636" t="str">
            <v/>
          </cell>
          <cell r="N636" t="str">
            <v>127</v>
          </cell>
        </row>
        <row r="637">
          <cell r="A637" t="str">
            <v>STACJA ROBOCZA</v>
          </cell>
          <cell r="B637" t="str">
            <v>NEC PowerMate VT Destop P III 450</v>
          </cell>
          <cell r="C637" t="str">
            <v>491-3906</v>
          </cell>
          <cell r="D637" t="str">
            <v>0283109</v>
          </cell>
          <cell r="E637" t="str">
            <v xml:space="preserve">PA </v>
          </cell>
          <cell r="F637" t="str">
            <v xml:space="preserve">DYMEK                    JADWIGA        </v>
          </cell>
          <cell r="G637" t="str">
            <v>U-12</v>
          </cell>
          <cell r="H637" t="str">
            <v>25</v>
          </cell>
          <cell r="I637" t="str">
            <v>11-98</v>
          </cell>
          <cell r="J637" t="str">
            <v>2505</v>
          </cell>
          <cell r="K637" t="str">
            <v>EWAD</v>
          </cell>
          <cell r="L637" t="str">
            <v>450</v>
          </cell>
          <cell r="M637" t="str">
            <v>OK56M</v>
          </cell>
          <cell r="N637" t="str">
            <v/>
          </cell>
        </row>
        <row r="638">
          <cell r="A638" t="str">
            <v>STACJA ROBOCZA</v>
          </cell>
          <cell r="B638" t="str">
            <v>COMPAQ DESKPRO EXD PIII 733</v>
          </cell>
          <cell r="C638" t="str">
            <v>491-4398</v>
          </cell>
          <cell r="D638" t="str">
            <v>8036FR4ZE503</v>
          </cell>
          <cell r="E638" t="str">
            <v xml:space="preserve">PA </v>
          </cell>
          <cell r="F638" t="str">
            <v xml:space="preserve">MIZERA                   CZESŁAWA       </v>
          </cell>
          <cell r="G638" t="str">
            <v>U-12</v>
          </cell>
          <cell r="H638" t="str">
            <v>210</v>
          </cell>
          <cell r="I638" t="str">
            <v>11-88</v>
          </cell>
          <cell r="J638" t="str">
            <v>553</v>
          </cell>
          <cell r="K638" t="str">
            <v>491-04398</v>
          </cell>
          <cell r="L638" t="str">
            <v>733</v>
          </cell>
          <cell r="M638" t="str">
            <v/>
          </cell>
          <cell r="N638" t="str">
            <v>127</v>
          </cell>
        </row>
        <row r="639">
          <cell r="A639" t="str">
            <v>STACJA ROBOCZA</v>
          </cell>
          <cell r="B639" t="str">
            <v>DELL Optiplex GX1M 350</v>
          </cell>
          <cell r="C639" t="str">
            <v>491-3569</v>
          </cell>
          <cell r="D639" t="str">
            <v>PKGZH</v>
          </cell>
          <cell r="E639" t="str">
            <v xml:space="preserve">PA </v>
          </cell>
          <cell r="F639" t="str">
            <v xml:space="preserve">LANGIER                  BARBARA        </v>
          </cell>
          <cell r="G639" t="str">
            <v>U-17</v>
          </cell>
          <cell r="H639" t="str">
            <v>88</v>
          </cell>
          <cell r="I639" t="str">
            <v>40-03</v>
          </cell>
          <cell r="J639" t="str">
            <v>511</v>
          </cell>
          <cell r="K639" t="str">
            <v>491-03569</v>
          </cell>
          <cell r="L639" t="str">
            <v>350</v>
          </cell>
          <cell r="M639" t="str">
            <v/>
          </cell>
          <cell r="N639" t="str">
            <v>64</v>
          </cell>
        </row>
        <row r="640">
          <cell r="A640" t="str">
            <v>STACJA ROBOCZA</v>
          </cell>
          <cell r="B640" t="str">
            <v>ZENITH Z STATION P166</v>
          </cell>
          <cell r="C640" t="str">
            <v>491-3016</v>
          </cell>
          <cell r="D640" t="str">
            <v>GVDD72901461</v>
          </cell>
          <cell r="E640" t="str">
            <v xml:space="preserve">PA </v>
          </cell>
          <cell r="F640" t="str">
            <v xml:space="preserve">ZAJĄC                    MARIA          </v>
          </cell>
          <cell r="G640" t="str">
            <v>U-11</v>
          </cell>
          <cell r="H640" t="str">
            <v>410</v>
          </cell>
          <cell r="I640" t="str">
            <v>11-87</v>
          </cell>
          <cell r="J640" t="str">
            <v>5246</v>
          </cell>
          <cell r="K640" t="str">
            <v>491-03016</v>
          </cell>
          <cell r="L640" t="str">
            <v>166</v>
          </cell>
          <cell r="M640" t="str">
            <v/>
          </cell>
          <cell r="N640" t="str">
            <v>16</v>
          </cell>
        </row>
        <row r="641">
          <cell r="A641" t="str">
            <v>STACJA ROBOCZA</v>
          </cell>
          <cell r="B641" t="str">
            <v>DELL Optiplex GX1L 450</v>
          </cell>
          <cell r="C641" t="str">
            <v>491-3630</v>
          </cell>
          <cell r="D641" t="str">
            <v>PF8H8</v>
          </cell>
          <cell r="E641" t="str">
            <v xml:space="preserve">PA </v>
          </cell>
          <cell r="F641" t="str">
            <v xml:space="preserve">BROŻYNA                  TERESA         </v>
          </cell>
          <cell r="G641" t="str">
            <v>U-12</v>
          </cell>
          <cell r="H641" t="str">
            <v>301</v>
          </cell>
          <cell r="I641" t="str">
            <v>11-88</v>
          </cell>
          <cell r="J641" t="str">
            <v>87</v>
          </cell>
          <cell r="K641" t="str">
            <v/>
          </cell>
          <cell r="L641" t="str">
            <v>450</v>
          </cell>
          <cell r="M641" t="str">
            <v/>
          </cell>
          <cell r="N641" t="str">
            <v/>
          </cell>
        </row>
        <row r="642">
          <cell r="A642" t="str">
            <v>STACJA ROBOCZA</v>
          </cell>
          <cell r="B642" t="str">
            <v>NEC PowerMate VT Destop P III 450</v>
          </cell>
          <cell r="C642" t="str">
            <v>491-3930</v>
          </cell>
          <cell r="D642" t="str">
            <v>0284109</v>
          </cell>
          <cell r="E642" t="str">
            <v xml:space="preserve">PA </v>
          </cell>
          <cell r="F642" t="str">
            <v xml:space="preserve">PYCHOWSKA                TERESA         </v>
          </cell>
          <cell r="G642" t="str">
            <v>U-9</v>
          </cell>
          <cell r="H642" t="str">
            <v>UZYTKOWNIK</v>
          </cell>
          <cell r="I642" t="str">
            <v>11-94</v>
          </cell>
          <cell r="J642" t="str">
            <v>1501</v>
          </cell>
          <cell r="K642" t="str">
            <v>491-03930</v>
          </cell>
          <cell r="L642" t="str">
            <v>450</v>
          </cell>
          <cell r="M642" t="str">
            <v/>
          </cell>
          <cell r="N642" t="str">
            <v>64</v>
          </cell>
        </row>
        <row r="643">
          <cell r="A643" t="str">
            <v>STACJA ROBOCZA</v>
          </cell>
          <cell r="B643" t="str">
            <v>DELL Optiplex GX1L 350</v>
          </cell>
          <cell r="C643" t="str">
            <v>491-3546</v>
          </cell>
          <cell r="D643" t="str">
            <v>PDZBB</v>
          </cell>
          <cell r="E643" t="str">
            <v xml:space="preserve">PA </v>
          </cell>
          <cell r="F643" t="str">
            <v xml:space="preserve">LANGIER                  ZOFIA          </v>
          </cell>
          <cell r="G643" t="str">
            <v>U-11</v>
          </cell>
          <cell r="H643" t="str">
            <v>409</v>
          </cell>
          <cell r="I643" t="str">
            <v>11-87</v>
          </cell>
          <cell r="J643" t="str">
            <v>5404</v>
          </cell>
          <cell r="K643" t="str">
            <v>491-03546</v>
          </cell>
          <cell r="L643" t="str">
            <v>350</v>
          </cell>
          <cell r="M643" t="str">
            <v/>
          </cell>
          <cell r="N643" t="str">
            <v>256</v>
          </cell>
        </row>
        <row r="644">
          <cell r="A644" t="str">
            <v>STACJA ROBOCZA</v>
          </cell>
          <cell r="B644" t="str">
            <v>COMPAQ DESKPRO EXD PIII 733</v>
          </cell>
          <cell r="C644" t="str">
            <v>491-4445</v>
          </cell>
          <cell r="D644" t="str">
            <v>8036FR4Z6708</v>
          </cell>
          <cell r="E644" t="str">
            <v xml:space="preserve">PA </v>
          </cell>
          <cell r="F644" t="str">
            <v xml:space="preserve">ŻAK                      GRAŻYNA        </v>
          </cell>
          <cell r="G644" t="str">
            <v>U-11</v>
          </cell>
          <cell r="H644" t="str">
            <v>709</v>
          </cell>
          <cell r="I644" t="str">
            <v/>
          </cell>
          <cell r="J644" t="str">
            <v>1121</v>
          </cell>
          <cell r="K644" t="str">
            <v>491-04445</v>
          </cell>
          <cell r="L644" t="str">
            <v>733</v>
          </cell>
          <cell r="M644" t="str">
            <v/>
          </cell>
          <cell r="N644" t="str">
            <v>127</v>
          </cell>
        </row>
        <row r="645">
          <cell r="A645" t="str">
            <v>STACJA ROBOCZA</v>
          </cell>
          <cell r="B645" t="str">
            <v>DELL Optiplex GX150</v>
          </cell>
          <cell r="C645" t="str">
            <v>491-4841</v>
          </cell>
          <cell r="D645" t="str">
            <v>6WLZ60J</v>
          </cell>
          <cell r="E645" t="str">
            <v xml:space="preserve">PA </v>
          </cell>
          <cell r="F645" t="str">
            <v xml:space="preserve">LANGIER                  BARBARA        </v>
          </cell>
          <cell r="G645" t="str">
            <v>U-17</v>
          </cell>
          <cell r="H645" t="str">
            <v>88</v>
          </cell>
          <cell r="I645" t="str">
            <v>40-03</v>
          </cell>
          <cell r="J645" t="str">
            <v>511</v>
          </cell>
          <cell r="K645" t="str">
            <v>491-04841</v>
          </cell>
          <cell r="L645" t="str">
            <v>1000</v>
          </cell>
          <cell r="M645" t="str">
            <v/>
          </cell>
          <cell r="N645" t="str">
            <v>255</v>
          </cell>
        </row>
        <row r="646">
          <cell r="A646" t="str">
            <v>STACJA ROBOCZA</v>
          </cell>
          <cell r="B646" t="str">
            <v>COMPAQ DESKPRO EXD PIII 733</v>
          </cell>
          <cell r="C646" t="str">
            <v>491-4466</v>
          </cell>
          <cell r="D646" t="str">
            <v>8036FR4ZE309</v>
          </cell>
          <cell r="E646" t="str">
            <v xml:space="preserve">PA </v>
          </cell>
          <cell r="F646" t="str">
            <v xml:space="preserve">WIECZOREK                MARIOLA        </v>
          </cell>
          <cell r="G646" t="str">
            <v>U-11</v>
          </cell>
          <cell r="H646" t="str">
            <v>712</v>
          </cell>
          <cell r="I646" t="str">
            <v>11-91</v>
          </cell>
          <cell r="J646" t="str">
            <v>1086</v>
          </cell>
          <cell r="K646" t="str">
            <v>491-04466</v>
          </cell>
          <cell r="L646" t="str">
            <v>733</v>
          </cell>
          <cell r="M646" t="str">
            <v/>
          </cell>
          <cell r="N646" t="str">
            <v>127</v>
          </cell>
        </row>
        <row r="647">
          <cell r="A647" t="str">
            <v>STACJA ROBOCZA</v>
          </cell>
          <cell r="B647" t="str">
            <v>KOMPUTER PC/AT</v>
          </cell>
          <cell r="C647" t="str">
            <v>491-1620/1684</v>
          </cell>
          <cell r="D647" t="str">
            <v>238118</v>
          </cell>
          <cell r="E647" t="str">
            <v xml:space="preserve">PB </v>
          </cell>
          <cell r="F647" t="str">
            <v xml:space="preserve">KAJDANIAK                ZENON          </v>
          </cell>
          <cell r="G647" t="str">
            <v>U-17</v>
          </cell>
          <cell r="H647" t="str">
            <v>9</v>
          </cell>
          <cell r="I647" t="str">
            <v>21-32</v>
          </cell>
          <cell r="J647" t="str">
            <v>355</v>
          </cell>
          <cell r="K647" t="str">
            <v>491-01620-1684</v>
          </cell>
          <cell r="L647" t="str">
            <v>550</v>
          </cell>
          <cell r="M647" t="str">
            <v/>
          </cell>
          <cell r="N647" t="str">
            <v>64</v>
          </cell>
        </row>
        <row r="648">
          <cell r="A648" t="str">
            <v>STACJA ROBOCZA</v>
          </cell>
          <cell r="B648" t="str">
            <v>NEC Power Mate VT P III 600</v>
          </cell>
          <cell r="C648" t="str">
            <v>491-4216</v>
          </cell>
          <cell r="D648" t="str">
            <v>0052060</v>
          </cell>
          <cell r="E648" t="str">
            <v xml:space="preserve">PB </v>
          </cell>
          <cell r="F648" t="str">
            <v xml:space="preserve">BĘBEN                    SŁAWOMIR       </v>
          </cell>
          <cell r="G648" t="str">
            <v>U-17</v>
          </cell>
          <cell r="H648" t="str">
            <v>30</v>
          </cell>
          <cell r="I648" t="str">
            <v>21-32</v>
          </cell>
          <cell r="J648" t="str">
            <v>2716</v>
          </cell>
          <cell r="K648" t="str">
            <v>491-04216</v>
          </cell>
          <cell r="L648" t="str">
            <v>600</v>
          </cell>
          <cell r="M648" t="str">
            <v/>
          </cell>
          <cell r="N648" t="str">
            <v>64</v>
          </cell>
        </row>
        <row r="649">
          <cell r="A649" t="str">
            <v>STACJA ROBOCZA</v>
          </cell>
          <cell r="B649" t="str">
            <v>DELL Optiplex GX150</v>
          </cell>
          <cell r="C649" t="str">
            <v>491-4768</v>
          </cell>
          <cell r="D649" t="str">
            <v>1WLZ60J</v>
          </cell>
          <cell r="E649" t="str">
            <v xml:space="preserve">PB </v>
          </cell>
          <cell r="F649" t="str">
            <v xml:space="preserve">MAGA                     GRAŻYNA        </v>
          </cell>
          <cell r="G649" t="str">
            <v>U-17</v>
          </cell>
          <cell r="H649" t="str">
            <v>17</v>
          </cell>
          <cell r="I649" t="str">
            <v/>
          </cell>
          <cell r="J649" t="str">
            <v>3467</v>
          </cell>
          <cell r="K649" t="str">
            <v>491-04768</v>
          </cell>
          <cell r="L649" t="str">
            <v>1000</v>
          </cell>
          <cell r="M649" t="str">
            <v/>
          </cell>
          <cell r="N649" t="str">
            <v>255</v>
          </cell>
        </row>
        <row r="650">
          <cell r="A650" t="str">
            <v>STACJA ROBOCZA</v>
          </cell>
          <cell r="B650" t="str">
            <v>DELL Optiplex GX150</v>
          </cell>
          <cell r="C650" t="str">
            <v>491-4769</v>
          </cell>
          <cell r="D650" t="str">
            <v>BRRX60J</v>
          </cell>
          <cell r="E650" t="str">
            <v xml:space="preserve">PB </v>
          </cell>
          <cell r="F650" t="str">
            <v xml:space="preserve">ROGALSKI                 JAN            </v>
          </cell>
          <cell r="G650" t="str">
            <v>U-17</v>
          </cell>
          <cell r="H650" t="str">
            <v>32</v>
          </cell>
          <cell r="I650" t="str">
            <v>10-91</v>
          </cell>
          <cell r="J650" t="str">
            <v>833</v>
          </cell>
          <cell r="K650" t="str">
            <v>491-04769</v>
          </cell>
          <cell r="L650" t="str">
            <v>1000</v>
          </cell>
          <cell r="M650" t="str">
            <v/>
          </cell>
          <cell r="N650" t="str">
            <v>255</v>
          </cell>
        </row>
        <row r="651">
          <cell r="A651" t="str">
            <v>STACJA ROBOCZA</v>
          </cell>
          <cell r="B651" t="str">
            <v>DELL Optiplex GX260 SD</v>
          </cell>
          <cell r="C651" t="str">
            <v>491-5098</v>
          </cell>
          <cell r="D651" t="str">
            <v>9JYGL0J</v>
          </cell>
          <cell r="E651" t="str">
            <v xml:space="preserve">PB </v>
          </cell>
          <cell r="F651" t="str">
            <v xml:space="preserve">ROBAK                    HILARY         </v>
          </cell>
          <cell r="G651" t="str">
            <v>U-17</v>
          </cell>
          <cell r="H651" t="str">
            <v>30</v>
          </cell>
          <cell r="I651" t="str">
            <v>21-32</v>
          </cell>
          <cell r="J651" t="str">
            <v>851</v>
          </cell>
          <cell r="K651" t="str">
            <v>491-05098</v>
          </cell>
          <cell r="L651" t="str">
            <v>2400</v>
          </cell>
          <cell r="M651" t="str">
            <v/>
          </cell>
          <cell r="N651" t="str">
            <v>254</v>
          </cell>
        </row>
        <row r="652">
          <cell r="A652" t="str">
            <v>STACJA ROBOCZA</v>
          </cell>
          <cell r="B652" t="str">
            <v>DELL Optiplex GX1L 266</v>
          </cell>
          <cell r="C652" t="str">
            <v>491-3271</v>
          </cell>
          <cell r="D652" t="str">
            <v>NM19H</v>
          </cell>
          <cell r="E652" t="str">
            <v xml:space="preserve">PB </v>
          </cell>
          <cell r="F652" t="str">
            <v xml:space="preserve">NOWAKOWSKA               IRENA          </v>
          </cell>
          <cell r="G652" t="str">
            <v>U-17</v>
          </cell>
          <cell r="H652" t="str">
            <v>29</v>
          </cell>
          <cell r="I652" t="str">
            <v>10-92</v>
          </cell>
          <cell r="J652" t="str">
            <v>662</v>
          </cell>
          <cell r="K652" t="str">
            <v>491-03271</v>
          </cell>
          <cell r="L652" t="str">
            <v>266</v>
          </cell>
          <cell r="M652" t="str">
            <v/>
          </cell>
          <cell r="N652" t="str">
            <v>160</v>
          </cell>
        </row>
        <row r="653">
          <cell r="A653" t="str">
            <v>STACJA ROBOCZA</v>
          </cell>
          <cell r="B653" t="str">
            <v>COMPAQ DESKPRO EXD PIII 733</v>
          </cell>
          <cell r="C653" t="str">
            <v>491-4298</v>
          </cell>
          <cell r="D653" t="str">
            <v>8036FR4Z6678</v>
          </cell>
          <cell r="E653" t="str">
            <v xml:space="preserve">PB </v>
          </cell>
          <cell r="F653" t="str">
            <v xml:space="preserve">KOSTUSIAK                TOMASZ         </v>
          </cell>
          <cell r="G653" t="str">
            <v>U-17</v>
          </cell>
          <cell r="H653" t="str">
            <v>30</v>
          </cell>
          <cell r="I653" t="str">
            <v>21-32</v>
          </cell>
          <cell r="J653" t="str">
            <v>5368</v>
          </cell>
          <cell r="K653" t="str">
            <v>491-04298</v>
          </cell>
          <cell r="L653" t="str">
            <v>733</v>
          </cell>
          <cell r="M653" t="str">
            <v/>
          </cell>
          <cell r="N653" t="str">
            <v>127</v>
          </cell>
        </row>
        <row r="654">
          <cell r="A654" t="str">
            <v>STACJA ROBOCZA</v>
          </cell>
          <cell r="B654" t="str">
            <v>KOMPUTER PC/AT</v>
          </cell>
          <cell r="C654" t="str">
            <v>491-1620/1730</v>
          </cell>
          <cell r="D654" t="str">
            <v>049301</v>
          </cell>
          <cell r="E654" t="str">
            <v xml:space="preserve">PB </v>
          </cell>
          <cell r="F654" t="str">
            <v xml:space="preserve">STAREK                   ANDRZEJ        </v>
          </cell>
          <cell r="G654" t="str">
            <v>U-17</v>
          </cell>
          <cell r="H654" t="str">
            <v>32</v>
          </cell>
          <cell r="I654" t="str">
            <v>13-51</v>
          </cell>
          <cell r="J654" t="str">
            <v>964</v>
          </cell>
          <cell r="K654" t="str">
            <v>491-01620-1730</v>
          </cell>
          <cell r="L654" t="str">
            <v>333</v>
          </cell>
          <cell r="M654" t="str">
            <v/>
          </cell>
          <cell r="N654" t="str">
            <v>64</v>
          </cell>
        </row>
        <row r="655">
          <cell r="A655" t="str">
            <v>STACJA ROBOCZA</v>
          </cell>
          <cell r="B655" t="str">
            <v>COMPAQ DESKPRO EXD PIII 733</v>
          </cell>
          <cell r="C655" t="str">
            <v>491-4299</v>
          </cell>
          <cell r="D655" t="str">
            <v>8036FR4ZE436</v>
          </cell>
          <cell r="E655" t="str">
            <v xml:space="preserve">PB </v>
          </cell>
          <cell r="F655" t="str">
            <v xml:space="preserve">ŚNIEŻKO                  PIOTR          </v>
          </cell>
          <cell r="G655" t="str">
            <v>U-17</v>
          </cell>
          <cell r="H655" t="str">
            <v>32</v>
          </cell>
          <cell r="I655" t="str">
            <v>13-51</v>
          </cell>
          <cell r="J655" t="str">
            <v>9180</v>
          </cell>
          <cell r="K655" t="str">
            <v>491-04299</v>
          </cell>
          <cell r="L655" t="str">
            <v>733</v>
          </cell>
          <cell r="M655" t="str">
            <v/>
          </cell>
          <cell r="N655" t="str">
            <v>127</v>
          </cell>
        </row>
        <row r="656">
          <cell r="A656" t="str">
            <v>STACJA ROBOCZA</v>
          </cell>
          <cell r="B656" t="str">
            <v>KOMPUTER PC/AT</v>
          </cell>
          <cell r="C656" t="str">
            <v>491-1659</v>
          </cell>
          <cell r="D656" t="str">
            <v>9100446</v>
          </cell>
          <cell r="E656" t="str">
            <v xml:space="preserve">PN </v>
          </cell>
          <cell r="F656" t="str">
            <v xml:space="preserve">DZIEDZICZAK              ANDRZEJ        </v>
          </cell>
          <cell r="G656" t="str">
            <v>U-17</v>
          </cell>
          <cell r="H656" t="str">
            <v>45</v>
          </cell>
          <cell r="I656" t="str">
            <v>12-20</v>
          </cell>
          <cell r="J656" t="str">
            <v>9620</v>
          </cell>
          <cell r="K656" t="str">
            <v>491-01659</v>
          </cell>
          <cell r="L656" t="str">
            <v>366</v>
          </cell>
          <cell r="M656" t="str">
            <v/>
          </cell>
          <cell r="N656" t="str">
            <v>64</v>
          </cell>
        </row>
        <row r="657">
          <cell r="A657" t="str">
            <v>STACJA ROBOCZA</v>
          </cell>
          <cell r="B657" t="str">
            <v>ZENITH Z STATION VEGA</v>
          </cell>
          <cell r="C657" t="str">
            <v>491-3064</v>
          </cell>
          <cell r="D657" t="str">
            <v>6638500000</v>
          </cell>
          <cell r="E657" t="str">
            <v xml:space="preserve">PN </v>
          </cell>
          <cell r="F657" t="str">
            <v xml:space="preserve">KRUK                     TOMASZ         </v>
          </cell>
          <cell r="G657" t="str">
            <v>U-9</v>
          </cell>
          <cell r="H657" t="str">
            <v>8</v>
          </cell>
          <cell r="I657" t="str">
            <v>39-53</v>
          </cell>
          <cell r="J657" t="str">
            <v>494</v>
          </cell>
          <cell r="K657" t="str">
            <v>491-03064</v>
          </cell>
          <cell r="L657" t="str">
            <v>800</v>
          </cell>
          <cell r="M657" t="str">
            <v/>
          </cell>
          <cell r="N657" t="str">
            <v>256</v>
          </cell>
        </row>
        <row r="658">
          <cell r="A658" t="str">
            <v>STACJA ROBOCZA</v>
          </cell>
          <cell r="B658" t="str">
            <v>DELL Optiplex GX1L 266</v>
          </cell>
          <cell r="C658" t="str">
            <v>491-3390</v>
          </cell>
          <cell r="D658" t="str">
            <v>NM1B7</v>
          </cell>
          <cell r="E658" t="str">
            <v xml:space="preserve">PN </v>
          </cell>
          <cell r="F658" t="str">
            <v xml:space="preserve">KACZMAREK                KRZYSZTOF      </v>
          </cell>
          <cell r="G658" t="str">
            <v>U-17</v>
          </cell>
          <cell r="H658" t="str">
            <v>Sala szkol</v>
          </cell>
          <cell r="I658" t="str">
            <v>11-22</v>
          </cell>
          <cell r="J658" t="str">
            <v>346</v>
          </cell>
          <cell r="K658" t="str">
            <v/>
          </cell>
          <cell r="L658" t="str">
            <v>1000</v>
          </cell>
          <cell r="M658" t="str">
            <v/>
          </cell>
          <cell r="N658" t="str">
            <v>480</v>
          </cell>
        </row>
        <row r="659">
          <cell r="A659" t="str">
            <v>STACJA ROBOCZA</v>
          </cell>
          <cell r="B659" t="str">
            <v>DELL Optiplex GX1L 266</v>
          </cell>
          <cell r="C659" t="str">
            <v>491-3222</v>
          </cell>
          <cell r="D659" t="str">
            <v>NM14Y</v>
          </cell>
          <cell r="E659" t="str">
            <v xml:space="preserve">PN </v>
          </cell>
          <cell r="F659" t="str">
            <v xml:space="preserve">KACZMAREK                KRZYSZTOF      </v>
          </cell>
          <cell r="G659" t="str">
            <v>U-17</v>
          </cell>
          <cell r="H659" t="str">
            <v>Sala szkol</v>
          </cell>
          <cell r="I659" t="str">
            <v>11-22</v>
          </cell>
          <cell r="J659" t="str">
            <v>346</v>
          </cell>
          <cell r="K659" t="str">
            <v/>
          </cell>
          <cell r="L659" t="str">
            <v>1000</v>
          </cell>
          <cell r="M659" t="str">
            <v>JEST W ZOI (SLGL: wg JMAS)</v>
          </cell>
          <cell r="N659" t="str">
            <v>480</v>
          </cell>
        </row>
        <row r="660">
          <cell r="A660" t="str">
            <v>STACJA ROBOCZA</v>
          </cell>
          <cell r="B660" t="str">
            <v>KOMPUTER PC/AT</v>
          </cell>
          <cell r="C660" t="str">
            <v>491-1594</v>
          </cell>
          <cell r="D660" t="str">
            <v>004242</v>
          </cell>
          <cell r="E660" t="str">
            <v xml:space="preserve">PN </v>
          </cell>
          <cell r="F660" t="str">
            <v xml:space="preserve">CZOŁOWSKA                JAGODA         </v>
          </cell>
          <cell r="G660" t="str">
            <v>U-17</v>
          </cell>
          <cell r="H660" t="str">
            <v>8</v>
          </cell>
          <cell r="I660" t="str">
            <v/>
          </cell>
          <cell r="J660" t="str">
            <v>107</v>
          </cell>
          <cell r="K660" t="str">
            <v>491-01594</v>
          </cell>
          <cell r="L660" t="str">
            <v>550</v>
          </cell>
          <cell r="M660" t="str">
            <v>OK54J</v>
          </cell>
          <cell r="N660" t="str">
            <v>128</v>
          </cell>
        </row>
        <row r="661">
          <cell r="A661" t="str">
            <v>STACJA ROBOCZA</v>
          </cell>
          <cell r="B661" t="str">
            <v>DELL Optiplex GX1L 266</v>
          </cell>
          <cell r="C661" t="str">
            <v>491-3231</v>
          </cell>
          <cell r="D661" t="str">
            <v>NM171</v>
          </cell>
          <cell r="E661" t="str">
            <v xml:space="preserve">PN </v>
          </cell>
          <cell r="F661" t="str">
            <v xml:space="preserve">KACZMAREK                KRZYSZTOF      </v>
          </cell>
          <cell r="G661" t="str">
            <v>U-17</v>
          </cell>
          <cell r="H661" t="str">
            <v>Sala szkol</v>
          </cell>
          <cell r="I661" t="str">
            <v>11-22</v>
          </cell>
          <cell r="J661" t="str">
            <v>346</v>
          </cell>
          <cell r="K661" t="str">
            <v>491-03231</v>
          </cell>
          <cell r="L661" t="str">
            <v>1000</v>
          </cell>
          <cell r="M661" t="str">
            <v>OK54J</v>
          </cell>
          <cell r="N661" t="str">
            <v>480</v>
          </cell>
        </row>
        <row r="662">
          <cell r="A662" t="str">
            <v>STACJA ROBOCZA</v>
          </cell>
          <cell r="B662" t="str">
            <v>KOMPUTER 486SX</v>
          </cell>
          <cell r="C662" t="str">
            <v>491-1620/8890</v>
          </cell>
          <cell r="D662" t="str">
            <v>8890/114</v>
          </cell>
          <cell r="E662" t="str">
            <v xml:space="preserve">PN </v>
          </cell>
          <cell r="F662" t="str">
            <v xml:space="preserve">KACZMAREK                KRZYSZTOF      </v>
          </cell>
          <cell r="G662" t="str">
            <v>U-17</v>
          </cell>
          <cell r="H662" t="str">
            <v>Sala szkol</v>
          </cell>
          <cell r="I662" t="str">
            <v>11-22</v>
          </cell>
          <cell r="J662" t="str">
            <v>346</v>
          </cell>
          <cell r="K662" t="str">
            <v>491-1620-8890</v>
          </cell>
          <cell r="L662" t="str">
            <v>333</v>
          </cell>
          <cell r="M662" t="str">
            <v>OK54J</v>
          </cell>
          <cell r="N662" t="str">
            <v/>
          </cell>
        </row>
        <row r="663">
          <cell r="A663" t="str">
            <v>STACJA ROBOCZA</v>
          </cell>
          <cell r="B663" t="str">
            <v>DELL Optiplex GX1L 266</v>
          </cell>
          <cell r="C663" t="str">
            <v>491-3232</v>
          </cell>
          <cell r="D663" t="str">
            <v>NM16Z</v>
          </cell>
          <cell r="E663" t="str">
            <v xml:space="preserve">PN </v>
          </cell>
          <cell r="F663" t="str">
            <v xml:space="preserve">KACZMAREK                KRZYSZTOF      </v>
          </cell>
          <cell r="G663" t="str">
            <v>U-17</v>
          </cell>
          <cell r="H663" t="str">
            <v>Sala szkol</v>
          </cell>
          <cell r="I663" t="str">
            <v>11-22</v>
          </cell>
          <cell r="J663" t="str">
            <v>346</v>
          </cell>
          <cell r="K663" t="str">
            <v>491-03232</v>
          </cell>
          <cell r="L663" t="str">
            <v>1000</v>
          </cell>
          <cell r="M663" t="str">
            <v/>
          </cell>
          <cell r="N663" t="str">
            <v>480</v>
          </cell>
        </row>
        <row r="664">
          <cell r="A664" t="str">
            <v>STACJA ROBOCZA</v>
          </cell>
          <cell r="B664" t="str">
            <v>DELL Optiplex GX1L 266</v>
          </cell>
          <cell r="C664" t="str">
            <v>491-3280</v>
          </cell>
          <cell r="D664" t="str">
            <v>NM180</v>
          </cell>
          <cell r="E664" t="str">
            <v xml:space="preserve">PN </v>
          </cell>
          <cell r="F664" t="str">
            <v xml:space="preserve">KACZMAREK                KRZYSZTOF      </v>
          </cell>
          <cell r="G664" t="str">
            <v>U-17</v>
          </cell>
          <cell r="H664" t="str">
            <v>Sala szkol</v>
          </cell>
          <cell r="I664" t="str">
            <v>11-22</v>
          </cell>
          <cell r="J664" t="str">
            <v>346</v>
          </cell>
          <cell r="K664" t="str">
            <v/>
          </cell>
          <cell r="L664" t="str">
            <v>266</v>
          </cell>
          <cell r="M664" t="str">
            <v>OK54J</v>
          </cell>
          <cell r="N664" t="str">
            <v/>
          </cell>
        </row>
        <row r="665">
          <cell r="A665" t="str">
            <v>STACJA ROBOCZA</v>
          </cell>
          <cell r="B665" t="str">
            <v>DELL Optiplex GX1L 266</v>
          </cell>
          <cell r="C665" t="str">
            <v>491-3275</v>
          </cell>
          <cell r="D665" t="str">
            <v>NM19C</v>
          </cell>
          <cell r="E665" t="str">
            <v xml:space="preserve">PN </v>
          </cell>
          <cell r="F665" t="str">
            <v xml:space="preserve">KACZMAREK                KRZYSZTOF      </v>
          </cell>
          <cell r="G665" t="str">
            <v>U-17</v>
          </cell>
          <cell r="H665" t="str">
            <v>Sala szkol</v>
          </cell>
          <cell r="I665" t="str">
            <v>11-22</v>
          </cell>
          <cell r="J665" t="str">
            <v>346</v>
          </cell>
          <cell r="K665" t="str">
            <v/>
          </cell>
          <cell r="L665" t="str">
            <v>1000</v>
          </cell>
          <cell r="M665" t="str">
            <v>JEST W ZOI (SLGL: wg JMAS)</v>
          </cell>
          <cell r="N665" t="str">
            <v>480</v>
          </cell>
        </row>
        <row r="666">
          <cell r="A666" t="str">
            <v>STACJA ROBOCZA</v>
          </cell>
          <cell r="B666" t="str">
            <v>KOMPUTER PC/AT</v>
          </cell>
          <cell r="C666" t="str">
            <v>491-1620/1680</v>
          </cell>
          <cell r="D666" t="str">
            <v>238013</v>
          </cell>
          <cell r="E666" t="str">
            <v xml:space="preserve">PN </v>
          </cell>
          <cell r="F666" t="str">
            <v xml:space="preserve">BOCIAN                   BOŻENA         </v>
          </cell>
          <cell r="G666" t="str">
            <v>U-17</v>
          </cell>
          <cell r="H666" t="str">
            <v>6</v>
          </cell>
          <cell r="I666" t="str">
            <v>19-71</v>
          </cell>
          <cell r="J666" t="str">
            <v>19</v>
          </cell>
          <cell r="K666" t="str">
            <v>491-01620-1680</v>
          </cell>
          <cell r="L666" t="str">
            <v>1700</v>
          </cell>
          <cell r="M666" t="str">
            <v/>
          </cell>
          <cell r="N666" t="str">
            <v>256</v>
          </cell>
        </row>
        <row r="667">
          <cell r="A667" t="str">
            <v>STACJA ROBOCZA</v>
          </cell>
          <cell r="B667" t="str">
            <v>DELL Optiplex GX1L 266</v>
          </cell>
          <cell r="C667" t="str">
            <v>491-3414</v>
          </cell>
          <cell r="D667" t="str">
            <v>NM1D6</v>
          </cell>
          <cell r="E667" t="str">
            <v xml:space="preserve">PN </v>
          </cell>
          <cell r="F667" t="str">
            <v xml:space="preserve">KACZMAREK                KRZYSZTOF      </v>
          </cell>
          <cell r="G667" t="str">
            <v>U-17</v>
          </cell>
          <cell r="H667" t="str">
            <v>Sala szkol</v>
          </cell>
          <cell r="I667" t="str">
            <v>11-22</v>
          </cell>
          <cell r="J667" t="str">
            <v>346</v>
          </cell>
          <cell r="K667" t="str">
            <v>SZKOLENIE10</v>
          </cell>
          <cell r="L667" t="str">
            <v>266</v>
          </cell>
          <cell r="M667" t="str">
            <v>OK54J</v>
          </cell>
          <cell r="N667" t="str">
            <v/>
          </cell>
        </row>
        <row r="668">
          <cell r="A668" t="str">
            <v>STACJA ROBOCZA</v>
          </cell>
          <cell r="B668" t="str">
            <v>NEC PowerMate VT Destop P III 450</v>
          </cell>
          <cell r="C668" t="str">
            <v>491-3913</v>
          </cell>
          <cell r="D668" t="str">
            <v>0245109</v>
          </cell>
          <cell r="E668" t="str">
            <v xml:space="preserve">PN </v>
          </cell>
          <cell r="F668" t="str">
            <v xml:space="preserve">TARASIUK-PRUC            ANNA           </v>
          </cell>
          <cell r="G668" t="str">
            <v/>
          </cell>
          <cell r="H668" t="str">
            <v/>
          </cell>
          <cell r="I668" t="str">
            <v/>
          </cell>
          <cell r="J668" t="str">
            <v>1012</v>
          </cell>
          <cell r="K668" t="str">
            <v>491-03913</v>
          </cell>
          <cell r="L668" t="str">
            <v>450</v>
          </cell>
          <cell r="M668" t="str">
            <v/>
          </cell>
          <cell r="N668" t="str">
            <v>64</v>
          </cell>
        </row>
        <row r="669">
          <cell r="A669" t="str">
            <v>STACJA ROBOCZA</v>
          </cell>
          <cell r="B669" t="str">
            <v>PENTIUM AMD K5 P90</v>
          </cell>
          <cell r="C669" t="str">
            <v>491-2705</v>
          </cell>
          <cell r="D669" t="str">
            <v>303296</v>
          </cell>
          <cell r="E669" t="str">
            <v xml:space="preserve">PN </v>
          </cell>
          <cell r="F669" t="str">
            <v xml:space="preserve">DĄBROWSKI                PAWEŁ          </v>
          </cell>
          <cell r="G669" t="str">
            <v>U-17</v>
          </cell>
          <cell r="H669" t="str">
            <v>44</v>
          </cell>
          <cell r="I669" t="str">
            <v>11-21</v>
          </cell>
          <cell r="J669" t="str">
            <v>141</v>
          </cell>
          <cell r="K669" t="str">
            <v>491-02705</v>
          </cell>
          <cell r="L669" t="str">
            <v>300</v>
          </cell>
          <cell r="M669" t="str">
            <v/>
          </cell>
          <cell r="N669" t="str">
            <v>128</v>
          </cell>
        </row>
        <row r="670">
          <cell r="A670" t="str">
            <v>NOTEBOOK</v>
          </cell>
          <cell r="B670" t="str">
            <v>COMPAQ ARMADA E500 PIII 800</v>
          </cell>
          <cell r="C670" t="str">
            <v>491-4657</v>
          </cell>
          <cell r="D670" t="str">
            <v>3J17JSV1E30C</v>
          </cell>
          <cell r="E670" t="str">
            <v xml:space="preserve">PN </v>
          </cell>
          <cell r="F670" t="str">
            <v xml:space="preserve">DĄBROWSKI                PAWEŁ          </v>
          </cell>
          <cell r="G670" t="str">
            <v>U-17</v>
          </cell>
          <cell r="H670" t="str">
            <v>44</v>
          </cell>
          <cell r="I670" t="str">
            <v>11-21</v>
          </cell>
          <cell r="J670" t="str">
            <v>141</v>
          </cell>
          <cell r="K670" t="str">
            <v>491-04657</v>
          </cell>
          <cell r="L670" t="str">
            <v>800</v>
          </cell>
          <cell r="M670" t="str">
            <v/>
          </cell>
          <cell r="N670" t="str">
            <v>128</v>
          </cell>
        </row>
        <row r="671">
          <cell r="A671" t="str">
            <v>STACJA ROBOCZA</v>
          </cell>
          <cell r="B671" t="str">
            <v>DELL Optiplex GX150</v>
          </cell>
          <cell r="C671" t="str">
            <v>491-4901</v>
          </cell>
          <cell r="D671" t="str">
            <v>DSRX60J</v>
          </cell>
          <cell r="E671" t="str">
            <v xml:space="preserve">PN </v>
          </cell>
          <cell r="F671" t="str">
            <v xml:space="preserve">SZURGOT                  ZDZISŁAW       </v>
          </cell>
          <cell r="G671" t="str">
            <v>U-17</v>
          </cell>
          <cell r="H671" t="str">
            <v>10</v>
          </cell>
          <cell r="I671" t="str">
            <v/>
          </cell>
          <cell r="J671" t="str">
            <v>866</v>
          </cell>
          <cell r="K671" t="str">
            <v>491-04901</v>
          </cell>
          <cell r="L671" t="str">
            <v>1000</v>
          </cell>
          <cell r="M671" t="str">
            <v/>
          </cell>
          <cell r="N671" t="str">
            <v>255</v>
          </cell>
        </row>
        <row r="672">
          <cell r="A672" t="str">
            <v>STACJA ROBOCZA</v>
          </cell>
          <cell r="B672" t="str">
            <v>DELL Optiplex GX1L 266</v>
          </cell>
          <cell r="C672" t="str">
            <v>491-3234</v>
          </cell>
          <cell r="D672" t="str">
            <v>NM178</v>
          </cell>
          <cell r="E672" t="str">
            <v xml:space="preserve">PN </v>
          </cell>
          <cell r="F672" t="str">
            <v xml:space="preserve">BUTKIEWICZ               BOŻENA         </v>
          </cell>
          <cell r="G672" t="str">
            <v>U-9</v>
          </cell>
          <cell r="H672" t="str">
            <v>1</v>
          </cell>
          <cell r="I672" t="str">
            <v>29-13</v>
          </cell>
          <cell r="J672" t="str">
            <v>61</v>
          </cell>
          <cell r="K672" t="str">
            <v>491-03234</v>
          </cell>
          <cell r="L672" t="str">
            <v>266</v>
          </cell>
          <cell r="M672" t="str">
            <v>OK54J</v>
          </cell>
          <cell r="N672" t="str">
            <v>96</v>
          </cell>
        </row>
        <row r="673">
          <cell r="A673" t="str">
            <v>STACJA ROBOCZA</v>
          </cell>
          <cell r="B673" t="str">
            <v>DELL Optiplex GX1L 266</v>
          </cell>
          <cell r="C673" t="str">
            <v>491-3298</v>
          </cell>
          <cell r="D673" t="str">
            <v>NM18X</v>
          </cell>
          <cell r="E673" t="str">
            <v xml:space="preserve">PN </v>
          </cell>
          <cell r="F673" t="str">
            <v xml:space="preserve">TOMCZYK                  ANNA           </v>
          </cell>
          <cell r="G673" t="str">
            <v>U-9</v>
          </cell>
          <cell r="H673" t="str">
            <v>1</v>
          </cell>
          <cell r="I673" t="str">
            <v>10-61</v>
          </cell>
          <cell r="J673" t="str">
            <v>1023</v>
          </cell>
          <cell r="K673" t="str">
            <v>491-03298</v>
          </cell>
          <cell r="L673" t="str">
            <v>266</v>
          </cell>
          <cell r="M673" t="str">
            <v/>
          </cell>
          <cell r="N673" t="str">
            <v>32</v>
          </cell>
        </row>
        <row r="674">
          <cell r="A674" t="str">
            <v>STACJA ROBOCZA</v>
          </cell>
          <cell r="B674" t="str">
            <v>DELL Optiplex GX1L 266</v>
          </cell>
          <cell r="C674" t="str">
            <v>491-3368</v>
          </cell>
          <cell r="D674" t="str">
            <v>NM1BT</v>
          </cell>
          <cell r="E674" t="str">
            <v xml:space="preserve">PN </v>
          </cell>
          <cell r="F674" t="str">
            <v xml:space="preserve">KACZMAREK                KRZYSZTOF      </v>
          </cell>
          <cell r="G674" t="str">
            <v>U-17</v>
          </cell>
          <cell r="H674" t="str">
            <v>Sala szkol</v>
          </cell>
          <cell r="I674" t="str">
            <v>11-22</v>
          </cell>
          <cell r="J674" t="str">
            <v>346</v>
          </cell>
          <cell r="K674" t="str">
            <v/>
          </cell>
          <cell r="L674" t="str">
            <v>1000</v>
          </cell>
          <cell r="M674" t="str">
            <v>JEST W ZOI (SLGL: wg JMAS)</v>
          </cell>
          <cell r="N674" t="str">
            <v>480</v>
          </cell>
        </row>
        <row r="675">
          <cell r="A675" t="str">
            <v>STACJA ROBOCZA</v>
          </cell>
          <cell r="B675" t="str">
            <v>DELL Optiplex GX1L 266</v>
          </cell>
          <cell r="C675" t="str">
            <v>491-3418</v>
          </cell>
          <cell r="D675" t="str">
            <v>NM1DD</v>
          </cell>
          <cell r="E675" t="str">
            <v xml:space="preserve">PN </v>
          </cell>
          <cell r="F675" t="str">
            <v xml:space="preserve">KACZMAREK                KRZYSZTOF      </v>
          </cell>
          <cell r="G675" t="str">
            <v>U-17</v>
          </cell>
          <cell r="H675" t="str">
            <v>Sala szkol</v>
          </cell>
          <cell r="I675" t="str">
            <v>11-22</v>
          </cell>
          <cell r="J675" t="str">
            <v>346</v>
          </cell>
          <cell r="K675" t="str">
            <v/>
          </cell>
          <cell r="L675" t="str">
            <v>1000</v>
          </cell>
          <cell r="M675" t="str">
            <v>OK54J</v>
          </cell>
          <cell r="N675" t="str">
            <v>224</v>
          </cell>
        </row>
        <row r="676">
          <cell r="A676" t="str">
            <v>STACJA ROBOCZA</v>
          </cell>
          <cell r="B676" t="str">
            <v>NEC POWER MATE PIII 450</v>
          </cell>
          <cell r="C676" t="str">
            <v>491-3967</v>
          </cell>
          <cell r="D676" t="str">
            <v>Z0023109</v>
          </cell>
          <cell r="E676" t="str">
            <v xml:space="preserve">PN </v>
          </cell>
          <cell r="F676" t="str">
            <v xml:space="preserve">GROSS                    ELŻBIETA       </v>
          </cell>
          <cell r="G676" t="str">
            <v>U-9</v>
          </cell>
          <cell r="H676" t="str">
            <v>BIBLIOTEKA</v>
          </cell>
          <cell r="I676" t="str">
            <v>18-07</v>
          </cell>
          <cell r="J676" t="str">
            <v>250</v>
          </cell>
          <cell r="K676" t="str">
            <v>491-03967</v>
          </cell>
          <cell r="L676" t="str">
            <v>450</v>
          </cell>
          <cell r="M676" t="str">
            <v/>
          </cell>
          <cell r="N676" t="str">
            <v>64</v>
          </cell>
        </row>
        <row r="677">
          <cell r="A677" t="str">
            <v>STACJA ROBOCZA</v>
          </cell>
          <cell r="B677" t="str">
            <v>NEC PowerMate VT Destop P III 450</v>
          </cell>
          <cell r="C677" t="str">
            <v>491-3986</v>
          </cell>
          <cell r="D677" t="str">
            <v>0725109</v>
          </cell>
          <cell r="E677" t="str">
            <v xml:space="preserve">PN </v>
          </cell>
          <cell r="F677" t="str">
            <v xml:space="preserve">GROSS                    ELŻBIETA       </v>
          </cell>
          <cell r="G677" t="str">
            <v>U-9</v>
          </cell>
          <cell r="H677" t="str">
            <v>BIBLIOTEKA</v>
          </cell>
          <cell r="I677" t="str">
            <v>18-07</v>
          </cell>
          <cell r="J677" t="str">
            <v>250</v>
          </cell>
          <cell r="K677" t="str">
            <v>491-3986</v>
          </cell>
          <cell r="L677" t="str">
            <v>450</v>
          </cell>
          <cell r="M677" t="str">
            <v/>
          </cell>
          <cell r="N677" t="str">
            <v/>
          </cell>
        </row>
        <row r="678">
          <cell r="A678" t="str">
            <v>STACJA ROBOCZA</v>
          </cell>
          <cell r="B678" t="str">
            <v>KOMPUTER 386SX</v>
          </cell>
          <cell r="C678" t="str">
            <v>491-1792</v>
          </cell>
          <cell r="D678" t="str">
            <v>019013/1713</v>
          </cell>
          <cell r="E678" t="str">
            <v xml:space="preserve">PN </v>
          </cell>
          <cell r="F678" t="str">
            <v xml:space="preserve">PRZEGALIŃSKA             CZESŁAWA       </v>
          </cell>
          <cell r="G678" t="str">
            <v>U-9</v>
          </cell>
          <cell r="H678" t="str">
            <v>BIBLIOTEKA</v>
          </cell>
          <cell r="I678" t="str">
            <v>29-13</v>
          </cell>
          <cell r="J678" t="str">
            <v>708</v>
          </cell>
          <cell r="K678" t="str">
            <v>491-01792</v>
          </cell>
          <cell r="L678" t="str">
            <v>450</v>
          </cell>
          <cell r="M678" t="str">
            <v/>
          </cell>
          <cell r="N678" t="str">
            <v>64</v>
          </cell>
        </row>
        <row r="679">
          <cell r="A679" t="str">
            <v>STACJA ROBOCZA</v>
          </cell>
          <cell r="B679" t="str">
            <v>DELL Optiplex GX1L 350</v>
          </cell>
          <cell r="C679" t="str">
            <v>491-3540</v>
          </cell>
          <cell r="D679" t="str">
            <v>PDZBW</v>
          </cell>
          <cell r="E679" t="str">
            <v xml:space="preserve">PN </v>
          </cell>
          <cell r="F679" t="str">
            <v xml:space="preserve">KACZMAREK                KRZYSZTOF      </v>
          </cell>
          <cell r="G679" t="str">
            <v>U-17</v>
          </cell>
          <cell r="H679" t="str">
            <v>Sala szkol</v>
          </cell>
          <cell r="I679" t="str">
            <v>11-22</v>
          </cell>
          <cell r="J679" t="str">
            <v>346</v>
          </cell>
          <cell r="K679" t="str">
            <v>491-03540</v>
          </cell>
          <cell r="L679" t="str">
            <v>350</v>
          </cell>
          <cell r="M679" t="str">
            <v/>
          </cell>
          <cell r="N679" t="str">
            <v>128</v>
          </cell>
        </row>
        <row r="680">
          <cell r="A680" t="str">
            <v>STACJA ROBOCZA</v>
          </cell>
          <cell r="B680" t="str">
            <v>DELL Optiplex GX1L 266</v>
          </cell>
          <cell r="C680" t="str">
            <v>491-3287</v>
          </cell>
          <cell r="D680" t="str">
            <v>NM17K</v>
          </cell>
          <cell r="E680" t="str">
            <v xml:space="preserve">PN </v>
          </cell>
          <cell r="F680" t="str">
            <v xml:space="preserve">KACZMAREK                KRZYSZTOF      </v>
          </cell>
          <cell r="G680" t="str">
            <v>U-17</v>
          </cell>
          <cell r="H680" t="str">
            <v>Sala szkol</v>
          </cell>
          <cell r="I680" t="str">
            <v>11-22</v>
          </cell>
          <cell r="J680" t="str">
            <v>346</v>
          </cell>
          <cell r="K680" t="str">
            <v>PROWADZACYU17</v>
          </cell>
          <cell r="L680" t="str">
            <v>1000</v>
          </cell>
          <cell r="M680" t="str">
            <v/>
          </cell>
          <cell r="N680" t="str">
            <v>480</v>
          </cell>
        </row>
        <row r="681">
          <cell r="A681" t="str">
            <v>STACJA ROBOCZA</v>
          </cell>
          <cell r="B681" t="str">
            <v>PENTIUM CYRIX</v>
          </cell>
          <cell r="C681" t="str">
            <v>491-2702</v>
          </cell>
          <cell r="D681" t="str">
            <v>303302</v>
          </cell>
          <cell r="E681" t="str">
            <v xml:space="preserve">PN </v>
          </cell>
          <cell r="F681" t="str">
            <v xml:space="preserve">WASYNA                   ZBIGNIEW       </v>
          </cell>
          <cell r="G681" t="str">
            <v>U-12</v>
          </cell>
          <cell r="H681" t="str">
            <v>204</v>
          </cell>
          <cell r="I681" t="str">
            <v>11-25</v>
          </cell>
          <cell r="J681" t="str">
            <v>1037</v>
          </cell>
          <cell r="K681" t="str">
            <v>491-02702</v>
          </cell>
          <cell r="L681" t="str">
            <v>100</v>
          </cell>
          <cell r="M681" t="str">
            <v>OK19M</v>
          </cell>
          <cell r="N681" t="str">
            <v>32</v>
          </cell>
        </row>
        <row r="682">
          <cell r="A682" t="str">
            <v>STACJA ROBOCZA</v>
          </cell>
          <cell r="B682" t="str">
            <v>DELL Optiplex GX1L 266</v>
          </cell>
          <cell r="C682" t="str">
            <v>491-3391</v>
          </cell>
          <cell r="D682" t="str">
            <v>NM1B1</v>
          </cell>
          <cell r="E682" t="str">
            <v xml:space="preserve">PN </v>
          </cell>
          <cell r="F682" t="str">
            <v xml:space="preserve">KACZMAREK                KRZYSZTOF      </v>
          </cell>
          <cell r="G682" t="str">
            <v>U-17</v>
          </cell>
          <cell r="H682" t="str">
            <v>Sala szkol</v>
          </cell>
          <cell r="I682" t="str">
            <v>11-22</v>
          </cell>
          <cell r="J682" t="str">
            <v>346</v>
          </cell>
          <cell r="K682" t="str">
            <v/>
          </cell>
          <cell r="L682" t="str">
            <v>266</v>
          </cell>
          <cell r="M682" t="str">
            <v/>
          </cell>
          <cell r="N682" t="str">
            <v/>
          </cell>
        </row>
        <row r="683">
          <cell r="A683" t="str">
            <v>STACJA ROBOCZA</v>
          </cell>
          <cell r="B683" t="str">
            <v>DELL Optiplex GX150</v>
          </cell>
          <cell r="C683" t="str">
            <v>491-4737</v>
          </cell>
          <cell r="D683" t="str">
            <v>1PRX60J</v>
          </cell>
          <cell r="E683" t="str">
            <v xml:space="preserve">PO </v>
          </cell>
          <cell r="F683" t="str">
            <v xml:space="preserve">JASZCZAK                 JERZY          </v>
          </cell>
          <cell r="G683" t="str">
            <v>U-9</v>
          </cell>
          <cell r="H683" t="str">
            <v>3</v>
          </cell>
          <cell r="I683" t="str">
            <v>14-40,39-88</v>
          </cell>
          <cell r="J683" t="str">
            <v>299</v>
          </cell>
          <cell r="K683" t="str">
            <v>491-04737</v>
          </cell>
          <cell r="L683" t="str">
            <v>1000</v>
          </cell>
          <cell r="M683" t="str">
            <v/>
          </cell>
          <cell r="N683" t="str">
            <v>255</v>
          </cell>
        </row>
        <row r="684">
          <cell r="A684" t="str">
            <v>STACJA ROBOCZA</v>
          </cell>
          <cell r="B684" t="str">
            <v>NEC PowerMate VT Destop P III 450</v>
          </cell>
          <cell r="C684" t="str">
            <v>491-3896</v>
          </cell>
          <cell r="D684" t="str">
            <v>0247109</v>
          </cell>
          <cell r="E684" t="str">
            <v xml:space="preserve">PS </v>
          </cell>
          <cell r="F684" t="str">
            <v xml:space="preserve">FRANCZAK                 ANNA           </v>
          </cell>
          <cell r="G684" t="str">
            <v>U-17</v>
          </cell>
          <cell r="H684" t="str">
            <v>10</v>
          </cell>
          <cell r="I684" t="str">
            <v/>
          </cell>
          <cell r="J684" t="str">
            <v>205</v>
          </cell>
          <cell r="K684" t="str">
            <v>491-03896</v>
          </cell>
          <cell r="L684" t="str">
            <v>450</v>
          </cell>
          <cell r="M684" t="str">
            <v/>
          </cell>
          <cell r="N684" t="str">
            <v>192</v>
          </cell>
        </row>
        <row r="685">
          <cell r="A685" t="str">
            <v>STACJA ROBOCZA</v>
          </cell>
          <cell r="B685" t="str">
            <v>COMPAQ DESKPRO EXD PIII 733</v>
          </cell>
          <cell r="C685" t="str">
            <v>491-4291</v>
          </cell>
          <cell r="D685" t="str">
            <v>8036FR4ZE241</v>
          </cell>
          <cell r="E685" t="str">
            <v xml:space="preserve">PS </v>
          </cell>
          <cell r="F685" t="str">
            <v xml:space="preserve">PUCH                     MAŁGORZATA     </v>
          </cell>
          <cell r="G685" t="str">
            <v>U-17</v>
          </cell>
          <cell r="H685" t="str">
            <v>10</v>
          </cell>
          <cell r="I685" t="str">
            <v>12-20</v>
          </cell>
          <cell r="J685" t="str">
            <v>450</v>
          </cell>
          <cell r="K685" t="str">
            <v>491-04291</v>
          </cell>
          <cell r="L685" t="str">
            <v>733</v>
          </cell>
          <cell r="M685" t="str">
            <v/>
          </cell>
          <cell r="N685" t="str">
            <v>127</v>
          </cell>
        </row>
        <row r="686">
          <cell r="A686" t="str">
            <v>STACJA ROBOCZA</v>
          </cell>
          <cell r="B686" t="str">
            <v>DELL Optiplex GX1MT 350</v>
          </cell>
          <cell r="C686" t="str">
            <v>491-3494</v>
          </cell>
          <cell r="D686" t="str">
            <v>PKN4T</v>
          </cell>
          <cell r="E686" t="str">
            <v xml:space="preserve">PS </v>
          </cell>
          <cell r="F686" t="str">
            <v xml:space="preserve">WOŹNIAK                  ELŻBIETA       </v>
          </cell>
          <cell r="G686" t="str">
            <v>U-11</v>
          </cell>
          <cell r="H686" t="str">
            <v>304</v>
          </cell>
          <cell r="I686" t="str">
            <v>12-76</v>
          </cell>
          <cell r="J686" t="str">
            <v>1062</v>
          </cell>
          <cell r="K686" t="str">
            <v>491-03494</v>
          </cell>
          <cell r="L686" t="str">
            <v>350</v>
          </cell>
          <cell r="M686" t="str">
            <v/>
          </cell>
          <cell r="N686" t="str">
            <v>64</v>
          </cell>
        </row>
        <row r="687">
          <cell r="A687" t="str">
            <v>STACJA ROBOCZA</v>
          </cell>
          <cell r="B687" t="str">
            <v>DELL Optiplex GX1L 350</v>
          </cell>
          <cell r="C687" t="str">
            <v>491-3590</v>
          </cell>
          <cell r="D687" t="str">
            <v>PKGN4</v>
          </cell>
          <cell r="E687" t="str">
            <v xml:space="preserve">PS </v>
          </cell>
          <cell r="F687" t="str">
            <v xml:space="preserve">KAJDANEK                 HENRYKA        </v>
          </cell>
          <cell r="G687" t="str">
            <v>U-11</v>
          </cell>
          <cell r="H687" t="str">
            <v>304</v>
          </cell>
          <cell r="I687" t="str">
            <v>12-76</v>
          </cell>
          <cell r="J687" t="str">
            <v>462</v>
          </cell>
          <cell r="K687" t="str">
            <v>491-03590</v>
          </cell>
          <cell r="L687" t="str">
            <v>350</v>
          </cell>
          <cell r="M687" t="str">
            <v/>
          </cell>
          <cell r="N687" t="str">
            <v>64</v>
          </cell>
        </row>
        <row r="688">
          <cell r="A688" t="str">
            <v>STACJA ROBOCZA</v>
          </cell>
          <cell r="B688" t="str">
            <v>COMPAQ DESKPRO EXDT</v>
          </cell>
          <cell r="C688" t="str">
            <v>491-4642</v>
          </cell>
          <cell r="D688" t="str">
            <v>8124FR4Z0G3F</v>
          </cell>
          <cell r="E688" t="str">
            <v xml:space="preserve">PS </v>
          </cell>
          <cell r="F688" t="str">
            <v xml:space="preserve">GORTAT                   FRANCISZEK     </v>
          </cell>
          <cell r="G688" t="str">
            <v>U-11</v>
          </cell>
          <cell r="H688" t="str">
            <v>303</v>
          </cell>
          <cell r="I688" t="str">
            <v>11-11</v>
          </cell>
          <cell r="J688" t="str">
            <v>241</v>
          </cell>
          <cell r="K688" t="str">
            <v>491-04642</v>
          </cell>
          <cell r="L688" t="str">
            <v>1000</v>
          </cell>
          <cell r="M688" t="str">
            <v/>
          </cell>
          <cell r="N688" t="str">
            <v>63</v>
          </cell>
        </row>
        <row r="689">
          <cell r="A689" t="str">
            <v>STACJA ROBOCZA</v>
          </cell>
          <cell r="B689" t="str">
            <v>COMPAQ DESKPRO EXDT</v>
          </cell>
          <cell r="C689" t="str">
            <v>491-4644</v>
          </cell>
          <cell r="D689" t="str">
            <v>8124FR4Z0G3B</v>
          </cell>
          <cell r="E689" t="str">
            <v xml:space="preserve">PS </v>
          </cell>
          <cell r="F689" t="str">
            <v xml:space="preserve">BRAUN                    SABINA         </v>
          </cell>
          <cell r="G689" t="str">
            <v>U-17</v>
          </cell>
          <cell r="H689" t="str">
            <v>17</v>
          </cell>
          <cell r="I689" t="str">
            <v>12-17</v>
          </cell>
          <cell r="J689" t="str">
            <v>5546</v>
          </cell>
          <cell r="K689" t="str">
            <v>PSSABINAB</v>
          </cell>
          <cell r="L689" t="str">
            <v>1000</v>
          </cell>
          <cell r="M689" t="str">
            <v>OK54J</v>
          </cell>
          <cell r="N689" t="str">
            <v/>
          </cell>
        </row>
        <row r="690">
          <cell r="A690" t="str">
            <v>STACJA ROBOCZA</v>
          </cell>
          <cell r="B690" t="str">
            <v>NEC PMVT Desktop P III 450</v>
          </cell>
          <cell r="C690" t="str">
            <v>491-3784</v>
          </cell>
          <cell r="D690" t="str">
            <v>0677109</v>
          </cell>
          <cell r="E690" t="str">
            <v xml:space="preserve">PS </v>
          </cell>
          <cell r="F690" t="str">
            <v xml:space="preserve">RZYMSKI                  JERZY          </v>
          </cell>
          <cell r="G690" t="str">
            <v>KLUB ENERGETYK</v>
          </cell>
          <cell r="H690" t="str">
            <v>KLUB</v>
          </cell>
          <cell r="I690" t="str">
            <v>6321992</v>
          </cell>
          <cell r="J690" t="str">
            <v>824</v>
          </cell>
          <cell r="K690" t="str">
            <v/>
          </cell>
          <cell r="L690" t="str">
            <v>450</v>
          </cell>
          <cell r="M690" t="str">
            <v>POZA ELEKTROWNIA</v>
          </cell>
          <cell r="N690" t="str">
            <v>256</v>
          </cell>
        </row>
        <row r="691">
          <cell r="A691" t="str">
            <v>STACJA ROBOCZA</v>
          </cell>
          <cell r="B691" t="str">
            <v>ZENITH Z STATION P166</v>
          </cell>
          <cell r="C691" t="str">
            <v>491-2976</v>
          </cell>
          <cell r="D691" t="str">
            <v>GVDD72904935</v>
          </cell>
          <cell r="E691" t="str">
            <v xml:space="preserve">PS </v>
          </cell>
          <cell r="F691" t="str">
            <v xml:space="preserve">RZYMSKI                  JERZY          </v>
          </cell>
          <cell r="G691" t="str">
            <v>KLUB ENERGETYK</v>
          </cell>
          <cell r="H691" t="str">
            <v>KLUB</v>
          </cell>
          <cell r="I691" t="str">
            <v>6321992</v>
          </cell>
          <cell r="J691" t="str">
            <v>824</v>
          </cell>
          <cell r="K691" t="str">
            <v/>
          </cell>
          <cell r="L691" t="str">
            <v>166</v>
          </cell>
          <cell r="M691" t="str">
            <v>POZA ELEKTROWNIA</v>
          </cell>
          <cell r="N691" t="str">
            <v/>
          </cell>
        </row>
        <row r="692">
          <cell r="A692" t="str">
            <v>STACJA ROBOCZA</v>
          </cell>
          <cell r="B692" t="str">
            <v>COMPAQ DESKPRO EXDT</v>
          </cell>
          <cell r="C692" t="str">
            <v>491-4641</v>
          </cell>
          <cell r="D692" t="str">
            <v>8124FR4Z0G36</v>
          </cell>
          <cell r="E692" t="str">
            <v xml:space="preserve">PS </v>
          </cell>
          <cell r="F692" t="str">
            <v xml:space="preserve">NOWACKA                  GRAŻYNA        </v>
          </cell>
          <cell r="G692" t="str">
            <v>U-17</v>
          </cell>
          <cell r="H692" t="str">
            <v>17</v>
          </cell>
          <cell r="I692" t="str">
            <v>12-19</v>
          </cell>
          <cell r="J692" t="str">
            <v>649</v>
          </cell>
          <cell r="K692" t="str">
            <v>491-04641</v>
          </cell>
          <cell r="L692" t="str">
            <v>1000</v>
          </cell>
          <cell r="M692" t="str">
            <v/>
          </cell>
          <cell r="N692" t="str">
            <v>191</v>
          </cell>
        </row>
        <row r="693">
          <cell r="A693" t="str">
            <v>STACJA ROBOCZA</v>
          </cell>
          <cell r="B693" t="str">
            <v>DELL Optiplex GX260 SD</v>
          </cell>
          <cell r="C693" t="str">
            <v>491-5097</v>
          </cell>
          <cell r="D693" t="str">
            <v>4KYGL0J</v>
          </cell>
          <cell r="E693" t="str">
            <v xml:space="preserve">PS </v>
          </cell>
          <cell r="F693" t="str">
            <v xml:space="preserve">BORSZYŃSKA               ELŻBIETA       </v>
          </cell>
          <cell r="G693" t="str">
            <v>U-11</v>
          </cell>
          <cell r="H693" t="str">
            <v>305</v>
          </cell>
          <cell r="I693" t="str">
            <v>18-30</v>
          </cell>
          <cell r="J693" t="str">
            <v>21</v>
          </cell>
          <cell r="K693" t="str">
            <v>491-05097</v>
          </cell>
          <cell r="L693" t="str">
            <v>2400</v>
          </cell>
          <cell r="M693" t="str">
            <v/>
          </cell>
          <cell r="N693" t="str">
            <v>254</v>
          </cell>
        </row>
        <row r="694">
          <cell r="A694" t="str">
            <v>STACJA ROBOCZA</v>
          </cell>
          <cell r="B694" t="str">
            <v>DELL Optiplex GX1L 266</v>
          </cell>
          <cell r="C694" t="str">
            <v>491-3395</v>
          </cell>
          <cell r="D694" t="str">
            <v>NM1CV</v>
          </cell>
          <cell r="E694" t="str">
            <v xml:space="preserve">PS </v>
          </cell>
          <cell r="F694" t="str">
            <v xml:space="preserve">MICHALSKA                MAGDALENA      </v>
          </cell>
          <cell r="G694" t="str">
            <v>U-17</v>
          </cell>
          <cell r="H694" t="str">
            <v>9</v>
          </cell>
          <cell r="I694" t="str">
            <v>12-19</v>
          </cell>
          <cell r="J694" t="str">
            <v>629</v>
          </cell>
          <cell r="K694" t="str">
            <v>491-03395</v>
          </cell>
          <cell r="L694" t="str">
            <v>266</v>
          </cell>
          <cell r="M694" t="str">
            <v/>
          </cell>
          <cell r="N694" t="str">
            <v>160</v>
          </cell>
        </row>
        <row r="695">
          <cell r="A695" t="str">
            <v>STACJA ROBOCZA</v>
          </cell>
          <cell r="B695" t="str">
            <v>DELL Optiplex GX260 SD</v>
          </cell>
          <cell r="C695" t="str">
            <v>491-5096</v>
          </cell>
          <cell r="D695" t="str">
            <v>8LYGL0J</v>
          </cell>
          <cell r="E695" t="str">
            <v xml:space="preserve">PS </v>
          </cell>
          <cell r="F695" t="str">
            <v xml:space="preserve">SZYMCZAK                 ANNA           </v>
          </cell>
          <cell r="G695" t="str">
            <v>U-11</v>
          </cell>
          <cell r="H695" t="str">
            <v>305</v>
          </cell>
          <cell r="I695" t="str">
            <v>18-30</v>
          </cell>
          <cell r="J695" t="str">
            <v>953</v>
          </cell>
          <cell r="K695" t="str">
            <v>491-05096</v>
          </cell>
          <cell r="L695" t="str">
            <v>2400</v>
          </cell>
          <cell r="M695" t="str">
            <v/>
          </cell>
          <cell r="N695" t="str">
            <v>254</v>
          </cell>
        </row>
        <row r="696">
          <cell r="A696" t="str">
            <v>STACJA ROBOCZA</v>
          </cell>
          <cell r="B696" t="str">
            <v>COMPAQ DESKPRO EXDT</v>
          </cell>
          <cell r="C696" t="str">
            <v>491-4643</v>
          </cell>
          <cell r="D696" t="str">
            <v>8124FR4Z0G3H</v>
          </cell>
          <cell r="E696" t="str">
            <v xml:space="preserve">PS </v>
          </cell>
          <cell r="F696" t="str">
            <v xml:space="preserve">LEKSIŃSKI                WALDEMAR       </v>
          </cell>
          <cell r="G696" t="str">
            <v>U-17</v>
          </cell>
          <cell r="H696" t="str">
            <v>5</v>
          </cell>
          <cell r="I696" t="str">
            <v>34-06</v>
          </cell>
          <cell r="J696" t="str">
            <v>522</v>
          </cell>
          <cell r="K696" t="str">
            <v/>
          </cell>
          <cell r="L696" t="str">
            <v>1000</v>
          </cell>
          <cell r="M696" t="str">
            <v>OK54J</v>
          </cell>
          <cell r="N696" t="str">
            <v/>
          </cell>
        </row>
        <row r="697">
          <cell r="A697" t="str">
            <v>STACJA ROBOCZA</v>
          </cell>
          <cell r="B697" t="str">
            <v>NEC PowerMate VT Destop P III 450</v>
          </cell>
          <cell r="C697" t="str">
            <v>491-4017</v>
          </cell>
          <cell r="D697" t="str">
            <v>0199109</v>
          </cell>
          <cell r="E697" t="str">
            <v xml:space="preserve">PZ </v>
          </cell>
          <cell r="F697" t="str">
            <v xml:space="preserve">RAKOWICZ                 HALINA         </v>
          </cell>
          <cell r="G697" t="str">
            <v>U-11</v>
          </cell>
          <cell r="H697" t="str">
            <v>310</v>
          </cell>
          <cell r="I697" t="str">
            <v>15-65</v>
          </cell>
          <cell r="J697" t="str">
            <v>842</v>
          </cell>
          <cell r="K697" t="str">
            <v>491-04017</v>
          </cell>
          <cell r="L697" t="str">
            <v>450</v>
          </cell>
          <cell r="M697" t="str">
            <v/>
          </cell>
          <cell r="N697" t="str">
            <v>64</v>
          </cell>
        </row>
        <row r="698">
          <cell r="A698" t="str">
            <v>STACJA ROBOCZA</v>
          </cell>
          <cell r="B698" t="str">
            <v>DELL Optiplex GX260 SD</v>
          </cell>
          <cell r="C698" t="str">
            <v>491-5151</v>
          </cell>
          <cell r="D698" t="str">
            <v>HKYGL0J</v>
          </cell>
          <cell r="E698" t="str">
            <v xml:space="preserve">PZ </v>
          </cell>
          <cell r="F698" t="str">
            <v xml:space="preserve">JÓŹWIAK                  JADWIGA        </v>
          </cell>
          <cell r="G698" t="str">
            <v>U-11</v>
          </cell>
          <cell r="H698" t="str">
            <v>303</v>
          </cell>
          <cell r="I698" t="str">
            <v>15-56</v>
          </cell>
          <cell r="J698" t="str">
            <v>301</v>
          </cell>
          <cell r="K698" t="str">
            <v>491-05151</v>
          </cell>
          <cell r="L698" t="str">
            <v>2400</v>
          </cell>
          <cell r="M698" t="str">
            <v/>
          </cell>
          <cell r="N698" t="str">
            <v>254</v>
          </cell>
        </row>
        <row r="699">
          <cell r="A699" t="str">
            <v>STACJA ROBOCZA</v>
          </cell>
          <cell r="B699" t="str">
            <v>ZENITH Z STATION P200</v>
          </cell>
          <cell r="C699" t="str">
            <v>491-3026</v>
          </cell>
          <cell r="D699" t="str">
            <v>GVDD72904607</v>
          </cell>
          <cell r="E699" t="str">
            <v xml:space="preserve">PZ </v>
          </cell>
          <cell r="F699" t="str">
            <v xml:space="preserve">WALENCZAK                ELŻBIETA       </v>
          </cell>
          <cell r="G699" t="str">
            <v>U-11</v>
          </cell>
          <cell r="H699" t="str">
            <v>206</v>
          </cell>
          <cell r="I699" t="str">
            <v>10-30</v>
          </cell>
          <cell r="J699" t="str">
            <v>1089</v>
          </cell>
          <cell r="K699" t="str">
            <v>491-03026</v>
          </cell>
          <cell r="L699" t="str">
            <v>200</v>
          </cell>
          <cell r="M699" t="str">
            <v>OK51J</v>
          </cell>
          <cell r="N699" t="str">
            <v>32</v>
          </cell>
        </row>
        <row r="700">
          <cell r="A700" t="str">
            <v>STACJA ROBOCZA</v>
          </cell>
          <cell r="B700" t="str">
            <v>DELL Optiplex GX1L 350</v>
          </cell>
          <cell r="C700" t="str">
            <v>491-3586</v>
          </cell>
          <cell r="D700" t="str">
            <v>PKGPR</v>
          </cell>
          <cell r="E700" t="str">
            <v xml:space="preserve">PZ </v>
          </cell>
          <cell r="F700" t="str">
            <v xml:space="preserve">SOCHA                    EWA            </v>
          </cell>
          <cell r="G700" t="str">
            <v>U-11</v>
          </cell>
          <cell r="H700" t="str">
            <v>303</v>
          </cell>
          <cell r="I700" t="str">
            <v>15-57</v>
          </cell>
          <cell r="J700" t="str">
            <v>956</v>
          </cell>
          <cell r="K700" t="str">
            <v>491-03586</v>
          </cell>
          <cell r="L700" t="str">
            <v>350</v>
          </cell>
          <cell r="M700" t="str">
            <v/>
          </cell>
          <cell r="N700" t="str">
            <v>64</v>
          </cell>
        </row>
        <row r="701">
          <cell r="A701" t="str">
            <v>STACJA ROBOCZA</v>
          </cell>
          <cell r="B701" t="str">
            <v>NEC PowerMate VT Destop P III 450</v>
          </cell>
          <cell r="C701" t="str">
            <v>491-4015</v>
          </cell>
          <cell r="D701" t="str">
            <v>0202109</v>
          </cell>
          <cell r="E701" t="str">
            <v xml:space="preserve">PZ </v>
          </cell>
          <cell r="F701" t="str">
            <v xml:space="preserve">KUKIEŁKA                 TERESA         </v>
          </cell>
          <cell r="G701" t="str">
            <v>U-11</v>
          </cell>
          <cell r="H701" t="str">
            <v>310</v>
          </cell>
          <cell r="I701" t="str">
            <v>15-62</v>
          </cell>
          <cell r="J701" t="str">
            <v>368</v>
          </cell>
          <cell r="K701" t="str">
            <v>491-04015</v>
          </cell>
          <cell r="L701" t="str">
            <v>450</v>
          </cell>
          <cell r="M701" t="str">
            <v/>
          </cell>
          <cell r="N701" t="str">
            <v>128</v>
          </cell>
        </row>
        <row r="702">
          <cell r="A702" t="str">
            <v>NOTEBOOK</v>
          </cell>
          <cell r="B702" t="str">
            <v>DELL Latitude C640</v>
          </cell>
          <cell r="C702" t="str">
            <v>491-5071</v>
          </cell>
          <cell r="D702" t="str">
            <v>G3RGL0J</v>
          </cell>
          <cell r="E702" t="str">
            <v xml:space="preserve">PZ </v>
          </cell>
          <cell r="F702" t="str">
            <v xml:space="preserve">CHMIEL                   SŁAWOMIR       </v>
          </cell>
          <cell r="G702" t="str">
            <v>U-11</v>
          </cell>
          <cell r="H702" t="str">
            <v>302</v>
          </cell>
          <cell r="I702" t="str">
            <v>25-70</v>
          </cell>
          <cell r="J702" t="str">
            <v>9084</v>
          </cell>
          <cell r="K702" t="str">
            <v>491-05071</v>
          </cell>
          <cell r="L702" t="str">
            <v>1800</v>
          </cell>
          <cell r="M702" t="str">
            <v/>
          </cell>
          <cell r="N702" t="str">
            <v>256</v>
          </cell>
        </row>
        <row r="703">
          <cell r="A703" t="str">
            <v>STACJA ROBOCZA</v>
          </cell>
          <cell r="B703" t="str">
            <v>NEC PowerMate VT Destop P III 450</v>
          </cell>
          <cell r="C703" t="str">
            <v>491-4034</v>
          </cell>
          <cell r="D703" t="str">
            <v>0207109</v>
          </cell>
          <cell r="E703" t="str">
            <v xml:space="preserve">PZ </v>
          </cell>
          <cell r="F703" t="str">
            <v xml:space="preserve">NAJGEBAUER               KRYSTYNA       </v>
          </cell>
          <cell r="G703" t="str">
            <v>U-11</v>
          </cell>
          <cell r="H703" t="str">
            <v>310</v>
          </cell>
          <cell r="I703" t="str">
            <v>15-62</v>
          </cell>
          <cell r="J703" t="str">
            <v>657</v>
          </cell>
          <cell r="K703" t="str">
            <v>491-04034</v>
          </cell>
          <cell r="L703" t="str">
            <v>450</v>
          </cell>
          <cell r="M703" t="str">
            <v>OK51J</v>
          </cell>
          <cell r="N703" t="str">
            <v>128</v>
          </cell>
        </row>
        <row r="704">
          <cell r="A704" t="str">
            <v>STACJA ROBOCZA</v>
          </cell>
          <cell r="B704" t="str">
            <v>DELL Optiplex GX1L 350</v>
          </cell>
          <cell r="C704" t="str">
            <v>491-3592</v>
          </cell>
          <cell r="D704" t="str">
            <v>PKGPD</v>
          </cell>
          <cell r="E704" t="str">
            <v xml:space="preserve">PZ </v>
          </cell>
          <cell r="F704" t="str">
            <v xml:space="preserve">DĄBROWSKI                WACŁAW         </v>
          </cell>
          <cell r="G704" t="str">
            <v>U-11</v>
          </cell>
          <cell r="H704" t="str">
            <v>309</v>
          </cell>
          <cell r="I704" t="str">
            <v>15-55</v>
          </cell>
          <cell r="J704" t="str">
            <v>164</v>
          </cell>
          <cell r="K704" t="str">
            <v>491-03592</v>
          </cell>
          <cell r="L704" t="str">
            <v>350</v>
          </cell>
          <cell r="M704" t="str">
            <v/>
          </cell>
          <cell r="N704" t="str">
            <v>64</v>
          </cell>
        </row>
        <row r="705">
          <cell r="A705" t="str">
            <v>STACJA ROBOCZA</v>
          </cell>
          <cell r="B705" t="str">
            <v>DELL Optiplex GX150</v>
          </cell>
          <cell r="C705" t="str">
            <v>491-4735</v>
          </cell>
          <cell r="D705" t="str">
            <v>5LVX60J</v>
          </cell>
          <cell r="E705" t="str">
            <v xml:space="preserve">PZ </v>
          </cell>
          <cell r="F705" t="str">
            <v xml:space="preserve">CHMIEL                   SŁAWOMIR       </v>
          </cell>
          <cell r="G705" t="str">
            <v>U-11</v>
          </cell>
          <cell r="H705" t="str">
            <v>302</v>
          </cell>
          <cell r="I705" t="str">
            <v>25-70</v>
          </cell>
          <cell r="J705" t="str">
            <v>9084</v>
          </cell>
          <cell r="K705" t="str">
            <v>491-04735</v>
          </cell>
          <cell r="L705" t="str">
            <v>1000</v>
          </cell>
          <cell r="M705" t="str">
            <v/>
          </cell>
          <cell r="N705" t="str">
            <v>255</v>
          </cell>
        </row>
        <row r="706">
          <cell r="A706" t="str">
            <v>STACJA ROBOCZA</v>
          </cell>
          <cell r="B706" t="str">
            <v>DELL Optiplex GX150</v>
          </cell>
          <cell r="C706" t="str">
            <v>491-4734</v>
          </cell>
          <cell r="D706" t="str">
            <v>CPRX60J</v>
          </cell>
          <cell r="E706" t="str">
            <v xml:space="preserve">RB </v>
          </cell>
          <cell r="F706" t="str">
            <v xml:space="preserve">BOROWSKI                 RYSZARD        </v>
          </cell>
          <cell r="G706" t="str">
            <v>U-2</v>
          </cell>
          <cell r="H706" t="str">
            <v>128</v>
          </cell>
          <cell r="I706" t="str">
            <v>11-38</v>
          </cell>
          <cell r="J706" t="str">
            <v>9250</v>
          </cell>
          <cell r="K706" t="str">
            <v>491-04734</v>
          </cell>
          <cell r="L706" t="str">
            <v>1000</v>
          </cell>
          <cell r="M706" t="str">
            <v/>
          </cell>
          <cell r="N706" t="str">
            <v>255</v>
          </cell>
        </row>
        <row r="707">
          <cell r="A707" t="str">
            <v>STACJA ROBOCZA</v>
          </cell>
          <cell r="B707" t="str">
            <v>COMPAQ DESKPRO EXD PIII 733</v>
          </cell>
          <cell r="C707" t="str">
            <v>491-4333</v>
          </cell>
          <cell r="D707" t="str">
            <v>8036FR4ZE580</v>
          </cell>
          <cell r="E707" t="str">
            <v xml:space="preserve">RB </v>
          </cell>
          <cell r="F707" t="str">
            <v xml:space="preserve">KRZACZYŃSKA              WANDA          </v>
          </cell>
          <cell r="G707" t="str">
            <v>U-2</v>
          </cell>
          <cell r="H707" t="str">
            <v>130</v>
          </cell>
          <cell r="I707" t="str">
            <v>34-28</v>
          </cell>
          <cell r="J707" t="str">
            <v>422</v>
          </cell>
          <cell r="K707" t="str">
            <v>491-04333</v>
          </cell>
          <cell r="L707" t="str">
            <v>733</v>
          </cell>
          <cell r="M707" t="str">
            <v/>
          </cell>
          <cell r="N707" t="str">
            <v>127</v>
          </cell>
        </row>
        <row r="708">
          <cell r="A708" t="str">
            <v>STACJA ROBOCZA</v>
          </cell>
          <cell r="B708" t="str">
            <v>DELL Optiplex GX260 SD</v>
          </cell>
          <cell r="C708" t="str">
            <v>491-5115</v>
          </cell>
          <cell r="D708" t="str">
            <v>4JYGL0J</v>
          </cell>
          <cell r="E708" t="str">
            <v xml:space="preserve">RB </v>
          </cell>
          <cell r="F708" t="str">
            <v xml:space="preserve">JANICZEK                 ZOFIA          </v>
          </cell>
          <cell r="G708" t="str">
            <v>U-2</v>
          </cell>
          <cell r="H708" t="str">
            <v>131</v>
          </cell>
          <cell r="I708" t="str">
            <v>18-45</v>
          </cell>
          <cell r="J708" t="str">
            <v>327</v>
          </cell>
          <cell r="K708" t="str">
            <v>491-05115</v>
          </cell>
          <cell r="L708" t="str">
            <v>2400</v>
          </cell>
          <cell r="M708" t="str">
            <v/>
          </cell>
          <cell r="N708" t="str">
            <v>254</v>
          </cell>
        </row>
        <row r="709">
          <cell r="A709" t="str">
            <v>STACJA ROBOCZA</v>
          </cell>
          <cell r="B709" t="str">
            <v>NEC PowerMate VT Destop P III 450</v>
          </cell>
          <cell r="C709" t="str">
            <v>491-3915</v>
          </cell>
          <cell r="D709" t="str">
            <v>0269109</v>
          </cell>
          <cell r="E709" t="str">
            <v xml:space="preserve">RB </v>
          </cell>
          <cell r="F709" t="str">
            <v xml:space="preserve">LESIAKOWSKI              KRZYSZTOF      </v>
          </cell>
          <cell r="G709" t="str">
            <v>BLOK 6</v>
          </cell>
          <cell r="H709" t="str">
            <v>MISTRZOWKA</v>
          </cell>
          <cell r="I709" t="str">
            <v>11-12</v>
          </cell>
          <cell r="J709" t="str">
            <v>3285</v>
          </cell>
          <cell r="K709" t="str">
            <v>491-03915</v>
          </cell>
          <cell r="L709" t="str">
            <v>450</v>
          </cell>
          <cell r="M709" t="str">
            <v/>
          </cell>
          <cell r="N709" t="str">
            <v>64</v>
          </cell>
        </row>
        <row r="710">
          <cell r="A710" t="str">
            <v>STACJA ROBOCZA</v>
          </cell>
          <cell r="B710" t="str">
            <v>DELL Optiplex GX1MT 350</v>
          </cell>
          <cell r="C710" t="str">
            <v>491-3496</v>
          </cell>
          <cell r="D710" t="str">
            <v>PKN4J</v>
          </cell>
          <cell r="E710" t="str">
            <v xml:space="preserve">RB </v>
          </cell>
          <cell r="F710" t="str">
            <v xml:space="preserve">MISIAK                   MARIAN         </v>
          </cell>
          <cell r="G710" t="str">
            <v>U-2</v>
          </cell>
          <cell r="H710" t="str">
            <v>129</v>
          </cell>
          <cell r="I710" t="str">
            <v>20-25</v>
          </cell>
          <cell r="J710" t="str">
            <v>7049</v>
          </cell>
          <cell r="K710" t="str">
            <v>491-03496</v>
          </cell>
          <cell r="L710" t="str">
            <v>350</v>
          </cell>
          <cell r="M710" t="str">
            <v/>
          </cell>
          <cell r="N710" t="str">
            <v>128</v>
          </cell>
        </row>
        <row r="711">
          <cell r="A711" t="str">
            <v>STACJA ROBOCZA</v>
          </cell>
          <cell r="B711" t="str">
            <v>DELL Optiplex GX1L 266</v>
          </cell>
          <cell r="C711" t="str">
            <v>491-3321</v>
          </cell>
          <cell r="D711" t="str">
            <v>NM182</v>
          </cell>
          <cell r="E711" t="str">
            <v xml:space="preserve">RB </v>
          </cell>
          <cell r="F711" t="str">
            <v xml:space="preserve">KOSTRZEWA                KAZIMIERZ      </v>
          </cell>
          <cell r="G711" t="str">
            <v>BLOK 9</v>
          </cell>
          <cell r="H711" t="str">
            <v>WAR.IZOLERSKI POZ17M</v>
          </cell>
          <cell r="I711" t="str">
            <v>28-16</v>
          </cell>
          <cell r="J711" t="str">
            <v>469</v>
          </cell>
          <cell r="K711" t="str">
            <v>491-03321</v>
          </cell>
          <cell r="L711" t="str">
            <v>266</v>
          </cell>
          <cell r="M711" t="str">
            <v/>
          </cell>
          <cell r="N711" t="str">
            <v>96</v>
          </cell>
        </row>
        <row r="712">
          <cell r="A712" t="str">
            <v>STACJA ROBOCZA</v>
          </cell>
          <cell r="B712" t="str">
            <v>NEC Direction Minitower P III 450</v>
          </cell>
          <cell r="C712" t="str">
            <v>491-3882</v>
          </cell>
          <cell r="D712" t="str">
            <v>0989099</v>
          </cell>
          <cell r="E712" t="str">
            <v xml:space="preserve">RB </v>
          </cell>
          <cell r="F712" t="str">
            <v xml:space="preserve">GEMBORYS                 JAN            </v>
          </cell>
          <cell r="G712" t="str">
            <v>P-57</v>
          </cell>
          <cell r="H712" t="str">
            <v>WAR.IZOLERSKI</v>
          </cell>
          <cell r="I712" t="str">
            <v>28-25</v>
          </cell>
          <cell r="J712" t="str">
            <v>9607</v>
          </cell>
          <cell r="K712" t="str">
            <v>491-03882</v>
          </cell>
          <cell r="L712" t="str">
            <v>450</v>
          </cell>
          <cell r="M712" t="str">
            <v/>
          </cell>
          <cell r="N712" t="str">
            <v>64</v>
          </cell>
        </row>
        <row r="713">
          <cell r="A713" t="str">
            <v>STACJA ROBOCZA</v>
          </cell>
          <cell r="B713" t="str">
            <v>COMPAQ DESKPRO EXD PIII 733</v>
          </cell>
          <cell r="C713" t="str">
            <v>491-4475</v>
          </cell>
          <cell r="D713" t="str">
            <v>8036FR4ZE264</v>
          </cell>
          <cell r="E713" t="str">
            <v xml:space="preserve">RB </v>
          </cell>
          <cell r="F713" t="str">
            <v xml:space="preserve">CZARNECKA                GRAŻYNA        </v>
          </cell>
          <cell r="G713" t="str">
            <v>U-2</v>
          </cell>
          <cell r="H713" t="str">
            <v>131</v>
          </cell>
          <cell r="I713" t="str">
            <v>29-76</v>
          </cell>
          <cell r="J713" t="str">
            <v>2709</v>
          </cell>
          <cell r="K713" t="str">
            <v>491-04475</v>
          </cell>
          <cell r="L713" t="str">
            <v>733</v>
          </cell>
          <cell r="M713" t="str">
            <v/>
          </cell>
          <cell r="N713" t="str">
            <v>127</v>
          </cell>
        </row>
        <row r="714">
          <cell r="A714" t="str">
            <v>STACJA ROBOCZA</v>
          </cell>
          <cell r="B714" t="str">
            <v>NEC PowerMate VT Destop P III 450</v>
          </cell>
          <cell r="C714" t="str">
            <v>491-3916</v>
          </cell>
          <cell r="D714" t="str">
            <v>0253109</v>
          </cell>
          <cell r="E714" t="str">
            <v xml:space="preserve">RB </v>
          </cell>
          <cell r="F714" t="str">
            <v xml:space="preserve">HOCHMAN                  SŁAWOMIR       </v>
          </cell>
          <cell r="G714" t="str">
            <v>U-2</v>
          </cell>
          <cell r="H714" t="str">
            <v>WAR.PIASKARSKI</v>
          </cell>
          <cell r="I714" t="str">
            <v>25-29</v>
          </cell>
          <cell r="J714" t="str">
            <v>3486</v>
          </cell>
          <cell r="K714" t="str">
            <v>491-03916</v>
          </cell>
          <cell r="L714" t="str">
            <v>450</v>
          </cell>
          <cell r="M714" t="str">
            <v/>
          </cell>
          <cell r="N714" t="str">
            <v>64</v>
          </cell>
        </row>
        <row r="715">
          <cell r="A715" t="str">
            <v>STACJA ROBOCZA</v>
          </cell>
          <cell r="B715" t="str">
            <v>DELL Optiplex GX150</v>
          </cell>
          <cell r="C715" t="str">
            <v>491-4733</v>
          </cell>
          <cell r="D715" t="str">
            <v>DQRX60J</v>
          </cell>
          <cell r="E715" t="str">
            <v xml:space="preserve">RB </v>
          </cell>
          <cell r="F715" t="str">
            <v xml:space="preserve">KRZYKOWSKI               ZBIGNIEW       </v>
          </cell>
          <cell r="G715" t="str">
            <v>U-2</v>
          </cell>
          <cell r="H715" t="str">
            <v>131</v>
          </cell>
          <cell r="I715" t="str">
            <v>16-09</v>
          </cell>
          <cell r="J715" t="str">
            <v>9604</v>
          </cell>
          <cell r="K715" t="str">
            <v>491-04733</v>
          </cell>
          <cell r="L715" t="str">
            <v>1000</v>
          </cell>
          <cell r="M715" t="str">
            <v/>
          </cell>
          <cell r="N715" t="str">
            <v>255</v>
          </cell>
        </row>
        <row r="716">
          <cell r="A716" t="str">
            <v>STACJA ROBOCZA</v>
          </cell>
          <cell r="B716" t="str">
            <v>COMPAQ DESKPRO EXD PIII 733</v>
          </cell>
          <cell r="C716" t="str">
            <v>491-4443</v>
          </cell>
          <cell r="D716" t="str">
            <v>8036FR4Z6609</v>
          </cell>
          <cell r="E716" t="str">
            <v xml:space="preserve">RB </v>
          </cell>
          <cell r="F716" t="str">
            <v xml:space="preserve">SKOLIMOWSKI              JANUSZ         </v>
          </cell>
          <cell r="G716" t="str">
            <v>PYLON VIII</v>
          </cell>
          <cell r="H716" t="str">
            <v>POZ+23M MISTRZÓWKA</v>
          </cell>
          <cell r="I716" t="str">
            <v>18-57</v>
          </cell>
          <cell r="J716" t="str">
            <v>9116</v>
          </cell>
          <cell r="K716" t="str">
            <v>491-04443</v>
          </cell>
          <cell r="L716" t="str">
            <v>733</v>
          </cell>
          <cell r="M716" t="str">
            <v/>
          </cell>
          <cell r="N716" t="str">
            <v>127</v>
          </cell>
        </row>
        <row r="717">
          <cell r="A717" t="str">
            <v>STACJA ROBOCZA</v>
          </cell>
          <cell r="B717" t="str">
            <v>DELL Optiplex GX1MT 350</v>
          </cell>
          <cell r="C717" t="str">
            <v>491-3498</v>
          </cell>
          <cell r="D717" t="str">
            <v>PKN45</v>
          </cell>
          <cell r="E717" t="str">
            <v xml:space="preserve">RB </v>
          </cell>
          <cell r="F717" t="str">
            <v xml:space="preserve">BROŻYNA                  ANDRZEJ        </v>
          </cell>
          <cell r="G717" t="str">
            <v>BLOK 6</v>
          </cell>
          <cell r="H717" t="str">
            <v>WAR.RUSZTOWAŃ POZ+17</v>
          </cell>
          <cell r="I717" t="str">
            <v>18-54</v>
          </cell>
          <cell r="J717" t="str">
            <v>28</v>
          </cell>
          <cell r="K717" t="str">
            <v>491-03498</v>
          </cell>
          <cell r="L717" t="str">
            <v>350</v>
          </cell>
          <cell r="M717" t="str">
            <v>OK19M</v>
          </cell>
          <cell r="N717" t="str">
            <v>64</v>
          </cell>
        </row>
        <row r="718">
          <cell r="A718" t="str">
            <v>STACJA ROBOCZA</v>
          </cell>
          <cell r="B718" t="str">
            <v>ZENITH Z STATION P166</v>
          </cell>
          <cell r="C718" t="str">
            <v>491-3113</v>
          </cell>
          <cell r="D718" t="str">
            <v>GVDD72905615</v>
          </cell>
          <cell r="E718" t="str">
            <v xml:space="preserve">RB </v>
          </cell>
          <cell r="F718" t="str">
            <v xml:space="preserve">KUCHARCZYK               ADAM           </v>
          </cell>
          <cell r="G718" t="str">
            <v>U-2</v>
          </cell>
          <cell r="H718" t="str">
            <v>WAR.SZKLARSKI</v>
          </cell>
          <cell r="I718" t="str">
            <v>18-55</v>
          </cell>
          <cell r="J718" t="str">
            <v>498</v>
          </cell>
          <cell r="K718" t="str">
            <v>491-03113</v>
          </cell>
          <cell r="L718" t="str">
            <v>166</v>
          </cell>
          <cell r="M718" t="str">
            <v/>
          </cell>
          <cell r="N718" t="str">
            <v>80</v>
          </cell>
        </row>
        <row r="719">
          <cell r="A719" t="str">
            <v>STACJA ROBOCZA</v>
          </cell>
          <cell r="B719" t="str">
            <v>COMPAQ DESKPRO EXD PIII 733</v>
          </cell>
          <cell r="C719" t="str">
            <v>491-4317</v>
          </cell>
          <cell r="D719" t="str">
            <v>8036FR4ZE407</v>
          </cell>
          <cell r="E719" t="str">
            <v xml:space="preserve">RB </v>
          </cell>
          <cell r="F719" t="str">
            <v xml:space="preserve">MRUSZCZYK                JÓZEF          </v>
          </cell>
          <cell r="G719" t="str">
            <v>U-2</v>
          </cell>
          <cell r="H719" t="str">
            <v>130</v>
          </cell>
          <cell r="I719" t="str">
            <v>18-46</v>
          </cell>
          <cell r="J719" t="str">
            <v>556</v>
          </cell>
          <cell r="K719" t="str">
            <v/>
          </cell>
          <cell r="L719" t="str">
            <v>733</v>
          </cell>
          <cell r="M719" t="str">
            <v/>
          </cell>
          <cell r="N719" t="str">
            <v/>
          </cell>
        </row>
        <row r="720">
          <cell r="A720" t="str">
            <v>STACJA ROBOCZA</v>
          </cell>
          <cell r="B720" t="str">
            <v>NEC PowerMate VT Destop P III 450</v>
          </cell>
          <cell r="C720" t="str">
            <v>491-4036</v>
          </cell>
          <cell r="D720" t="str">
            <v>0210109</v>
          </cell>
          <cell r="E720" t="str">
            <v xml:space="preserve">RB </v>
          </cell>
          <cell r="F720" t="str">
            <v xml:space="preserve">ROGALEWICZ               JÓZEF          </v>
          </cell>
          <cell r="G720" t="str">
            <v>U-2</v>
          </cell>
          <cell r="H720" t="str">
            <v>WAR.ŚLUSAR.-STOLAR.</v>
          </cell>
          <cell r="I720" t="str">
            <v>18-58</v>
          </cell>
          <cell r="J720" t="str">
            <v>843</v>
          </cell>
          <cell r="K720" t="str">
            <v>491-04036</v>
          </cell>
          <cell r="L720" t="str">
            <v>450</v>
          </cell>
          <cell r="M720" t="str">
            <v/>
          </cell>
          <cell r="N720" t="str">
            <v>64</v>
          </cell>
        </row>
        <row r="721">
          <cell r="A721" t="str">
            <v>STACJA ROBOCZA</v>
          </cell>
          <cell r="B721" t="str">
            <v>DELL Optiplex GX150</v>
          </cell>
          <cell r="C721" t="str">
            <v>491-4732</v>
          </cell>
          <cell r="D721" t="str">
            <v>BSRX60J</v>
          </cell>
          <cell r="E721" t="str">
            <v xml:space="preserve">RB </v>
          </cell>
          <cell r="F721" t="str">
            <v xml:space="preserve">LESIAKOWSKI              KRZYSZTOF      </v>
          </cell>
          <cell r="G721" t="str">
            <v>BLOK 6</v>
          </cell>
          <cell r="H721" t="str">
            <v>MISTRZOWKA</v>
          </cell>
          <cell r="I721" t="str">
            <v>11-12</v>
          </cell>
          <cell r="J721" t="str">
            <v>3285</v>
          </cell>
          <cell r="K721" t="str">
            <v>491-04732</v>
          </cell>
          <cell r="L721" t="str">
            <v>1000</v>
          </cell>
          <cell r="M721" t="str">
            <v/>
          </cell>
          <cell r="N721" t="str">
            <v>255</v>
          </cell>
        </row>
        <row r="722">
          <cell r="A722" t="str">
            <v>STACJA ROBOCZA</v>
          </cell>
          <cell r="B722" t="str">
            <v>DELL Optiplex GX150</v>
          </cell>
          <cell r="C722" t="str">
            <v>491-4731</v>
          </cell>
          <cell r="D722" t="str">
            <v>7MRX60J</v>
          </cell>
          <cell r="E722" t="str">
            <v xml:space="preserve">RB </v>
          </cell>
          <cell r="F722" t="str">
            <v xml:space="preserve">MRUSZCZYK                JÓZEF          </v>
          </cell>
          <cell r="G722" t="str">
            <v>U-2</v>
          </cell>
          <cell r="H722" t="str">
            <v>130</v>
          </cell>
          <cell r="I722" t="str">
            <v>18-46</v>
          </cell>
          <cell r="J722" t="str">
            <v>556</v>
          </cell>
          <cell r="K722" t="str">
            <v>491-04731</v>
          </cell>
          <cell r="L722" t="str">
            <v>1000</v>
          </cell>
          <cell r="M722" t="str">
            <v/>
          </cell>
          <cell r="N722" t="str">
            <v>255</v>
          </cell>
        </row>
        <row r="723">
          <cell r="A723" t="str">
            <v>STACJA ROBOCZA</v>
          </cell>
          <cell r="B723" t="str">
            <v>NEC Direction Minitower P III 450</v>
          </cell>
          <cell r="C723" t="str">
            <v>491-3746</v>
          </cell>
          <cell r="D723" t="str">
            <v>0136109</v>
          </cell>
          <cell r="E723" t="str">
            <v xml:space="preserve">RC </v>
          </cell>
          <cell r="F723" t="str">
            <v xml:space="preserve">SZLENK                   ZBIGNIEW       </v>
          </cell>
          <cell r="G723" t="str">
            <v>U-14</v>
          </cell>
          <cell r="H723" t="str">
            <v>301</v>
          </cell>
          <cell r="I723" t="str">
            <v>16-70</v>
          </cell>
          <cell r="J723" t="str">
            <v>888</v>
          </cell>
          <cell r="K723" t="str">
            <v>491-03746</v>
          </cell>
          <cell r="L723" t="str">
            <v>450</v>
          </cell>
          <cell r="M723" t="str">
            <v/>
          </cell>
          <cell r="N723" t="str">
            <v>192</v>
          </cell>
        </row>
        <row r="724">
          <cell r="A724" t="str">
            <v>STACJA ROBOCZA</v>
          </cell>
          <cell r="B724" t="str">
            <v>DELL Optiplex GX150</v>
          </cell>
          <cell r="C724" t="str">
            <v>491-4730</v>
          </cell>
          <cell r="D724" t="str">
            <v>GRRX60J</v>
          </cell>
          <cell r="E724" t="str">
            <v xml:space="preserve">RC </v>
          </cell>
          <cell r="F724" t="str">
            <v xml:space="preserve">NICKIEWICZ               TADEUSZ        </v>
          </cell>
          <cell r="G724" t="str">
            <v>K7/17M</v>
          </cell>
          <cell r="H724" t="str">
            <v>POZ+17M</v>
          </cell>
          <cell r="I724" t="str">
            <v>16-57</v>
          </cell>
          <cell r="J724" t="str">
            <v>665</v>
          </cell>
          <cell r="K724" t="str">
            <v>491-04730</v>
          </cell>
          <cell r="L724" t="str">
            <v>1000</v>
          </cell>
          <cell r="M724" t="str">
            <v/>
          </cell>
          <cell r="N724" t="str">
            <v>255</v>
          </cell>
        </row>
        <row r="725">
          <cell r="A725" t="str">
            <v>STACJA ROBOCZA</v>
          </cell>
          <cell r="B725" t="str">
            <v>COMPAQ DESKPRO EXD PIII 733</v>
          </cell>
          <cell r="C725" t="str">
            <v>491-4435</v>
          </cell>
          <cell r="D725" t="str">
            <v>8036FR4Z3710</v>
          </cell>
          <cell r="E725" t="str">
            <v xml:space="preserve">RC </v>
          </cell>
          <cell r="F725" t="str">
            <v xml:space="preserve">WŁODARCZYK               ANTONI         </v>
          </cell>
          <cell r="G725" t="str">
            <v>BLOK 7</v>
          </cell>
          <cell r="H725" t="str">
            <v>POZ.17M</v>
          </cell>
          <cell r="I725" t="str">
            <v>16-57</v>
          </cell>
          <cell r="J725" t="str">
            <v>1098</v>
          </cell>
          <cell r="K725" t="str">
            <v>491-04435</v>
          </cell>
          <cell r="L725" t="str">
            <v>733</v>
          </cell>
          <cell r="M725" t="str">
            <v/>
          </cell>
          <cell r="N725" t="str">
            <v>127</v>
          </cell>
        </row>
        <row r="726">
          <cell r="A726" t="str">
            <v>STACJA ROBOCZA</v>
          </cell>
          <cell r="B726" t="str">
            <v>DELL Optiplex GX150</v>
          </cell>
          <cell r="C726" t="str">
            <v>491-4760</v>
          </cell>
          <cell r="D726" t="str">
            <v>8WLZ60J</v>
          </cell>
          <cell r="E726" t="str">
            <v xml:space="preserve">RC </v>
          </cell>
          <cell r="F726" t="str">
            <v xml:space="preserve">JAGUSZEWSKI              JAN            </v>
          </cell>
          <cell r="G726" t="str">
            <v>K12/17M</v>
          </cell>
          <cell r="H726" t="str">
            <v>POZ.+27M</v>
          </cell>
          <cell r="I726" t="str">
            <v>24-46</v>
          </cell>
          <cell r="J726" t="str">
            <v>320</v>
          </cell>
          <cell r="K726" t="str">
            <v>491-04760</v>
          </cell>
          <cell r="L726" t="str">
            <v>1000</v>
          </cell>
          <cell r="M726" t="str">
            <v/>
          </cell>
          <cell r="N726" t="str">
            <v>255</v>
          </cell>
        </row>
        <row r="727">
          <cell r="A727" t="str">
            <v>STACJA ROBOCZA</v>
          </cell>
          <cell r="B727" t="str">
            <v>COMPAQ DESKPRO EXD PIII 733</v>
          </cell>
          <cell r="C727" t="str">
            <v>491-4483</v>
          </cell>
          <cell r="D727" t="str">
            <v>8036FR4ZE261</v>
          </cell>
          <cell r="E727" t="str">
            <v xml:space="preserve">RC </v>
          </cell>
          <cell r="F727" t="str">
            <v xml:space="preserve">SOBIESZEK                WIKTOR         </v>
          </cell>
          <cell r="G727" t="str">
            <v>PYLON I</v>
          </cell>
          <cell r="H727" t="str">
            <v>+23M</v>
          </cell>
          <cell r="I727" t="str">
            <v>16-59</v>
          </cell>
          <cell r="J727" t="str">
            <v>990</v>
          </cell>
          <cell r="K727" t="str">
            <v>491-04483</v>
          </cell>
          <cell r="L727" t="str">
            <v>733</v>
          </cell>
          <cell r="M727" t="str">
            <v/>
          </cell>
          <cell r="N727" t="str">
            <v>127</v>
          </cell>
        </row>
        <row r="728">
          <cell r="A728" t="str">
            <v>STACJA ROBOCZA</v>
          </cell>
          <cell r="B728" t="str">
            <v>COMPAQ DESKPRO EXD PIII 733</v>
          </cell>
          <cell r="C728" t="str">
            <v>491-4421</v>
          </cell>
          <cell r="D728" t="str">
            <v>8037FR4Z2719</v>
          </cell>
          <cell r="E728" t="str">
            <v xml:space="preserve">RC </v>
          </cell>
          <cell r="F728" t="str">
            <v xml:space="preserve">SITEK                    EDWARD         </v>
          </cell>
          <cell r="G728" t="str">
            <v>U-14</v>
          </cell>
          <cell r="H728" t="str">
            <v>302</v>
          </cell>
          <cell r="I728" t="str">
            <v>16-50</v>
          </cell>
          <cell r="J728" t="str">
            <v>946</v>
          </cell>
          <cell r="K728" t="str">
            <v>491-04421</v>
          </cell>
          <cell r="L728" t="str">
            <v>733</v>
          </cell>
          <cell r="M728" t="str">
            <v/>
          </cell>
          <cell r="N728" t="str">
            <v>127</v>
          </cell>
        </row>
        <row r="729">
          <cell r="A729" t="str">
            <v>STACJA ROBOCZA</v>
          </cell>
          <cell r="B729" t="str">
            <v>DELL Optiplex GX150</v>
          </cell>
          <cell r="C729" t="str">
            <v>491-4729</v>
          </cell>
          <cell r="D729" t="str">
            <v>5QRX60J</v>
          </cell>
          <cell r="E729" t="str">
            <v xml:space="preserve">RC </v>
          </cell>
          <cell r="F729" t="str">
            <v xml:space="preserve">NOWATKOWSKI              WALDEMAR       </v>
          </cell>
          <cell r="G729" t="str">
            <v>K7/17M</v>
          </cell>
          <cell r="H729" t="str">
            <v>POZ+17M</v>
          </cell>
          <cell r="I729" t="str">
            <v>16-57</v>
          </cell>
          <cell r="J729" t="str">
            <v>666</v>
          </cell>
          <cell r="K729" t="str">
            <v>491-04729</v>
          </cell>
          <cell r="L729" t="str">
            <v>1000</v>
          </cell>
          <cell r="M729" t="str">
            <v/>
          </cell>
          <cell r="N729" t="str">
            <v>255</v>
          </cell>
        </row>
        <row r="730">
          <cell r="A730" t="str">
            <v>STACJA ROBOCZA</v>
          </cell>
          <cell r="B730" t="str">
            <v>KOMPUTER PC/AT</v>
          </cell>
          <cell r="C730" t="str">
            <v>491-1620/1583</v>
          </cell>
          <cell r="D730" t="str">
            <v>935933</v>
          </cell>
          <cell r="E730" t="str">
            <v xml:space="preserve">RC </v>
          </cell>
          <cell r="F730" t="str">
            <v xml:space="preserve">STOKOWSKA                DANUTA         </v>
          </cell>
          <cell r="G730" t="str">
            <v>U-14</v>
          </cell>
          <cell r="H730" t="str">
            <v>303</v>
          </cell>
          <cell r="I730" t="str">
            <v>16-58</v>
          </cell>
          <cell r="J730" t="str">
            <v>880</v>
          </cell>
          <cell r="K730" t="str">
            <v>491-01620-1583</v>
          </cell>
          <cell r="L730" t="str">
            <v>400</v>
          </cell>
          <cell r="M730" t="str">
            <v/>
          </cell>
          <cell r="N730" t="str">
            <v>128</v>
          </cell>
        </row>
        <row r="731">
          <cell r="A731" t="str">
            <v>STACJA ROBOCZA</v>
          </cell>
          <cell r="B731" t="str">
            <v>COMPAQ DESKPRO EXD PIII 733</v>
          </cell>
          <cell r="C731" t="str">
            <v>491-4463</v>
          </cell>
          <cell r="D731" t="str">
            <v>8036FR4Z3716</v>
          </cell>
          <cell r="E731" t="str">
            <v xml:space="preserve">RC </v>
          </cell>
          <cell r="F731" t="str">
            <v xml:space="preserve">CEGIEŁKA                 JERZY          </v>
          </cell>
          <cell r="G731" t="str">
            <v>U-14</v>
          </cell>
          <cell r="H731" t="str">
            <v>303</v>
          </cell>
          <cell r="I731" t="str">
            <v>16-58</v>
          </cell>
          <cell r="J731" t="str">
            <v>132</v>
          </cell>
          <cell r="K731" t="str">
            <v>491-04463</v>
          </cell>
          <cell r="L731" t="str">
            <v>733</v>
          </cell>
          <cell r="M731" t="str">
            <v>OK58J</v>
          </cell>
          <cell r="N731" t="str">
            <v>127</v>
          </cell>
        </row>
        <row r="732">
          <cell r="A732" t="str">
            <v>STACJA ROBOCZA</v>
          </cell>
          <cell r="B732" t="str">
            <v>DELL Optiplex GX260 SD</v>
          </cell>
          <cell r="C732" t="str">
            <v>491-5109</v>
          </cell>
          <cell r="D732" t="str">
            <v>7KYGL0J</v>
          </cell>
          <cell r="E732" t="str">
            <v xml:space="preserve">RC </v>
          </cell>
          <cell r="F732" t="str">
            <v xml:space="preserve">PAJĄK                    MARIUSZ        </v>
          </cell>
          <cell r="G732" t="str">
            <v>U-14</v>
          </cell>
          <cell r="H732" t="str">
            <v>304</v>
          </cell>
          <cell r="I732" t="str">
            <v>16-50</v>
          </cell>
          <cell r="J732" t="str">
            <v>9439</v>
          </cell>
          <cell r="K732" t="str">
            <v>491-05109</v>
          </cell>
          <cell r="L732" t="str">
            <v>2400</v>
          </cell>
          <cell r="M732" t="str">
            <v/>
          </cell>
          <cell r="N732" t="str">
            <v>254</v>
          </cell>
        </row>
        <row r="733">
          <cell r="A733" t="str">
            <v>STACJA ROBOCZA</v>
          </cell>
          <cell r="B733" t="str">
            <v>NEC PowerMate VT Destop P III 450</v>
          </cell>
          <cell r="C733" t="str">
            <v>491-3909</v>
          </cell>
          <cell r="D733" t="str">
            <v>0277109</v>
          </cell>
          <cell r="E733" t="str">
            <v xml:space="preserve">RC </v>
          </cell>
          <cell r="F733" t="str">
            <v xml:space="preserve">ANDRZEJEWSKA             MARIA          </v>
          </cell>
          <cell r="G733" t="str">
            <v>U-14</v>
          </cell>
          <cell r="H733" t="str">
            <v>304</v>
          </cell>
          <cell r="I733" t="str">
            <v>2376</v>
          </cell>
          <cell r="J733" t="str">
            <v>2</v>
          </cell>
          <cell r="K733" t="str">
            <v>491-03909</v>
          </cell>
          <cell r="L733" t="str">
            <v>450</v>
          </cell>
          <cell r="M733" t="str">
            <v/>
          </cell>
          <cell r="N733" t="str">
            <v>128</v>
          </cell>
        </row>
        <row r="734">
          <cell r="A734" t="str">
            <v>STACJA ROBOCZA</v>
          </cell>
          <cell r="B734" t="str">
            <v>KOMPUTER 386DX</v>
          </cell>
          <cell r="C734" t="str">
            <v>491-2057</v>
          </cell>
          <cell r="D734" t="str">
            <v>3629/043</v>
          </cell>
          <cell r="E734" t="str">
            <v xml:space="preserve">RC </v>
          </cell>
          <cell r="F734" t="str">
            <v xml:space="preserve">PILARSKI                 MICHAŁ         </v>
          </cell>
          <cell r="G734" t="str">
            <v>U-14</v>
          </cell>
          <cell r="H734" t="str">
            <v>NARZĘDZIOWNIA</v>
          </cell>
          <cell r="I734" t="str">
            <v>16-61</v>
          </cell>
          <cell r="J734" t="str">
            <v>9634</v>
          </cell>
          <cell r="K734" t="str">
            <v>491-02057</v>
          </cell>
          <cell r="L734" t="str">
            <v>366</v>
          </cell>
          <cell r="M734" t="str">
            <v/>
          </cell>
          <cell r="N734" t="str">
            <v>128</v>
          </cell>
        </row>
        <row r="735">
          <cell r="A735" t="str">
            <v>STACJA ROBOCZA</v>
          </cell>
          <cell r="B735" t="str">
            <v>DELL Optiplex GX1M 350</v>
          </cell>
          <cell r="C735" t="str">
            <v>491-3597</v>
          </cell>
          <cell r="D735" t="str">
            <v>PKHOD</v>
          </cell>
          <cell r="E735" t="str">
            <v>RC1</v>
          </cell>
          <cell r="F735" t="str">
            <v xml:space="preserve">DĘBIEC                   HALINA         </v>
          </cell>
          <cell r="G735" t="str">
            <v>U1/1</v>
          </cell>
          <cell r="H735" t="str">
            <v>1</v>
          </cell>
          <cell r="I735" t="str">
            <v>16-66</v>
          </cell>
          <cell r="J735" t="str">
            <v>172</v>
          </cell>
          <cell r="K735" t="str">
            <v>491-03597</v>
          </cell>
          <cell r="L735" t="str">
            <v>350</v>
          </cell>
          <cell r="M735" t="str">
            <v/>
          </cell>
          <cell r="N735" t="str">
            <v>128</v>
          </cell>
        </row>
        <row r="736">
          <cell r="A736" t="str">
            <v>STACJA ROBOCZA</v>
          </cell>
          <cell r="B736" t="str">
            <v>DELL Optiplex GX1L 266</v>
          </cell>
          <cell r="C736" t="str">
            <v>491-3249</v>
          </cell>
          <cell r="D736" t="str">
            <v>NM16T</v>
          </cell>
          <cell r="E736" t="str">
            <v>RC1</v>
          </cell>
          <cell r="F736" t="str">
            <v xml:space="preserve">MIŁOSZ                   RYSZARD        </v>
          </cell>
          <cell r="G736" t="str">
            <v>U1/1</v>
          </cell>
          <cell r="H736" t="str">
            <v>1</v>
          </cell>
          <cell r="I736" t="str">
            <v>16-47</v>
          </cell>
          <cell r="J736" t="str">
            <v>1903</v>
          </cell>
          <cell r="K736" t="str">
            <v>491-03249</v>
          </cell>
          <cell r="L736" t="str">
            <v>266</v>
          </cell>
          <cell r="M736" t="str">
            <v/>
          </cell>
          <cell r="N736" t="str">
            <v>160</v>
          </cell>
        </row>
        <row r="737">
          <cell r="A737" t="str">
            <v>STACJA ROBOCZA</v>
          </cell>
          <cell r="B737" t="str">
            <v>COMPAQ DESKPRO EXD PIII 733</v>
          </cell>
          <cell r="C737" t="str">
            <v>491-4413</v>
          </cell>
          <cell r="D737" t="str">
            <v>8036FR4ZE575</v>
          </cell>
          <cell r="E737" t="str">
            <v>RC1</v>
          </cell>
          <cell r="F737" t="str">
            <v xml:space="preserve">PUŁKA                    ANDRZEJ        </v>
          </cell>
          <cell r="G737" t="str">
            <v>U-1/2</v>
          </cell>
          <cell r="H737" t="str">
            <v>4</v>
          </cell>
          <cell r="I737" t="str">
            <v>25-36</v>
          </cell>
          <cell r="J737" t="str">
            <v>3569</v>
          </cell>
          <cell r="K737" t="str">
            <v>491-04413</v>
          </cell>
          <cell r="L737" t="str">
            <v>733</v>
          </cell>
          <cell r="M737" t="str">
            <v/>
          </cell>
          <cell r="N737" t="str">
            <v>127</v>
          </cell>
        </row>
        <row r="738">
          <cell r="A738" t="str">
            <v>STACJA ROBOCZA</v>
          </cell>
          <cell r="B738" t="str">
            <v>DELL Optiplex GX260 SD</v>
          </cell>
          <cell r="C738" t="str">
            <v>491-5055</v>
          </cell>
          <cell r="D738" t="str">
            <v>FK2GL0J</v>
          </cell>
          <cell r="E738" t="str">
            <v>RC1</v>
          </cell>
          <cell r="F738" t="str">
            <v xml:space="preserve">PIKUŁA                   JAN            </v>
          </cell>
          <cell r="G738" t="str">
            <v>U1/1</v>
          </cell>
          <cell r="H738" t="str">
            <v>1</v>
          </cell>
          <cell r="I738" t="str">
            <v>16-45</v>
          </cell>
          <cell r="J738" t="str">
            <v>795</v>
          </cell>
          <cell r="K738" t="str">
            <v>491-05055</v>
          </cell>
          <cell r="L738" t="str">
            <v>2400</v>
          </cell>
          <cell r="M738" t="str">
            <v/>
          </cell>
          <cell r="N738" t="str">
            <v>254</v>
          </cell>
        </row>
        <row r="739">
          <cell r="A739" t="str">
            <v>STACJA ROBOCZA</v>
          </cell>
          <cell r="B739" t="str">
            <v>COMPAQ DESKPRO EXD PIII 733</v>
          </cell>
          <cell r="C739" t="str">
            <v>491-4389</v>
          </cell>
          <cell r="D739" t="str">
            <v>8036FR4ZE288</v>
          </cell>
          <cell r="E739" t="str">
            <v>RC1</v>
          </cell>
          <cell r="F739" t="str">
            <v xml:space="preserve">PIKUŁA                   JAN            </v>
          </cell>
          <cell r="G739" t="str">
            <v>U1/1</v>
          </cell>
          <cell r="H739" t="str">
            <v>1</v>
          </cell>
          <cell r="I739" t="str">
            <v>16-45</v>
          </cell>
          <cell r="J739" t="str">
            <v>795</v>
          </cell>
          <cell r="K739" t="str">
            <v>491-04389</v>
          </cell>
          <cell r="L739" t="str">
            <v>733</v>
          </cell>
          <cell r="M739" t="str">
            <v/>
          </cell>
          <cell r="N739" t="str">
            <v>127</v>
          </cell>
        </row>
        <row r="740">
          <cell r="A740" t="str">
            <v>STACJA ROBOCZA</v>
          </cell>
          <cell r="B740" t="str">
            <v>NEC PowerMate VT Destop P III 450</v>
          </cell>
          <cell r="C740" t="str">
            <v>491-4042</v>
          </cell>
          <cell r="D740" t="str">
            <v>0213109</v>
          </cell>
          <cell r="E740" t="str">
            <v>RC1</v>
          </cell>
          <cell r="F740" t="str">
            <v xml:space="preserve">PIERSZAŁA                WŁODZIMIERZ    </v>
          </cell>
          <cell r="G740" t="str">
            <v>U-1/2</v>
          </cell>
          <cell r="H740" t="str">
            <v>4</v>
          </cell>
          <cell r="I740" t="str">
            <v>25-39</v>
          </cell>
          <cell r="J740" t="str">
            <v>798</v>
          </cell>
          <cell r="K740" t="str">
            <v>491-04042</v>
          </cell>
          <cell r="L740" t="str">
            <v>450</v>
          </cell>
          <cell r="M740" t="str">
            <v/>
          </cell>
          <cell r="N740" t="str">
            <v>128</v>
          </cell>
        </row>
        <row r="741">
          <cell r="A741" t="str">
            <v>STACJA ROBOCZA</v>
          </cell>
          <cell r="B741" t="str">
            <v>DELL Optiplex GX1L 266</v>
          </cell>
          <cell r="C741" t="str">
            <v>491-3299</v>
          </cell>
          <cell r="D741" t="str">
            <v>NM18N</v>
          </cell>
          <cell r="E741" t="str">
            <v>RC1</v>
          </cell>
          <cell r="F741" t="str">
            <v xml:space="preserve">KUCZYŃSKI                HENRYK         </v>
          </cell>
          <cell r="G741" t="str">
            <v>U-1/2</v>
          </cell>
          <cell r="H741" t="str">
            <v>4</v>
          </cell>
          <cell r="I741" t="str">
            <v>1643</v>
          </cell>
          <cell r="J741" t="str">
            <v>393</v>
          </cell>
          <cell r="K741" t="str">
            <v>HENRYKK_RC</v>
          </cell>
          <cell r="L741" t="str">
            <v>266</v>
          </cell>
          <cell r="M741" t="str">
            <v/>
          </cell>
          <cell r="N741" t="str">
            <v/>
          </cell>
        </row>
        <row r="742">
          <cell r="A742" t="str">
            <v>STACJA ROBOCZA</v>
          </cell>
          <cell r="B742" t="str">
            <v>COMPAQ DESKPRO EXD PIII 733</v>
          </cell>
          <cell r="C742" t="str">
            <v>491-4283</v>
          </cell>
          <cell r="D742" t="str">
            <v>8036FR4ZE455</v>
          </cell>
          <cell r="E742" t="str">
            <v xml:space="preserve">RD </v>
          </cell>
          <cell r="F742" t="str">
            <v xml:space="preserve">BURACZEWSKI              KRZYSZTOF      </v>
          </cell>
          <cell r="G742" t="str">
            <v>U-2</v>
          </cell>
          <cell r="H742" t="str">
            <v>65</v>
          </cell>
          <cell r="I742" t="str">
            <v>17-74</v>
          </cell>
          <cell r="J742" t="str">
            <v>81</v>
          </cell>
          <cell r="K742" t="str">
            <v>491-04283</v>
          </cell>
          <cell r="L742" t="str">
            <v>733</v>
          </cell>
          <cell r="M742" t="str">
            <v/>
          </cell>
          <cell r="N742" t="str">
            <v>127</v>
          </cell>
        </row>
        <row r="743">
          <cell r="A743" t="str">
            <v>STACJA ROBOCZA</v>
          </cell>
          <cell r="B743" t="str">
            <v>DELL Optiplex GX1L 350</v>
          </cell>
          <cell r="C743" t="str">
            <v>491-3527</v>
          </cell>
          <cell r="D743" t="str">
            <v>PKGZ7</v>
          </cell>
          <cell r="E743" t="str">
            <v xml:space="preserve">RD </v>
          </cell>
          <cell r="F743" t="str">
            <v xml:space="preserve">BŁASZCZYK                JANUSZ         </v>
          </cell>
          <cell r="G743" t="str">
            <v>U-2</v>
          </cell>
          <cell r="H743" t="str">
            <v>69</v>
          </cell>
          <cell r="I743" t="str">
            <v>17-77</v>
          </cell>
          <cell r="J743" t="str">
            <v>2935</v>
          </cell>
          <cell r="K743" t="str">
            <v>491-03527</v>
          </cell>
          <cell r="L743" t="str">
            <v>350</v>
          </cell>
          <cell r="M743" t="str">
            <v/>
          </cell>
          <cell r="N743" t="str">
            <v>128</v>
          </cell>
        </row>
        <row r="744">
          <cell r="A744" t="str">
            <v>STACJA ROBOCZA</v>
          </cell>
          <cell r="B744" t="str">
            <v>DELL Optiplex GX260 SD</v>
          </cell>
          <cell r="C744" t="str">
            <v>491-5122</v>
          </cell>
          <cell r="D744" t="str">
            <v>2JYGL0J</v>
          </cell>
          <cell r="E744" t="str">
            <v xml:space="preserve">RD </v>
          </cell>
          <cell r="F744" t="str">
            <v xml:space="preserve">ALEKSIEJCZYK             ANDRZEJ        </v>
          </cell>
          <cell r="G744" t="str">
            <v>U-2</v>
          </cell>
          <cell r="H744" t="str">
            <v>69</v>
          </cell>
          <cell r="I744" t="str">
            <v>17-79</v>
          </cell>
          <cell r="J744" t="str">
            <v>9</v>
          </cell>
          <cell r="K744" t="str">
            <v>491-05122</v>
          </cell>
          <cell r="L744" t="str">
            <v>2400</v>
          </cell>
          <cell r="M744" t="str">
            <v/>
          </cell>
          <cell r="N744" t="str">
            <v>254</v>
          </cell>
        </row>
        <row r="745">
          <cell r="A745" t="str">
            <v>STACJA ROBOCZA</v>
          </cell>
          <cell r="B745" t="str">
            <v>NEC PowerMate VT Destop P III 450</v>
          </cell>
          <cell r="C745" t="str">
            <v>491-4050</v>
          </cell>
          <cell r="D745" t="str">
            <v>0286109</v>
          </cell>
          <cell r="E745" t="str">
            <v xml:space="preserve">RD </v>
          </cell>
          <cell r="F745" t="str">
            <v xml:space="preserve">PĘDZIWIATR               LUCYNA         </v>
          </cell>
          <cell r="G745" t="str">
            <v>U-2</v>
          </cell>
          <cell r="H745" t="str">
            <v>67</v>
          </cell>
          <cell r="I745" t="str">
            <v>16-07</v>
          </cell>
          <cell r="J745" t="str">
            <v>925</v>
          </cell>
          <cell r="K745" t="str">
            <v>491-04050</v>
          </cell>
          <cell r="L745" t="str">
            <v>450</v>
          </cell>
          <cell r="M745" t="str">
            <v/>
          </cell>
          <cell r="N745" t="str">
            <v>64</v>
          </cell>
        </row>
        <row r="746">
          <cell r="A746" t="str">
            <v>STACJA ROBOCZA</v>
          </cell>
          <cell r="B746" t="str">
            <v>DELL Optiplex GX1L 350</v>
          </cell>
          <cell r="C746" t="str">
            <v>491-3589</v>
          </cell>
          <cell r="D746" t="str">
            <v>PKGNR</v>
          </cell>
          <cell r="E746" t="str">
            <v xml:space="preserve">RD </v>
          </cell>
          <cell r="F746" t="str">
            <v xml:space="preserve">GÓRNIAK                  WOJCIECH       </v>
          </cell>
          <cell r="G746" t="str">
            <v>U-2</v>
          </cell>
          <cell r="H746" t="str">
            <v>68</v>
          </cell>
          <cell r="I746" t="str">
            <v>16-07</v>
          </cell>
          <cell r="J746" t="str">
            <v>213</v>
          </cell>
          <cell r="K746" t="str">
            <v>491-03589</v>
          </cell>
          <cell r="L746" t="str">
            <v>350</v>
          </cell>
          <cell r="M746" t="str">
            <v/>
          </cell>
          <cell r="N746" t="str">
            <v>64</v>
          </cell>
        </row>
        <row r="747">
          <cell r="A747" t="str">
            <v>STACJA ROBOCZA</v>
          </cell>
          <cell r="B747" t="str">
            <v>NEC PowerMate VT Destop P III 450</v>
          </cell>
          <cell r="C747" t="str">
            <v>491-3914</v>
          </cell>
          <cell r="D747" t="str">
            <v>0244109</v>
          </cell>
          <cell r="E747" t="str">
            <v xml:space="preserve">RD </v>
          </cell>
          <cell r="F747" t="str">
            <v xml:space="preserve">JAGUSZEWSKI              ZBIGNIEW       </v>
          </cell>
          <cell r="G747" t="str">
            <v>U-2</v>
          </cell>
          <cell r="H747" t="str">
            <v>66</v>
          </cell>
          <cell r="I747" t="str">
            <v>13-36</v>
          </cell>
          <cell r="J747" t="str">
            <v>3384</v>
          </cell>
          <cell r="K747" t="str">
            <v>491-03914</v>
          </cell>
          <cell r="L747" t="str">
            <v>450</v>
          </cell>
          <cell r="M747" t="str">
            <v/>
          </cell>
          <cell r="N747" t="str">
            <v>256</v>
          </cell>
        </row>
        <row r="748">
          <cell r="A748" t="str">
            <v>STACJA ROBOCZA</v>
          </cell>
          <cell r="B748" t="str">
            <v>DELL Optiplex GX150</v>
          </cell>
          <cell r="C748" t="str">
            <v>491-4818</v>
          </cell>
          <cell r="D748" t="str">
            <v>D0RX60J</v>
          </cell>
          <cell r="E748" t="str">
            <v xml:space="preserve">RD </v>
          </cell>
          <cell r="F748" t="str">
            <v xml:space="preserve">KUŚMIERSKI               PIOTR          </v>
          </cell>
          <cell r="G748" t="str">
            <v>U-2</v>
          </cell>
          <cell r="H748" t="str">
            <v>66</v>
          </cell>
          <cell r="I748" t="str">
            <v>13-36</v>
          </cell>
          <cell r="J748" t="str">
            <v>9609</v>
          </cell>
          <cell r="K748" t="str">
            <v>491-04818</v>
          </cell>
          <cell r="L748" t="str">
            <v>1000</v>
          </cell>
          <cell r="M748" t="str">
            <v/>
          </cell>
          <cell r="N748" t="str">
            <v>255</v>
          </cell>
        </row>
        <row r="749">
          <cell r="A749" t="str">
            <v>STACJA ROBOCZA</v>
          </cell>
          <cell r="B749" t="str">
            <v>COMPAQ DESKPRO EXD PIII 733</v>
          </cell>
          <cell r="C749" t="str">
            <v>491-4316</v>
          </cell>
          <cell r="D749" t="str">
            <v>8036FR4ZE420</v>
          </cell>
          <cell r="E749" t="str">
            <v xml:space="preserve">RD </v>
          </cell>
          <cell r="F749" t="str">
            <v xml:space="preserve">STĘPIŃSKI                IRENEUSZ       </v>
          </cell>
          <cell r="G749" t="str">
            <v>U-2</v>
          </cell>
          <cell r="H749" t="str">
            <v>65</v>
          </cell>
          <cell r="I749" t="str">
            <v>17-74</v>
          </cell>
          <cell r="J749" t="str">
            <v>881</v>
          </cell>
          <cell r="K749" t="str">
            <v>491-04316</v>
          </cell>
          <cell r="L749" t="str">
            <v>733</v>
          </cell>
          <cell r="M749" t="str">
            <v/>
          </cell>
          <cell r="N749" t="str">
            <v>127</v>
          </cell>
        </row>
        <row r="750">
          <cell r="A750" t="str">
            <v>NOTEBOOK</v>
          </cell>
          <cell r="B750" t="str">
            <v>DELL Latitude C600</v>
          </cell>
          <cell r="C750" t="str">
            <v>491-4846</v>
          </cell>
          <cell r="D750" t="str">
            <v>BLXY60J</v>
          </cell>
          <cell r="E750" t="str">
            <v xml:space="preserve">RD </v>
          </cell>
          <cell r="F750" t="str">
            <v xml:space="preserve">GÓRNIAK                  WOJCIECH       </v>
          </cell>
          <cell r="G750" t="str">
            <v>U-2</v>
          </cell>
          <cell r="H750" t="str">
            <v>68</v>
          </cell>
          <cell r="I750" t="str">
            <v>16-07</v>
          </cell>
          <cell r="J750" t="str">
            <v>213</v>
          </cell>
          <cell r="K750" t="str">
            <v>491-04846</v>
          </cell>
          <cell r="L750" t="str">
            <v>700</v>
          </cell>
          <cell r="M750" t="str">
            <v/>
          </cell>
          <cell r="N750" t="str">
            <v>128</v>
          </cell>
        </row>
        <row r="751">
          <cell r="A751" t="str">
            <v>STACJA ROBOCZA</v>
          </cell>
          <cell r="B751" t="str">
            <v>ZENITH Z STATION P166</v>
          </cell>
          <cell r="C751" t="str">
            <v>491-3111</v>
          </cell>
          <cell r="D751" t="str">
            <v>GVDD72905433</v>
          </cell>
          <cell r="E751" t="str">
            <v xml:space="preserve">RD </v>
          </cell>
          <cell r="F751" t="str">
            <v xml:space="preserve">BEDNAREK                 RAFAŁ          </v>
          </cell>
          <cell r="G751" t="str">
            <v>U-2</v>
          </cell>
          <cell r="H751" t="str">
            <v>72</v>
          </cell>
          <cell r="I751" t="str">
            <v>17-75</v>
          </cell>
          <cell r="J751" t="str">
            <v>9363</v>
          </cell>
          <cell r="K751" t="str">
            <v>491-03111</v>
          </cell>
          <cell r="L751" t="str">
            <v>166</v>
          </cell>
          <cell r="M751" t="str">
            <v/>
          </cell>
          <cell r="N751" t="str">
            <v>64</v>
          </cell>
        </row>
        <row r="752">
          <cell r="A752" t="str">
            <v>STACJA ROBOCZA</v>
          </cell>
          <cell r="B752" t="str">
            <v>DELL Optiplex GX1L 266</v>
          </cell>
          <cell r="C752" t="str">
            <v>491-3233</v>
          </cell>
          <cell r="D752" t="str">
            <v>NM16Y</v>
          </cell>
          <cell r="E752" t="str">
            <v xml:space="preserve">RD </v>
          </cell>
          <cell r="F752" t="str">
            <v xml:space="preserve">TETERWAK                 ANDRZEJ        </v>
          </cell>
          <cell r="G752" t="str">
            <v>U-2</v>
          </cell>
          <cell r="H752" t="str">
            <v>69</v>
          </cell>
          <cell r="I752" t="str">
            <v>17-77</v>
          </cell>
          <cell r="J752" t="str">
            <v>1393</v>
          </cell>
          <cell r="K752" t="str">
            <v>491-03233</v>
          </cell>
          <cell r="L752" t="str">
            <v>266</v>
          </cell>
          <cell r="M752" t="str">
            <v/>
          </cell>
          <cell r="N752" t="str">
            <v>32</v>
          </cell>
        </row>
        <row r="753">
          <cell r="A753" t="str">
            <v>STACJA ROBOCZA</v>
          </cell>
          <cell r="B753" t="str">
            <v>DELL Optiplex GX150</v>
          </cell>
          <cell r="C753" t="str">
            <v>491-4819</v>
          </cell>
          <cell r="D753" t="str">
            <v>51RX60J</v>
          </cell>
          <cell r="E753" t="str">
            <v xml:space="preserve">RD </v>
          </cell>
          <cell r="F753" t="str">
            <v xml:space="preserve">CIEĆKO                   MARIAN         </v>
          </cell>
          <cell r="G753" t="str">
            <v>U-2</v>
          </cell>
          <cell r="H753" t="str">
            <v>69</v>
          </cell>
          <cell r="I753" t="str">
            <v>17-77</v>
          </cell>
          <cell r="J753" t="str">
            <v>3180</v>
          </cell>
          <cell r="K753" t="str">
            <v>491-04819</v>
          </cell>
          <cell r="L753" t="str">
            <v>1000</v>
          </cell>
          <cell r="M753" t="str">
            <v/>
          </cell>
          <cell r="N753" t="str">
            <v>255</v>
          </cell>
        </row>
        <row r="754">
          <cell r="A754" t="str">
            <v>STACJA ROBOCZA</v>
          </cell>
          <cell r="B754" t="str">
            <v>ZENITH Z STATION P166</v>
          </cell>
          <cell r="C754" t="str">
            <v>491-3038</v>
          </cell>
          <cell r="D754" t="str">
            <v>GVDD72905398</v>
          </cell>
          <cell r="E754" t="str">
            <v xml:space="preserve">RD </v>
          </cell>
          <cell r="F754" t="str">
            <v xml:space="preserve">WALCZAK                  SŁAWOMIR       </v>
          </cell>
          <cell r="G754" t="str">
            <v>U-3</v>
          </cell>
          <cell r="H754" t="str">
            <v>162</v>
          </cell>
          <cell r="I754" t="str">
            <v>34-39</v>
          </cell>
          <cell r="J754" t="str">
            <v>1597</v>
          </cell>
          <cell r="K754" t="str">
            <v>RD-SLAWEKW</v>
          </cell>
          <cell r="L754" t="str">
            <v>166</v>
          </cell>
          <cell r="M754" t="str">
            <v/>
          </cell>
          <cell r="N754" t="str">
            <v>128</v>
          </cell>
        </row>
        <row r="755">
          <cell r="A755" t="str">
            <v>STACJA ROBOCZA</v>
          </cell>
          <cell r="B755" t="str">
            <v>DELL Optiplex GX1L 266</v>
          </cell>
          <cell r="C755" t="str">
            <v>491-3304</v>
          </cell>
          <cell r="D755" t="str">
            <v>NM146</v>
          </cell>
          <cell r="E755" t="str">
            <v xml:space="preserve">RD </v>
          </cell>
          <cell r="F755" t="str">
            <v xml:space="preserve">TETERWAK                 KRZYSZTOF      </v>
          </cell>
          <cell r="G755" t="str">
            <v>U-2</v>
          </cell>
          <cell r="H755" t="str">
            <v>57</v>
          </cell>
          <cell r="I755" t="str">
            <v>17-77</v>
          </cell>
          <cell r="J755" t="str">
            <v>2604</v>
          </cell>
          <cell r="K755" t="str">
            <v/>
          </cell>
          <cell r="L755" t="str">
            <v>266</v>
          </cell>
          <cell r="M755" t="str">
            <v/>
          </cell>
          <cell r="N755" t="str">
            <v/>
          </cell>
        </row>
        <row r="756">
          <cell r="A756" t="str">
            <v>STACJA ROBOCZA</v>
          </cell>
          <cell r="B756" t="str">
            <v>DELL Optiplex GX1L 266</v>
          </cell>
          <cell r="C756" t="str">
            <v>491-3409</v>
          </cell>
          <cell r="D756" t="str">
            <v>NM1FZ</v>
          </cell>
          <cell r="E756" t="str">
            <v xml:space="preserve">RD </v>
          </cell>
          <cell r="F756" t="str">
            <v xml:space="preserve">KOWALCZYK                MAREK          </v>
          </cell>
          <cell r="G756" t="str">
            <v>U-2</v>
          </cell>
          <cell r="H756" t="str">
            <v>73</v>
          </cell>
          <cell r="I756" t="str">
            <v>17-79</v>
          </cell>
          <cell r="J756" t="str">
            <v>1295</v>
          </cell>
          <cell r="K756" t="str">
            <v>491-03409</v>
          </cell>
          <cell r="L756" t="str">
            <v>266</v>
          </cell>
          <cell r="M756" t="str">
            <v/>
          </cell>
          <cell r="N756" t="str">
            <v>96</v>
          </cell>
        </row>
        <row r="757">
          <cell r="A757" t="str">
            <v>STACJA ROBOCZA</v>
          </cell>
          <cell r="B757" t="str">
            <v>DELL Optiplex GX1L 266</v>
          </cell>
          <cell r="C757" t="str">
            <v>491-3324</v>
          </cell>
          <cell r="D757" t="str">
            <v>NM1HD</v>
          </cell>
          <cell r="E757" t="str">
            <v xml:space="preserve">RD </v>
          </cell>
          <cell r="F757" t="str">
            <v xml:space="preserve">FRĄCZKOWSKI              JACEK          </v>
          </cell>
          <cell r="G757" t="str">
            <v>U-3</v>
          </cell>
          <cell r="H757" t="str">
            <v>164</v>
          </cell>
          <cell r="I757" t="str">
            <v>17-83</v>
          </cell>
          <cell r="J757" t="str">
            <v>4288</v>
          </cell>
          <cell r="K757" t="str">
            <v>JACEKF</v>
          </cell>
          <cell r="L757" t="str">
            <v>266</v>
          </cell>
          <cell r="M757" t="str">
            <v/>
          </cell>
          <cell r="N757" t="str">
            <v>64</v>
          </cell>
        </row>
        <row r="758">
          <cell r="A758" t="str">
            <v>STACJA ROBOCZA</v>
          </cell>
          <cell r="B758" t="str">
            <v>COMPAQ DESKPRO EXD PIII 733</v>
          </cell>
          <cell r="C758" t="str">
            <v>491-4267</v>
          </cell>
          <cell r="D758" t="str">
            <v>8036FR4Z6615</v>
          </cell>
          <cell r="E758" t="str">
            <v xml:space="preserve">RD </v>
          </cell>
          <cell r="F758" t="str">
            <v xml:space="preserve">KOWALCZYK                ANDRZEJ        </v>
          </cell>
          <cell r="G758" t="str">
            <v>U-2</v>
          </cell>
          <cell r="H758" t="str">
            <v>72</v>
          </cell>
          <cell r="I758" t="str">
            <v>17-75</v>
          </cell>
          <cell r="J758" t="str">
            <v>1316</v>
          </cell>
          <cell r="K758" t="str">
            <v>491-04267</v>
          </cell>
          <cell r="L758" t="str">
            <v>733</v>
          </cell>
          <cell r="M758" t="str">
            <v/>
          </cell>
          <cell r="N758" t="str">
            <v>127</v>
          </cell>
        </row>
        <row r="759">
          <cell r="A759" t="str">
            <v>STACJA ROBOCZA</v>
          </cell>
          <cell r="B759" t="str">
            <v>DELL Optiplex GX1L 266</v>
          </cell>
          <cell r="C759" t="str">
            <v>491-3252</v>
          </cell>
          <cell r="D759" t="str">
            <v>NM16L</v>
          </cell>
          <cell r="E759" t="str">
            <v xml:space="preserve">RD </v>
          </cell>
          <cell r="F759" t="str">
            <v xml:space="preserve">CHODAK                   TOMASZ         </v>
          </cell>
          <cell r="G759" t="str">
            <v>U-2</v>
          </cell>
          <cell r="H759" t="str">
            <v>72</v>
          </cell>
          <cell r="I759" t="str">
            <v>17-75</v>
          </cell>
          <cell r="J759" t="str">
            <v>4686</v>
          </cell>
          <cell r="K759" t="str">
            <v>491-03252</v>
          </cell>
          <cell r="L759" t="str">
            <v>266</v>
          </cell>
          <cell r="M759" t="str">
            <v>OK55J</v>
          </cell>
          <cell r="N759" t="str">
            <v>96</v>
          </cell>
        </row>
        <row r="760">
          <cell r="A760" t="str">
            <v>STACJA ROBOCZA</v>
          </cell>
          <cell r="B760" t="str">
            <v>ZENITH Z STATION P166</v>
          </cell>
          <cell r="C760" t="str">
            <v>491-3138</v>
          </cell>
          <cell r="D760" t="str">
            <v>GVDD72904604</v>
          </cell>
          <cell r="E760" t="str">
            <v xml:space="preserve">RD </v>
          </cell>
          <cell r="F760" t="str">
            <v xml:space="preserve">SKUPIEŃ                  MARIUSZ        </v>
          </cell>
          <cell r="G760" t="str">
            <v>U-2</v>
          </cell>
          <cell r="H760" t="str">
            <v>71</v>
          </cell>
          <cell r="I760" t="str">
            <v>17-75</v>
          </cell>
          <cell r="J760" t="str">
            <v>4639</v>
          </cell>
          <cell r="K760" t="str">
            <v>491-03138</v>
          </cell>
          <cell r="L760" t="str">
            <v>166</v>
          </cell>
          <cell r="M760" t="str">
            <v/>
          </cell>
          <cell r="N760" t="str">
            <v>80</v>
          </cell>
        </row>
        <row r="761">
          <cell r="A761" t="str">
            <v>STACJA ROBOCZA</v>
          </cell>
          <cell r="B761" t="str">
            <v>ZENITH Z STATION P166</v>
          </cell>
          <cell r="C761" t="str">
            <v>491-3020</v>
          </cell>
          <cell r="D761" t="str">
            <v>GVDD72904590</v>
          </cell>
          <cell r="E761" t="str">
            <v xml:space="preserve">RD </v>
          </cell>
          <cell r="F761" t="str">
            <v xml:space="preserve">BARAN                    PAWEŁ          </v>
          </cell>
          <cell r="G761" t="str">
            <v>U-2</v>
          </cell>
          <cell r="H761" t="str">
            <v>71</v>
          </cell>
          <cell r="I761" t="str">
            <v>17-75</v>
          </cell>
          <cell r="J761" t="str">
            <v>4687</v>
          </cell>
          <cell r="K761" t="str">
            <v>491-03020</v>
          </cell>
          <cell r="L761" t="str">
            <v>166</v>
          </cell>
          <cell r="M761" t="str">
            <v>OK55J</v>
          </cell>
          <cell r="N761" t="str">
            <v>80</v>
          </cell>
        </row>
        <row r="762">
          <cell r="A762" t="str">
            <v>STACJA ROBOCZA</v>
          </cell>
          <cell r="B762" t="str">
            <v>KOMPUTER 386DX</v>
          </cell>
          <cell r="C762" t="str">
            <v>491-2050</v>
          </cell>
          <cell r="D762" t="str">
            <v>3795/053</v>
          </cell>
          <cell r="E762" t="str">
            <v xml:space="preserve">RE </v>
          </cell>
          <cell r="F762" t="str">
            <v xml:space="preserve">BUKOWSKI                 EUGENIUSZ      </v>
          </cell>
          <cell r="G762" t="str">
            <v>U-3</v>
          </cell>
          <cell r="H762" t="str">
            <v>208</v>
          </cell>
          <cell r="I762" t="str">
            <v>22-86</v>
          </cell>
          <cell r="J762" t="str">
            <v>73</v>
          </cell>
          <cell r="K762" t="str">
            <v>491-02050</v>
          </cell>
          <cell r="L762" t="str">
            <v>500</v>
          </cell>
          <cell r="M762" t="str">
            <v/>
          </cell>
          <cell r="N762" t="str">
            <v>128</v>
          </cell>
        </row>
        <row r="763">
          <cell r="A763" t="str">
            <v>STACJA ROBOCZA</v>
          </cell>
          <cell r="B763" t="str">
            <v>COMPAQ DESKPRO 2000 DT 5166 M1620</v>
          </cell>
          <cell r="C763" t="str">
            <v>491-2891</v>
          </cell>
          <cell r="D763" t="str">
            <v>8709HVU87721</v>
          </cell>
          <cell r="E763" t="str">
            <v xml:space="preserve">RE </v>
          </cell>
          <cell r="F763" t="str">
            <v xml:space="preserve">HERTEL                   TADEUSZ        </v>
          </cell>
          <cell r="G763" t="str">
            <v>U-3</v>
          </cell>
          <cell r="H763" t="str">
            <v>STACJA PRÓB</v>
          </cell>
          <cell r="I763" t="str">
            <v>17-15</v>
          </cell>
          <cell r="J763" t="str">
            <v>1606</v>
          </cell>
          <cell r="K763" t="str">
            <v>491-02891</v>
          </cell>
          <cell r="L763" t="str">
            <v>166</v>
          </cell>
          <cell r="M763" t="str">
            <v/>
          </cell>
          <cell r="N763" t="str">
            <v>64</v>
          </cell>
        </row>
        <row r="764">
          <cell r="A764" t="str">
            <v>STACJA ROBOCZA</v>
          </cell>
          <cell r="B764" t="str">
            <v>NEC POWER MATE PIII 450</v>
          </cell>
          <cell r="C764" t="str">
            <v>491-3960</v>
          </cell>
          <cell r="D764" t="str">
            <v>Z0057109</v>
          </cell>
          <cell r="E764" t="str">
            <v xml:space="preserve">RE </v>
          </cell>
          <cell r="F764" t="str">
            <v xml:space="preserve">BARTNIK                  MIROSŁAW       </v>
          </cell>
          <cell r="G764" t="str">
            <v>U-3</v>
          </cell>
          <cell r="H764" t="str">
            <v>212</v>
          </cell>
          <cell r="I764" t="str">
            <v>17-15</v>
          </cell>
          <cell r="J764" t="str">
            <v>3127</v>
          </cell>
          <cell r="K764" t="str">
            <v/>
          </cell>
          <cell r="L764" t="str">
            <v>450</v>
          </cell>
          <cell r="M764" t="str">
            <v>BEZ SIECI</v>
          </cell>
          <cell r="N764" t="str">
            <v/>
          </cell>
        </row>
        <row r="765">
          <cell r="A765" t="str">
            <v>STACJA ROBOCZA</v>
          </cell>
          <cell r="B765" t="str">
            <v>DELL Optiplex GX260 SD</v>
          </cell>
          <cell r="C765" t="str">
            <v>491-5037</v>
          </cell>
          <cell r="D765" t="str">
            <v>FMPFL0J</v>
          </cell>
          <cell r="E765" t="str">
            <v xml:space="preserve">RE </v>
          </cell>
          <cell r="F765" t="str">
            <v xml:space="preserve">MITELSZTET               JÓZEF          </v>
          </cell>
          <cell r="G765" t="str">
            <v>U-3</v>
          </cell>
          <cell r="H765" t="str">
            <v>208</v>
          </cell>
          <cell r="I765" t="str">
            <v>17-09</v>
          </cell>
          <cell r="J765" t="str">
            <v>2539</v>
          </cell>
          <cell r="K765" t="str">
            <v>491-05037</v>
          </cell>
          <cell r="L765" t="str">
            <v>2400</v>
          </cell>
          <cell r="M765" t="str">
            <v/>
          </cell>
          <cell r="N765" t="str">
            <v>254</v>
          </cell>
        </row>
        <row r="766">
          <cell r="A766" t="str">
            <v>STACJA ROBOCZA</v>
          </cell>
          <cell r="B766" t="str">
            <v>COMPAQ DESKPRO EXD PIII 733</v>
          </cell>
          <cell r="C766" t="str">
            <v>491-4394</v>
          </cell>
          <cell r="D766" t="str">
            <v>8036FR4ZE545</v>
          </cell>
          <cell r="E766" t="str">
            <v xml:space="preserve">RE </v>
          </cell>
          <cell r="F766" t="str">
            <v xml:space="preserve">WARPAS                   KAZIMIERZ      </v>
          </cell>
          <cell r="G766" t="str">
            <v>U-3</v>
          </cell>
          <cell r="H766" t="str">
            <v>122</v>
          </cell>
          <cell r="I766" t="str">
            <v>17-14</v>
          </cell>
          <cell r="J766" t="str">
            <v>1047</v>
          </cell>
          <cell r="K766" t="str">
            <v>491-04394</v>
          </cell>
          <cell r="L766" t="str">
            <v>733</v>
          </cell>
          <cell r="M766" t="str">
            <v/>
          </cell>
          <cell r="N766" t="str">
            <v>127</v>
          </cell>
        </row>
        <row r="767">
          <cell r="A767" t="str">
            <v>STACJA ROBOCZA</v>
          </cell>
          <cell r="B767" t="str">
            <v>KOMPUTER 386SX</v>
          </cell>
          <cell r="C767" t="str">
            <v>491-1818</v>
          </cell>
          <cell r="D767" t="str">
            <v>019015/1709</v>
          </cell>
          <cell r="E767" t="str">
            <v xml:space="preserve">RE </v>
          </cell>
          <cell r="F767" t="str">
            <v xml:space="preserve">SZYMAŃSKI                ALFRED         </v>
          </cell>
          <cell r="G767" t="str">
            <v>U-3</v>
          </cell>
          <cell r="H767" t="str">
            <v>103</v>
          </cell>
          <cell r="I767" t="str">
            <v/>
          </cell>
          <cell r="J767" t="str">
            <v>899</v>
          </cell>
          <cell r="K767" t="str">
            <v>491-01818</v>
          </cell>
          <cell r="L767" t="str">
            <v>333</v>
          </cell>
          <cell r="M767" t="str">
            <v/>
          </cell>
          <cell r="N767" t="str">
            <v>64</v>
          </cell>
        </row>
        <row r="768">
          <cell r="A768" t="str">
            <v>STACJA ROBOCZA</v>
          </cell>
          <cell r="B768" t="str">
            <v>KOMPUTER PC/AT</v>
          </cell>
          <cell r="C768" t="str">
            <v>491-1620/K001</v>
          </cell>
          <cell r="D768" t="str">
            <v>0B23A</v>
          </cell>
          <cell r="E768" t="str">
            <v xml:space="preserve">RE </v>
          </cell>
          <cell r="F768" t="str">
            <v xml:space="preserve">CZARNECKI                ROMAN          </v>
          </cell>
          <cell r="G768" t="str">
            <v>U-64/3</v>
          </cell>
          <cell r="H768" t="str">
            <v>1</v>
          </cell>
          <cell r="I768" t="str">
            <v>21-72</v>
          </cell>
          <cell r="J768" t="str">
            <v>2540</v>
          </cell>
          <cell r="K768" t="str">
            <v>491-01620-K001</v>
          </cell>
          <cell r="L768" t="str">
            <v>333</v>
          </cell>
          <cell r="M768" t="str">
            <v/>
          </cell>
          <cell r="N768" t="str">
            <v>96</v>
          </cell>
        </row>
        <row r="769">
          <cell r="A769" t="str">
            <v>STACJA ROBOCZA</v>
          </cell>
          <cell r="B769" t="str">
            <v>KOMPUTER PC/AT</v>
          </cell>
          <cell r="C769" t="str">
            <v>491-1620/K037</v>
          </cell>
          <cell r="D769" t="str">
            <v>0B23A</v>
          </cell>
          <cell r="E769" t="str">
            <v xml:space="preserve">RE </v>
          </cell>
          <cell r="F769" t="str">
            <v xml:space="preserve">LISICKI                  ROMAN          </v>
          </cell>
          <cell r="G769" t="str">
            <v>U-13</v>
          </cell>
          <cell r="H769" t="str">
            <v>236</v>
          </cell>
          <cell r="I769" t="str">
            <v>24-92</v>
          </cell>
          <cell r="J769" t="str">
            <v>1592</v>
          </cell>
          <cell r="K769" t="str">
            <v>491-01620-K037</v>
          </cell>
          <cell r="L769" t="str">
            <v>550</v>
          </cell>
          <cell r="M769" t="str">
            <v/>
          </cell>
          <cell r="N769" t="str">
            <v>128</v>
          </cell>
        </row>
        <row r="770">
          <cell r="A770" t="str">
            <v>STACJA ROBOCZA</v>
          </cell>
          <cell r="B770" t="str">
            <v>ZENITH Z STATION P166</v>
          </cell>
          <cell r="C770" t="str">
            <v>491-3012</v>
          </cell>
          <cell r="D770" t="str">
            <v>GVDD72904589</v>
          </cell>
          <cell r="E770" t="str">
            <v xml:space="preserve">RE </v>
          </cell>
          <cell r="F770" t="str">
            <v xml:space="preserve">SZTAJEROWSKA             BOGUMIŁA       </v>
          </cell>
          <cell r="G770" t="str">
            <v>U-3</v>
          </cell>
          <cell r="H770" t="str">
            <v>122</v>
          </cell>
          <cell r="I770" t="str">
            <v>29-86</v>
          </cell>
          <cell r="J770" t="str">
            <v>8136</v>
          </cell>
          <cell r="K770" t="str">
            <v>491-03012</v>
          </cell>
          <cell r="L770" t="str">
            <v>166</v>
          </cell>
          <cell r="M770" t="str">
            <v/>
          </cell>
          <cell r="N770" t="str">
            <v>64</v>
          </cell>
        </row>
        <row r="771">
          <cell r="A771" t="str">
            <v>STACJA ROBOCZA</v>
          </cell>
          <cell r="B771" t="str">
            <v>KOMPUTER 386SX</v>
          </cell>
          <cell r="C771" t="str">
            <v>491-1791</v>
          </cell>
          <cell r="D771" t="str">
            <v>019012/1705</v>
          </cell>
          <cell r="E771" t="str">
            <v xml:space="preserve">RE </v>
          </cell>
          <cell r="F771" t="str">
            <v xml:space="preserve">ROGALIŃSKI               ANTONI         </v>
          </cell>
          <cell r="G771" t="str">
            <v>U-3</v>
          </cell>
          <cell r="H771" t="str">
            <v>212</v>
          </cell>
          <cell r="I771" t="str">
            <v>27-05</v>
          </cell>
          <cell r="J771" t="str">
            <v>856</v>
          </cell>
          <cell r="K771" t="str">
            <v>491-01791</v>
          </cell>
          <cell r="L771" t="str">
            <v>366</v>
          </cell>
          <cell r="M771" t="str">
            <v/>
          </cell>
          <cell r="N771" t="str">
            <v>64</v>
          </cell>
        </row>
        <row r="772">
          <cell r="A772" t="str">
            <v>STACJA ROBOCZA</v>
          </cell>
          <cell r="B772" t="str">
            <v>NEC Direction Minitower P III 450</v>
          </cell>
          <cell r="C772" t="str">
            <v>491-3883</v>
          </cell>
          <cell r="D772" t="str">
            <v>0988099</v>
          </cell>
          <cell r="E772" t="str">
            <v xml:space="preserve">RE </v>
          </cell>
          <cell r="F772" t="str">
            <v xml:space="preserve">MEDYŃSKI                 JERZY          </v>
          </cell>
          <cell r="G772" t="str">
            <v>U-3</v>
          </cell>
          <cell r="H772" t="str">
            <v>205</v>
          </cell>
          <cell r="I772" t="str">
            <v>16-04</v>
          </cell>
          <cell r="J772" t="str">
            <v>572</v>
          </cell>
          <cell r="K772" t="str">
            <v>491-03883</v>
          </cell>
          <cell r="L772" t="str">
            <v>450</v>
          </cell>
          <cell r="M772" t="str">
            <v/>
          </cell>
          <cell r="N772" t="str">
            <v>64</v>
          </cell>
        </row>
        <row r="773">
          <cell r="A773" t="str">
            <v>STACJA ROBOCZA</v>
          </cell>
          <cell r="B773" t="str">
            <v>DELL Optiplex GX260 SD</v>
          </cell>
          <cell r="C773" t="str">
            <v>491-5039</v>
          </cell>
          <cell r="D773" t="str">
            <v>GMPFL0J</v>
          </cell>
          <cell r="E773" t="str">
            <v xml:space="preserve">RE </v>
          </cell>
          <cell r="F773" t="str">
            <v xml:space="preserve">LUBOWSKI                 MACIEJ         </v>
          </cell>
          <cell r="G773" t="str">
            <v>U-3</v>
          </cell>
          <cell r="H773" t="str">
            <v>114</v>
          </cell>
          <cell r="I773" t="str">
            <v>17-15</v>
          </cell>
          <cell r="J773" t="str">
            <v>530</v>
          </cell>
          <cell r="K773" t="str">
            <v>491-05039</v>
          </cell>
          <cell r="L773" t="str">
            <v>2400</v>
          </cell>
          <cell r="M773" t="str">
            <v/>
          </cell>
          <cell r="N773" t="str">
            <v>254</v>
          </cell>
        </row>
        <row r="774">
          <cell r="A774" t="str">
            <v>STACJA ROBOCZA</v>
          </cell>
          <cell r="B774" t="str">
            <v>DELL Optiplex GX1L 266</v>
          </cell>
          <cell r="C774" t="str">
            <v>491-3223</v>
          </cell>
          <cell r="D774" t="str">
            <v>NM14X</v>
          </cell>
          <cell r="E774" t="str">
            <v xml:space="preserve">RE </v>
          </cell>
          <cell r="F774" t="str">
            <v xml:space="preserve">MISZTAL                  MAREK          </v>
          </cell>
          <cell r="G774" t="str">
            <v>U-3</v>
          </cell>
          <cell r="H774" t="str">
            <v>HALA</v>
          </cell>
          <cell r="I774" t="str">
            <v>24-89</v>
          </cell>
          <cell r="J774" t="str">
            <v>1525</v>
          </cell>
          <cell r="K774" t="str">
            <v>491-03223</v>
          </cell>
          <cell r="L774" t="str">
            <v>266</v>
          </cell>
          <cell r="M774" t="str">
            <v>OK55J</v>
          </cell>
          <cell r="N774" t="str">
            <v>128</v>
          </cell>
        </row>
        <row r="775">
          <cell r="A775" t="str">
            <v>STACJA ROBOCZA</v>
          </cell>
          <cell r="B775" t="str">
            <v>DELL Optiplex GX1L 266</v>
          </cell>
          <cell r="C775" t="str">
            <v>491-3401</v>
          </cell>
          <cell r="D775" t="str">
            <v>NM1D2</v>
          </cell>
          <cell r="E775" t="str">
            <v xml:space="preserve">RE </v>
          </cell>
          <cell r="F775" t="str">
            <v xml:space="preserve">ANTOSZCZYK               SYLWESTER      </v>
          </cell>
          <cell r="G775" t="str">
            <v>U-3</v>
          </cell>
          <cell r="H775" t="str">
            <v>114</v>
          </cell>
          <cell r="I775" t="str">
            <v>17-15</v>
          </cell>
          <cell r="J775" t="str">
            <v>2147</v>
          </cell>
          <cell r="K775" t="str">
            <v>491-03401</v>
          </cell>
          <cell r="L775" t="str">
            <v>266</v>
          </cell>
          <cell r="M775" t="str">
            <v/>
          </cell>
          <cell r="N775" t="str">
            <v>128</v>
          </cell>
        </row>
        <row r="776">
          <cell r="A776" t="str">
            <v>STACJA ROBOCZA</v>
          </cell>
          <cell r="B776" t="str">
            <v>KOMPUTER PC/AT</v>
          </cell>
          <cell r="C776" t="str">
            <v>491-1620/1668</v>
          </cell>
          <cell r="D776" t="str">
            <v>90092450</v>
          </cell>
          <cell r="E776" t="str">
            <v xml:space="preserve">RE </v>
          </cell>
          <cell r="F776" t="str">
            <v xml:space="preserve">SKROBEK                  STANISŁAW      </v>
          </cell>
          <cell r="G776" t="str">
            <v>U-14/1</v>
          </cell>
          <cell r="H776" t="str">
            <v>7</v>
          </cell>
          <cell r="I776" t="str">
            <v>22-63</v>
          </cell>
          <cell r="J776" t="str">
            <v>3628</v>
          </cell>
          <cell r="K776" t="str">
            <v>STANISLAW_RAJ</v>
          </cell>
          <cell r="L776" t="str">
            <v>400</v>
          </cell>
          <cell r="M776" t="str">
            <v/>
          </cell>
          <cell r="N776" t="str">
            <v/>
          </cell>
        </row>
        <row r="777">
          <cell r="A777" t="str">
            <v>STACJA ROBOCZA</v>
          </cell>
          <cell r="B777" t="str">
            <v>COMPAQ DESKPRO EXD PIII 733</v>
          </cell>
          <cell r="C777" t="str">
            <v>491-4401</v>
          </cell>
          <cell r="D777" t="str">
            <v>8036FR4ZE415</v>
          </cell>
          <cell r="E777" t="str">
            <v xml:space="preserve">RE </v>
          </cell>
          <cell r="F777" t="str">
            <v xml:space="preserve">PALUSZKIEWICZ            ROBERT         </v>
          </cell>
          <cell r="G777" t="str">
            <v>U-3</v>
          </cell>
          <cell r="H777" t="str">
            <v>208</v>
          </cell>
          <cell r="I777" t="str">
            <v>22-05</v>
          </cell>
          <cell r="J777" t="str">
            <v>9270</v>
          </cell>
          <cell r="K777" t="str">
            <v>491-04401</v>
          </cell>
          <cell r="L777" t="str">
            <v>733</v>
          </cell>
          <cell r="M777" t="str">
            <v/>
          </cell>
          <cell r="N777" t="str">
            <v>127</v>
          </cell>
        </row>
        <row r="778">
          <cell r="A778" t="str">
            <v>STACJA ROBOCZA</v>
          </cell>
          <cell r="B778" t="str">
            <v>ZENITH Z STATION P166</v>
          </cell>
          <cell r="C778" t="str">
            <v>491-3061</v>
          </cell>
          <cell r="D778" t="str">
            <v>GVDD72905272</v>
          </cell>
          <cell r="E778" t="str">
            <v xml:space="preserve">RE </v>
          </cell>
          <cell r="F778" t="str">
            <v xml:space="preserve">ZAJDEL                   TADEUSZ        </v>
          </cell>
          <cell r="G778" t="str">
            <v>K4/17M</v>
          </cell>
          <cell r="H778" t="str">
            <v>POZ+17M</v>
          </cell>
          <cell r="I778" t="str">
            <v>17-87</v>
          </cell>
          <cell r="J778" t="str">
            <v>3553</v>
          </cell>
          <cell r="K778" t="str">
            <v/>
          </cell>
          <cell r="L778" t="str">
            <v>166</v>
          </cell>
          <cell r="M778" t="str">
            <v/>
          </cell>
          <cell r="N778" t="str">
            <v/>
          </cell>
        </row>
        <row r="779">
          <cell r="A779" t="str">
            <v>STACJA ROBOCZA</v>
          </cell>
          <cell r="B779" t="str">
            <v>DELL Optiplex GX150</v>
          </cell>
          <cell r="C779" t="str">
            <v>491-4727</v>
          </cell>
          <cell r="D779" t="str">
            <v>1LVX60J</v>
          </cell>
          <cell r="E779" t="str">
            <v xml:space="preserve">RE </v>
          </cell>
          <cell r="F779" t="str">
            <v xml:space="preserve">KUDAJ                    MAŁGORZATA     </v>
          </cell>
          <cell r="G779" t="str">
            <v>U-3</v>
          </cell>
          <cell r="H779" t="str">
            <v>205</v>
          </cell>
          <cell r="I779" t="str">
            <v>17-08</v>
          </cell>
          <cell r="J779" t="str">
            <v>414</v>
          </cell>
          <cell r="K779" t="str">
            <v>491-04727</v>
          </cell>
          <cell r="L779" t="str">
            <v>1000</v>
          </cell>
          <cell r="M779" t="str">
            <v/>
          </cell>
          <cell r="N779" t="str">
            <v>255</v>
          </cell>
        </row>
        <row r="780">
          <cell r="A780" t="str">
            <v>STACJA ROBOCZA</v>
          </cell>
          <cell r="B780" t="str">
            <v>DELL Optiplex GX150</v>
          </cell>
          <cell r="C780" t="str">
            <v>491-4728</v>
          </cell>
          <cell r="D780" t="str">
            <v>51WX60J</v>
          </cell>
          <cell r="E780" t="str">
            <v xml:space="preserve">RE </v>
          </cell>
          <cell r="F780" t="str">
            <v xml:space="preserve">MOSIOŁEK                 BOGDAN         </v>
          </cell>
          <cell r="G780" t="str">
            <v>U-3</v>
          </cell>
          <cell r="H780" t="str">
            <v>212</v>
          </cell>
          <cell r="I780" t="str">
            <v>17-05</v>
          </cell>
          <cell r="J780" t="str">
            <v>3952</v>
          </cell>
          <cell r="K780" t="str">
            <v>491-04728</v>
          </cell>
          <cell r="L780" t="str">
            <v>1000</v>
          </cell>
          <cell r="M780" t="str">
            <v/>
          </cell>
          <cell r="N780" t="str">
            <v>255</v>
          </cell>
        </row>
        <row r="781">
          <cell r="A781" t="str">
            <v>STACJA ROBOCZA</v>
          </cell>
          <cell r="B781" t="str">
            <v>DELL Optiplex GX150</v>
          </cell>
          <cell r="C781" t="str">
            <v>491-4726</v>
          </cell>
          <cell r="D781" t="str">
            <v>BMVX60J</v>
          </cell>
          <cell r="E781" t="str">
            <v xml:space="preserve">RE </v>
          </cell>
          <cell r="F781" t="str">
            <v xml:space="preserve">FRĄCZKOWSKA              GRAŻYNA        </v>
          </cell>
          <cell r="G781" t="str">
            <v>U-3</v>
          </cell>
          <cell r="H781" t="str">
            <v>205</v>
          </cell>
          <cell r="I781" t="str">
            <v>24-96</v>
          </cell>
          <cell r="J781" t="str">
            <v>196</v>
          </cell>
          <cell r="K781" t="str">
            <v>491-04726</v>
          </cell>
          <cell r="L781" t="str">
            <v>1000</v>
          </cell>
          <cell r="M781" t="str">
            <v/>
          </cell>
          <cell r="N781" t="str">
            <v>255</v>
          </cell>
        </row>
        <row r="782">
          <cell r="A782" t="str">
            <v>STACJA ROBOCZA</v>
          </cell>
          <cell r="B782" t="str">
            <v>COMPAQ DESKPRO EXD PIII 733</v>
          </cell>
          <cell r="C782" t="str">
            <v>491-4312</v>
          </cell>
          <cell r="D782" t="str">
            <v>8036FR4ZE397</v>
          </cell>
          <cell r="E782" t="str">
            <v xml:space="preserve">RE </v>
          </cell>
          <cell r="F782" t="str">
            <v xml:space="preserve">PŁOCICA                  EDWARD         </v>
          </cell>
          <cell r="G782" t="str">
            <v>U-3</v>
          </cell>
          <cell r="H782" t="str">
            <v>209</v>
          </cell>
          <cell r="I782" t="str">
            <v>17-27</v>
          </cell>
          <cell r="J782" t="str">
            <v>797</v>
          </cell>
          <cell r="K782" t="str">
            <v>491-04312</v>
          </cell>
          <cell r="L782" t="str">
            <v>733</v>
          </cell>
          <cell r="M782" t="str">
            <v/>
          </cell>
          <cell r="N782" t="str">
            <v>127</v>
          </cell>
        </row>
        <row r="783">
          <cell r="A783" t="str">
            <v>NOTEBOOK</v>
          </cell>
          <cell r="B783" t="str">
            <v>COMPAQ ARMADA E500  PIII 600</v>
          </cell>
          <cell r="C783" t="str">
            <v>491-4372</v>
          </cell>
          <cell r="D783" t="str">
            <v>7J0ADN98Y018</v>
          </cell>
          <cell r="E783" t="str">
            <v xml:space="preserve">RE </v>
          </cell>
          <cell r="F783" t="str">
            <v xml:space="preserve">MEDYŃSKI                 JERZY          </v>
          </cell>
          <cell r="G783" t="str">
            <v>U-3</v>
          </cell>
          <cell r="H783" t="str">
            <v>205</v>
          </cell>
          <cell r="I783" t="str">
            <v>16-04</v>
          </cell>
          <cell r="J783" t="str">
            <v>572</v>
          </cell>
          <cell r="K783" t="str">
            <v>491-04372</v>
          </cell>
          <cell r="L783" t="str">
            <v>600</v>
          </cell>
          <cell r="M783" t="str">
            <v/>
          </cell>
          <cell r="N783" t="str">
            <v>128</v>
          </cell>
        </row>
        <row r="784">
          <cell r="A784" t="str">
            <v>STACJA ROBOCZA</v>
          </cell>
          <cell r="B784" t="str">
            <v>DELL Optiplex GX1L 266</v>
          </cell>
          <cell r="C784" t="str">
            <v>491-3402</v>
          </cell>
          <cell r="D784" t="str">
            <v>NM1FS</v>
          </cell>
          <cell r="E784" t="str">
            <v xml:space="preserve">RE </v>
          </cell>
          <cell r="F784" t="str">
            <v xml:space="preserve">MISZTAL                  MAREK          </v>
          </cell>
          <cell r="G784" t="str">
            <v>U-3</v>
          </cell>
          <cell r="H784" t="str">
            <v>HALA</v>
          </cell>
          <cell r="I784" t="str">
            <v>24-89</v>
          </cell>
          <cell r="J784" t="str">
            <v>1525</v>
          </cell>
          <cell r="K784" t="str">
            <v/>
          </cell>
          <cell r="L784" t="str">
            <v>266</v>
          </cell>
          <cell r="M784" t="str">
            <v/>
          </cell>
          <cell r="N784" t="str">
            <v/>
          </cell>
        </row>
        <row r="785">
          <cell r="A785" t="str">
            <v>STACJA ROBOCZA</v>
          </cell>
          <cell r="B785" t="str">
            <v>COMPAQ DESKPRO 2000 DT 5120 M1080</v>
          </cell>
          <cell r="C785" t="str">
            <v>491-2772</v>
          </cell>
          <cell r="D785" t="str">
            <v>8650HVS50049</v>
          </cell>
          <cell r="E785" t="str">
            <v xml:space="preserve">RE </v>
          </cell>
          <cell r="F785" t="str">
            <v xml:space="preserve">KAZIMIERCZAK             LECH           </v>
          </cell>
          <cell r="G785" t="str">
            <v>U-14/1</v>
          </cell>
          <cell r="H785" t="str">
            <v>1</v>
          </cell>
          <cell r="I785" t="str">
            <v>25-74</v>
          </cell>
          <cell r="J785" t="str">
            <v>1511</v>
          </cell>
          <cell r="K785" t="str">
            <v>491-02772</v>
          </cell>
          <cell r="L785" t="str">
            <v>120</v>
          </cell>
          <cell r="M785" t="str">
            <v/>
          </cell>
          <cell r="N785" t="str">
            <v/>
          </cell>
        </row>
        <row r="786">
          <cell r="A786" t="str">
            <v>STACJA ROBOCZA</v>
          </cell>
          <cell r="B786" t="str">
            <v>COMPAQ DESKPRO EXD PIII 733</v>
          </cell>
          <cell r="C786" t="str">
            <v>491-4306</v>
          </cell>
          <cell r="D786" t="str">
            <v>8036FR4Z6624</v>
          </cell>
          <cell r="E786" t="str">
            <v xml:space="preserve">RE </v>
          </cell>
          <cell r="F786" t="str">
            <v xml:space="preserve">NOWICKA                  MARIA          </v>
          </cell>
          <cell r="G786" t="str">
            <v>U-3</v>
          </cell>
          <cell r="H786" t="str">
            <v>213</v>
          </cell>
          <cell r="I786" t="str">
            <v>17-08</v>
          </cell>
          <cell r="J786" t="str">
            <v>2126</v>
          </cell>
          <cell r="K786" t="str">
            <v>491-04306</v>
          </cell>
          <cell r="L786" t="str">
            <v>733</v>
          </cell>
          <cell r="M786" t="str">
            <v/>
          </cell>
          <cell r="N786" t="str">
            <v>127</v>
          </cell>
        </row>
        <row r="787">
          <cell r="A787" t="str">
            <v>STACJA ROBOCZA</v>
          </cell>
          <cell r="B787" t="str">
            <v>KOMPUTER PC/AT</v>
          </cell>
          <cell r="C787" t="str">
            <v>491-1620/1634</v>
          </cell>
          <cell r="D787" t="str">
            <v>561/07/91</v>
          </cell>
          <cell r="E787" t="str">
            <v>RE1</v>
          </cell>
          <cell r="F787" t="str">
            <v xml:space="preserve">BRANDT                   STEFAN         </v>
          </cell>
          <cell r="G787" t="str">
            <v>U-3</v>
          </cell>
          <cell r="H787" t="str">
            <v>107</v>
          </cell>
          <cell r="I787" t="str">
            <v>12-62</v>
          </cell>
          <cell r="J787" t="str">
            <v>85</v>
          </cell>
          <cell r="K787" t="str">
            <v>491-01620-1634</v>
          </cell>
          <cell r="L787" t="str">
            <v>300</v>
          </cell>
          <cell r="M787" t="str">
            <v/>
          </cell>
          <cell r="N787" t="str">
            <v>64</v>
          </cell>
        </row>
        <row r="788">
          <cell r="A788" t="str">
            <v>STACJA ROBOCZA</v>
          </cell>
          <cell r="B788" t="str">
            <v>NEC PowerMate VT Destop P III 450</v>
          </cell>
          <cell r="C788" t="str">
            <v>491-3889</v>
          </cell>
          <cell r="D788" t="str">
            <v>0254109</v>
          </cell>
          <cell r="E788" t="str">
            <v>RE1</v>
          </cell>
          <cell r="F788" t="str">
            <v xml:space="preserve">HARCIAREK                LESZEK         </v>
          </cell>
          <cell r="G788" t="str">
            <v/>
          </cell>
          <cell r="H788" t="str">
            <v/>
          </cell>
          <cell r="I788" t="str">
            <v/>
          </cell>
          <cell r="J788" t="str">
            <v>290</v>
          </cell>
          <cell r="K788" t="str">
            <v>491-03889</v>
          </cell>
          <cell r="L788" t="str">
            <v>450</v>
          </cell>
          <cell r="M788" t="str">
            <v/>
          </cell>
          <cell r="N788" t="str">
            <v>64</v>
          </cell>
        </row>
        <row r="789">
          <cell r="A789" t="str">
            <v>STACJA ROBOCZA</v>
          </cell>
          <cell r="B789" t="str">
            <v>DELL Optiplex GX150</v>
          </cell>
          <cell r="C789" t="str">
            <v>491-4755</v>
          </cell>
          <cell r="D789" t="str">
            <v>71RX60J</v>
          </cell>
          <cell r="E789" t="str">
            <v>RE1</v>
          </cell>
          <cell r="F789" t="str">
            <v xml:space="preserve">RAJ                      STANISŁAW      </v>
          </cell>
          <cell r="G789" t="str">
            <v>U-3</v>
          </cell>
          <cell r="H789" t="str">
            <v>103</v>
          </cell>
          <cell r="I789" t="str">
            <v>17-06</v>
          </cell>
          <cell r="J789" t="str">
            <v>4153</v>
          </cell>
          <cell r="K789" t="str">
            <v>491-04755</v>
          </cell>
          <cell r="L789" t="str">
            <v>1000</v>
          </cell>
          <cell r="M789" t="str">
            <v/>
          </cell>
          <cell r="N789" t="str">
            <v>255</v>
          </cell>
        </row>
        <row r="790">
          <cell r="A790" t="str">
            <v>STACJA ROBOCZA</v>
          </cell>
          <cell r="B790" t="str">
            <v>IVERSON MIC-33</v>
          </cell>
          <cell r="C790" t="str">
            <v>491-1882</v>
          </cell>
          <cell r="D790" t="str">
            <v>792-0978-009</v>
          </cell>
          <cell r="E790" t="str">
            <v>RE1</v>
          </cell>
          <cell r="F790" t="str">
            <v xml:space="preserve">BEKASIAK                 PIOTR          </v>
          </cell>
          <cell r="G790" t="str">
            <v>U-3</v>
          </cell>
          <cell r="H790" t="str">
            <v>108</v>
          </cell>
          <cell r="I790" t="str">
            <v>27-24</v>
          </cell>
          <cell r="J790" t="str">
            <v>9448</v>
          </cell>
          <cell r="K790" t="str">
            <v>ELB 491-1882</v>
          </cell>
          <cell r="L790" t="str">
            <v>400</v>
          </cell>
          <cell r="M790" t="str">
            <v>OK58J</v>
          </cell>
          <cell r="N790" t="str">
            <v/>
          </cell>
        </row>
        <row r="791">
          <cell r="A791" t="str">
            <v>STACJA ROBOCZA</v>
          </cell>
          <cell r="B791" t="str">
            <v>COMPAQ DESKPRO EXD PIII 733</v>
          </cell>
          <cell r="C791" t="str">
            <v>491-4422</v>
          </cell>
          <cell r="D791" t="str">
            <v>8036FR4Z6622</v>
          </cell>
          <cell r="E791" t="str">
            <v>RE1</v>
          </cell>
          <cell r="F791" t="str">
            <v xml:space="preserve">KOZACZEK                 WIESŁAW        </v>
          </cell>
          <cell r="G791" t="str">
            <v>U-3</v>
          </cell>
          <cell r="H791" t="str">
            <v>107</v>
          </cell>
          <cell r="I791" t="str">
            <v>17-07</v>
          </cell>
          <cell r="J791" t="str">
            <v>446</v>
          </cell>
          <cell r="K791" t="str">
            <v>491-04422</v>
          </cell>
          <cell r="L791" t="str">
            <v>733</v>
          </cell>
          <cell r="M791" t="str">
            <v/>
          </cell>
          <cell r="N791" t="str">
            <v>127</v>
          </cell>
        </row>
        <row r="792">
          <cell r="A792" t="str">
            <v>STACJA ROBOCZA</v>
          </cell>
          <cell r="B792" t="str">
            <v>ZENITH Z STATION P200</v>
          </cell>
          <cell r="C792" t="str">
            <v>491-3137</v>
          </cell>
          <cell r="D792" t="str">
            <v>GVDD72905611</v>
          </cell>
          <cell r="E792" t="str">
            <v>RE1</v>
          </cell>
          <cell r="F792" t="str">
            <v xml:space="preserve">KANIA                    ELŻBIETA       </v>
          </cell>
          <cell r="G792" t="str">
            <v>U-2</v>
          </cell>
          <cell r="H792" t="str">
            <v>122</v>
          </cell>
          <cell r="I792" t="str">
            <v>29-86</v>
          </cell>
          <cell r="J792" t="str">
            <v>2647</v>
          </cell>
          <cell r="K792" t="str">
            <v>491-03137</v>
          </cell>
          <cell r="L792" t="str">
            <v>200</v>
          </cell>
          <cell r="M792" t="str">
            <v/>
          </cell>
          <cell r="N792" t="str">
            <v>80</v>
          </cell>
        </row>
        <row r="793">
          <cell r="A793" t="str">
            <v>STACJA ROBOCZA</v>
          </cell>
          <cell r="B793" t="str">
            <v>DELL Optiplex GX260 SD</v>
          </cell>
          <cell r="C793" t="str">
            <v>491-5038</v>
          </cell>
          <cell r="D793" t="str">
            <v>FNPFL0J</v>
          </cell>
          <cell r="E793" t="str">
            <v>RE1</v>
          </cell>
          <cell r="F793" t="str">
            <v xml:space="preserve">WOJEWODA                 ANDRZEJ        </v>
          </cell>
          <cell r="G793" t="str">
            <v>U-3</v>
          </cell>
          <cell r="H793" t="str">
            <v>206</v>
          </cell>
          <cell r="I793" t="str">
            <v>24-93</v>
          </cell>
          <cell r="J793" t="str">
            <v>1078</v>
          </cell>
          <cell r="K793" t="str">
            <v>491-05038</v>
          </cell>
          <cell r="L793" t="str">
            <v>2400</v>
          </cell>
          <cell r="M793" t="str">
            <v/>
          </cell>
          <cell r="N793" t="str">
            <v>254</v>
          </cell>
        </row>
        <row r="794">
          <cell r="A794" t="str">
            <v>STACJA ROBOCZA</v>
          </cell>
          <cell r="B794" t="str">
            <v>COMPAQ DESKPRO 2000 DT 5166 M1620</v>
          </cell>
          <cell r="C794" t="str">
            <v>491-2884</v>
          </cell>
          <cell r="D794" t="str">
            <v>8709HVU87729</v>
          </cell>
          <cell r="E794" t="str">
            <v>RE1</v>
          </cell>
          <cell r="F794" t="str">
            <v xml:space="preserve">MRAS                     BEATA          </v>
          </cell>
          <cell r="G794" t="str">
            <v>U-3</v>
          </cell>
          <cell r="H794" t="str">
            <v>107</v>
          </cell>
          <cell r="I794" t="str">
            <v>12-53</v>
          </cell>
          <cell r="J794" t="str">
            <v>4704</v>
          </cell>
          <cell r="K794" t="str">
            <v>491-02884</v>
          </cell>
          <cell r="L794" t="str">
            <v>166</v>
          </cell>
          <cell r="M794" t="str">
            <v/>
          </cell>
          <cell r="N794" t="str">
            <v>64</v>
          </cell>
        </row>
        <row r="795">
          <cell r="A795" t="str">
            <v>STACJA ROBOCZA</v>
          </cell>
          <cell r="B795" t="str">
            <v>IVERSON 386SX/25</v>
          </cell>
          <cell r="C795" t="str">
            <v>491-1849</v>
          </cell>
          <cell r="D795" t="str">
            <v>P692-0835-003</v>
          </cell>
          <cell r="E795" t="str">
            <v>RE1</v>
          </cell>
          <cell r="F795" t="str">
            <v xml:space="preserve">ADAMUSIAK                JAN            </v>
          </cell>
          <cell r="G795" t="str">
            <v>U-3</v>
          </cell>
          <cell r="H795" t="str">
            <v>206</v>
          </cell>
          <cell r="I795" t="str">
            <v>40-91</v>
          </cell>
          <cell r="J795" t="str">
            <v>10</v>
          </cell>
          <cell r="K795" t="str">
            <v>491-01849</v>
          </cell>
          <cell r="L795" t="str">
            <v>333</v>
          </cell>
          <cell r="M795" t="str">
            <v/>
          </cell>
          <cell r="N795" t="str">
            <v>64</v>
          </cell>
        </row>
        <row r="796">
          <cell r="A796" t="str">
            <v>STACJA ROBOCZA</v>
          </cell>
          <cell r="B796" t="str">
            <v>KOMPUTER 386DX</v>
          </cell>
          <cell r="C796" t="str">
            <v>491-2020</v>
          </cell>
          <cell r="D796" t="str">
            <v>3642/043</v>
          </cell>
          <cell r="E796" t="str">
            <v>RE1</v>
          </cell>
          <cell r="F796" t="str">
            <v xml:space="preserve">MALINOWSKI               GRZEGORZ       </v>
          </cell>
          <cell r="G796" t="str">
            <v>U-3</v>
          </cell>
          <cell r="H796" t="str">
            <v>122</v>
          </cell>
          <cell r="I796" t="str">
            <v>17-14</v>
          </cell>
          <cell r="J796" t="str">
            <v>2025</v>
          </cell>
          <cell r="K796" t="str">
            <v>491-02020</v>
          </cell>
          <cell r="L796" t="str">
            <v>120</v>
          </cell>
          <cell r="M796" t="str">
            <v/>
          </cell>
          <cell r="N796" t="str">
            <v>32</v>
          </cell>
        </row>
        <row r="797">
          <cell r="A797" t="str">
            <v>STACJA ROBOCZA</v>
          </cell>
          <cell r="B797" t="str">
            <v>DELL Optiplex GX260 SD</v>
          </cell>
          <cell r="C797" t="str">
            <v>491-5046</v>
          </cell>
          <cell r="D797" t="str">
            <v>5K2GL0J</v>
          </cell>
          <cell r="E797" t="str">
            <v>RE1</v>
          </cell>
          <cell r="F797" t="str">
            <v xml:space="preserve">BEKASIAK                 PIOTR          </v>
          </cell>
          <cell r="G797" t="str">
            <v>U-3</v>
          </cell>
          <cell r="H797" t="str">
            <v>108</v>
          </cell>
          <cell r="I797" t="str">
            <v>27-24</v>
          </cell>
          <cell r="J797" t="str">
            <v>9448</v>
          </cell>
          <cell r="K797" t="str">
            <v>491-05046</v>
          </cell>
          <cell r="L797" t="str">
            <v>2400</v>
          </cell>
          <cell r="M797" t="str">
            <v/>
          </cell>
          <cell r="N797" t="str">
            <v>254</v>
          </cell>
        </row>
        <row r="798">
          <cell r="A798" t="str">
            <v>STACJA ROBOCZA</v>
          </cell>
          <cell r="B798" t="str">
            <v>ZENITH Z STATION P166</v>
          </cell>
          <cell r="C798" t="str">
            <v>491-3037</v>
          </cell>
          <cell r="D798" t="str">
            <v>GVDD72905289</v>
          </cell>
          <cell r="E798" t="str">
            <v>RE1</v>
          </cell>
          <cell r="F798" t="str">
            <v xml:space="preserve">ZAŁĘCZNY                 ZBIGNIEW       </v>
          </cell>
          <cell r="G798" t="str">
            <v>U-2</v>
          </cell>
          <cell r="H798" t="str">
            <v>I NAWA</v>
          </cell>
          <cell r="I798" t="str">
            <v>12-55</v>
          </cell>
          <cell r="J798" t="str">
            <v>2624</v>
          </cell>
          <cell r="K798" t="str">
            <v>491-03037</v>
          </cell>
          <cell r="L798" t="str">
            <v>166</v>
          </cell>
          <cell r="M798" t="str">
            <v/>
          </cell>
          <cell r="N798" t="str">
            <v>80</v>
          </cell>
        </row>
        <row r="799">
          <cell r="A799" t="str">
            <v>STACJA ROBOCZA</v>
          </cell>
          <cell r="B799" t="str">
            <v>COMPAQ DESKPRO 2000 DT 5120 M1080</v>
          </cell>
          <cell r="C799" t="str">
            <v>491-2759</v>
          </cell>
          <cell r="D799" t="str">
            <v>8651HVS51502</v>
          </cell>
          <cell r="E799" t="str">
            <v>RE1</v>
          </cell>
          <cell r="F799" t="str">
            <v xml:space="preserve">WOJEWODA                 ANDRZEJ        </v>
          </cell>
          <cell r="G799" t="str">
            <v>U-3</v>
          </cell>
          <cell r="H799" t="str">
            <v>206</v>
          </cell>
          <cell r="I799" t="str">
            <v>24-93</v>
          </cell>
          <cell r="J799" t="str">
            <v>1078</v>
          </cell>
          <cell r="K799" t="str">
            <v>491-02759</v>
          </cell>
          <cell r="L799" t="str">
            <v>120</v>
          </cell>
          <cell r="M799" t="str">
            <v/>
          </cell>
          <cell r="N799" t="str">
            <v>72</v>
          </cell>
        </row>
        <row r="800">
          <cell r="A800" t="str">
            <v>STACJA ROBOCZA</v>
          </cell>
          <cell r="B800" t="str">
            <v>DELL Optiplex GX1L 350</v>
          </cell>
          <cell r="C800" t="str">
            <v>491-3517</v>
          </cell>
          <cell r="D800" t="str">
            <v>PKGP3</v>
          </cell>
          <cell r="E800" t="str">
            <v xml:space="preserve">RF </v>
          </cell>
          <cell r="F800" t="str">
            <v xml:space="preserve">BRZESKA                  BOŻENNA        </v>
          </cell>
          <cell r="G800" t="str">
            <v>U-2</v>
          </cell>
          <cell r="H800" t="str">
            <v>115</v>
          </cell>
          <cell r="I800" t="str">
            <v>26-14</v>
          </cell>
          <cell r="J800" t="str">
            <v>26</v>
          </cell>
          <cell r="K800" t="str">
            <v>491-03517</v>
          </cell>
          <cell r="L800" t="str">
            <v>350</v>
          </cell>
          <cell r="M800" t="str">
            <v/>
          </cell>
          <cell r="N800" t="str">
            <v>64</v>
          </cell>
        </row>
        <row r="801">
          <cell r="A801" t="str">
            <v>NOTEBOOK</v>
          </cell>
          <cell r="B801" t="str">
            <v>COMPAQ ARMADA E500  PIII 600</v>
          </cell>
          <cell r="C801" t="str">
            <v>491-4357</v>
          </cell>
          <cell r="D801" t="str">
            <v>7J0ADN98Y01R</v>
          </cell>
          <cell r="E801" t="str">
            <v xml:space="preserve">RF </v>
          </cell>
          <cell r="F801" t="str">
            <v xml:space="preserve">KUCIA                    MAREK          </v>
          </cell>
          <cell r="G801" t="str">
            <v>U-2</v>
          </cell>
          <cell r="H801" t="str">
            <v>124</v>
          </cell>
          <cell r="I801" t="str">
            <v>39-57</v>
          </cell>
          <cell r="J801" t="str">
            <v>397</v>
          </cell>
          <cell r="K801" t="str">
            <v>491-04357</v>
          </cell>
          <cell r="L801" t="str">
            <v>600</v>
          </cell>
          <cell r="M801" t="str">
            <v/>
          </cell>
          <cell r="N801" t="str">
            <v>128</v>
          </cell>
        </row>
        <row r="802">
          <cell r="A802" t="str">
            <v>STACJA ROBOCZA</v>
          </cell>
          <cell r="B802" t="str">
            <v>DELL Optiplex GX1M 350</v>
          </cell>
          <cell r="C802" t="str">
            <v>491-3598</v>
          </cell>
          <cell r="D802" t="str">
            <v>PKGZ3</v>
          </cell>
          <cell r="E802" t="str">
            <v xml:space="preserve">RF </v>
          </cell>
          <cell r="F802" t="str">
            <v xml:space="preserve">KROPSKI                  MARIAN         </v>
          </cell>
          <cell r="G802" t="str">
            <v>U-2</v>
          </cell>
          <cell r="H802" t="str">
            <v>115</v>
          </cell>
          <cell r="I802" t="str">
            <v>26-14</v>
          </cell>
          <cell r="J802" t="str">
            <v>418</v>
          </cell>
          <cell r="K802" t="str">
            <v>491-03598</v>
          </cell>
          <cell r="L802" t="str">
            <v>350</v>
          </cell>
          <cell r="M802" t="str">
            <v/>
          </cell>
          <cell r="N802" t="str">
            <v>128</v>
          </cell>
        </row>
        <row r="803">
          <cell r="A803" t="str">
            <v>STACJA ROBOCZA</v>
          </cell>
          <cell r="B803" t="str">
            <v>DELL Optiplex GX150</v>
          </cell>
          <cell r="C803" t="str">
            <v>491-4725</v>
          </cell>
          <cell r="D803" t="str">
            <v>JNVX60J</v>
          </cell>
          <cell r="E803" t="str">
            <v xml:space="preserve">RF </v>
          </cell>
          <cell r="F803" t="str">
            <v xml:space="preserve">LITWICKA                 BOŻENA         </v>
          </cell>
          <cell r="G803" t="str">
            <v>U-2</v>
          </cell>
          <cell r="H803" t="str">
            <v>113</v>
          </cell>
          <cell r="I803" t="str">
            <v>25-83</v>
          </cell>
          <cell r="J803" t="str">
            <v>523</v>
          </cell>
          <cell r="K803" t="str">
            <v>491-04725</v>
          </cell>
          <cell r="L803" t="str">
            <v>1000</v>
          </cell>
          <cell r="M803" t="str">
            <v/>
          </cell>
          <cell r="N803" t="str">
            <v>255</v>
          </cell>
        </row>
        <row r="804">
          <cell r="A804" t="str">
            <v>STACJA ROBOCZA</v>
          </cell>
          <cell r="B804" t="str">
            <v>NEC PMVT Desktop P III 450</v>
          </cell>
          <cell r="C804" t="str">
            <v>491-3790</v>
          </cell>
          <cell r="D804" t="str">
            <v>0221109</v>
          </cell>
          <cell r="E804" t="str">
            <v xml:space="preserve">RF </v>
          </cell>
          <cell r="F804" t="str">
            <v xml:space="preserve">MARKIEWICZ               DANUTA         </v>
          </cell>
          <cell r="G804" t="str">
            <v>U-2</v>
          </cell>
          <cell r="H804" t="str">
            <v>113</v>
          </cell>
          <cell r="I804" t="str">
            <v/>
          </cell>
          <cell r="J804" t="str">
            <v>8168</v>
          </cell>
          <cell r="K804" t="str">
            <v>491-03790</v>
          </cell>
          <cell r="L804" t="str">
            <v>450</v>
          </cell>
          <cell r="M804" t="str">
            <v/>
          </cell>
          <cell r="N804" t="str">
            <v>64</v>
          </cell>
        </row>
        <row r="805">
          <cell r="A805" t="str">
            <v>STACJA ROBOCZA</v>
          </cell>
          <cell r="B805" t="str">
            <v>DELL Optiplex GX260 SD</v>
          </cell>
          <cell r="C805" t="str">
            <v>491-5124</v>
          </cell>
          <cell r="D805" t="str">
            <v>5JYGL0J</v>
          </cell>
          <cell r="E805" t="str">
            <v xml:space="preserve">RF </v>
          </cell>
          <cell r="F805" t="str">
            <v xml:space="preserve">GOLIS                    MARIA          </v>
          </cell>
          <cell r="G805" t="str">
            <v>U-2</v>
          </cell>
          <cell r="H805" t="str">
            <v>113</v>
          </cell>
          <cell r="I805" t="str">
            <v>40-66,34-86</v>
          </cell>
          <cell r="J805" t="str">
            <v>272</v>
          </cell>
          <cell r="K805" t="str">
            <v>491-05124</v>
          </cell>
          <cell r="L805" t="str">
            <v>2400</v>
          </cell>
          <cell r="M805" t="str">
            <v/>
          </cell>
          <cell r="N805" t="str">
            <v>254</v>
          </cell>
        </row>
        <row r="806">
          <cell r="A806" t="str">
            <v>STACJA ROBOCZA</v>
          </cell>
          <cell r="B806" t="str">
            <v>DELL Optiplex GX150</v>
          </cell>
          <cell r="C806" t="str">
            <v>491-4724</v>
          </cell>
          <cell r="D806" t="str">
            <v>8NVX60J</v>
          </cell>
          <cell r="E806" t="str">
            <v xml:space="preserve">RF </v>
          </cell>
          <cell r="F806" t="str">
            <v xml:space="preserve">KUCIA                    MAREK          </v>
          </cell>
          <cell r="G806" t="str">
            <v>U-2</v>
          </cell>
          <cell r="H806" t="str">
            <v>124</v>
          </cell>
          <cell r="I806" t="str">
            <v>39-57</v>
          </cell>
          <cell r="J806" t="str">
            <v>397</v>
          </cell>
          <cell r="K806" t="str">
            <v>491-04724</v>
          </cell>
          <cell r="L806" t="str">
            <v>1000</v>
          </cell>
          <cell r="M806" t="str">
            <v/>
          </cell>
          <cell r="N806" t="str">
            <v>255</v>
          </cell>
        </row>
        <row r="807">
          <cell r="A807" t="str">
            <v>STACJA ROBOCZA</v>
          </cell>
          <cell r="B807" t="str">
            <v>NEC PMVT Desktop P III 450</v>
          </cell>
          <cell r="C807" t="str">
            <v>491-3791</v>
          </cell>
          <cell r="D807" t="str">
            <v>0220109</v>
          </cell>
          <cell r="E807" t="str">
            <v xml:space="preserve">RF </v>
          </cell>
          <cell r="F807" t="str">
            <v xml:space="preserve">FERMENTOWICZ             DANIELA        </v>
          </cell>
          <cell r="G807" t="str">
            <v>U-2</v>
          </cell>
          <cell r="H807" t="str">
            <v>115</v>
          </cell>
          <cell r="I807" t="str">
            <v>26-14</v>
          </cell>
          <cell r="J807" t="str">
            <v>192</v>
          </cell>
          <cell r="K807" t="str">
            <v>491-03791</v>
          </cell>
          <cell r="L807" t="str">
            <v>450</v>
          </cell>
          <cell r="M807" t="str">
            <v/>
          </cell>
          <cell r="N807" t="str">
            <v>64</v>
          </cell>
        </row>
        <row r="808">
          <cell r="A808" t="str">
            <v>STACJA ROBOCZA</v>
          </cell>
          <cell r="B808" t="str">
            <v>COMPAQ DESKPRO EXD PIII 733</v>
          </cell>
          <cell r="C808" t="str">
            <v>491-4503</v>
          </cell>
          <cell r="D808" t="str">
            <v>8036FR4Z6089</v>
          </cell>
          <cell r="E808" t="str">
            <v xml:space="preserve">RF </v>
          </cell>
          <cell r="F808" t="str">
            <v xml:space="preserve">KURANT                   MARIA          </v>
          </cell>
          <cell r="G808" t="str">
            <v>U-2</v>
          </cell>
          <cell r="H808" t="str">
            <v>113</v>
          </cell>
          <cell r="I808" t="str">
            <v>40-33</v>
          </cell>
          <cell r="J808" t="str">
            <v>168</v>
          </cell>
          <cell r="K808" t="str">
            <v>491-04503</v>
          </cell>
          <cell r="L808" t="str">
            <v>733</v>
          </cell>
          <cell r="M808" t="str">
            <v/>
          </cell>
          <cell r="N808" t="str">
            <v>127</v>
          </cell>
        </row>
        <row r="809">
          <cell r="A809" t="str">
            <v>STACJA ROBOCZA</v>
          </cell>
          <cell r="B809" t="str">
            <v>DELL Optiplex GX150</v>
          </cell>
          <cell r="C809" t="str">
            <v>491-4715</v>
          </cell>
          <cell r="D809" t="str">
            <v>1PVX60J</v>
          </cell>
          <cell r="E809" t="str">
            <v xml:space="preserve">RH </v>
          </cell>
          <cell r="F809" t="str">
            <v xml:space="preserve">WIERCIŃSKA               ELŻBIETA       </v>
          </cell>
          <cell r="G809" t="str">
            <v>U-2</v>
          </cell>
          <cell r="H809" t="str">
            <v>123</v>
          </cell>
          <cell r="I809" t="str">
            <v>26-12</v>
          </cell>
          <cell r="J809" t="str">
            <v>1101</v>
          </cell>
          <cell r="K809" t="str">
            <v>491-04715</v>
          </cell>
          <cell r="L809" t="str">
            <v>1000</v>
          </cell>
          <cell r="M809" t="str">
            <v/>
          </cell>
          <cell r="N809" t="str">
            <v>255</v>
          </cell>
        </row>
        <row r="810">
          <cell r="A810" t="str">
            <v>STACJA ROBOCZA</v>
          </cell>
          <cell r="B810" t="str">
            <v>DELL Optiplex GX1L 266</v>
          </cell>
          <cell r="C810" t="str">
            <v>491-3274</v>
          </cell>
          <cell r="D810" t="str">
            <v>NM199</v>
          </cell>
          <cell r="E810" t="str">
            <v xml:space="preserve">RH </v>
          </cell>
          <cell r="F810" t="str">
            <v xml:space="preserve">OGŁAZA                   WŁODZIMIERZ    </v>
          </cell>
          <cell r="G810" t="str">
            <v>U-2</v>
          </cell>
          <cell r="H810" t="str">
            <v>214</v>
          </cell>
          <cell r="I810" t="str">
            <v>19-34</v>
          </cell>
          <cell r="J810" t="str">
            <v>9796</v>
          </cell>
          <cell r="K810" t="str">
            <v>491-03274</v>
          </cell>
          <cell r="L810" t="str">
            <v>266</v>
          </cell>
          <cell r="M810" t="str">
            <v/>
          </cell>
          <cell r="N810" t="str">
            <v>160</v>
          </cell>
        </row>
        <row r="811">
          <cell r="A811" t="str">
            <v>STACJA ROBOCZA</v>
          </cell>
          <cell r="B811" t="str">
            <v>NEC POWER MATE PIII 450</v>
          </cell>
          <cell r="C811" t="str">
            <v>491-3964</v>
          </cell>
          <cell r="D811" t="str">
            <v>Z0056109</v>
          </cell>
          <cell r="E811" t="str">
            <v xml:space="preserve">RH </v>
          </cell>
          <cell r="F811" t="str">
            <v xml:space="preserve">MASZCZYK                 MARIAN         </v>
          </cell>
          <cell r="G811" t="str">
            <v>U-2</v>
          </cell>
          <cell r="H811" t="str">
            <v>121A</v>
          </cell>
          <cell r="I811" t="str">
            <v>16-22</v>
          </cell>
          <cell r="J811" t="str">
            <v>549</v>
          </cell>
          <cell r="K811" t="str">
            <v>491-03964</v>
          </cell>
          <cell r="L811" t="str">
            <v>450</v>
          </cell>
          <cell r="M811" t="str">
            <v/>
          </cell>
          <cell r="N811" t="str">
            <v>128</v>
          </cell>
        </row>
        <row r="812">
          <cell r="A812" t="str">
            <v>STACJA ROBOCZA</v>
          </cell>
          <cell r="B812" t="str">
            <v>DELL Optiplex GX260 SD</v>
          </cell>
          <cell r="C812" t="str">
            <v>491-5049</v>
          </cell>
          <cell r="D812" t="str">
            <v>7K2GL0J</v>
          </cell>
          <cell r="E812" t="str">
            <v xml:space="preserve">RH </v>
          </cell>
          <cell r="F812" t="str">
            <v xml:space="preserve">OGŁAZA                   WŁODZIMIERZ    </v>
          </cell>
          <cell r="G812" t="str">
            <v>U-2</v>
          </cell>
          <cell r="H812" t="str">
            <v>214</v>
          </cell>
          <cell r="I812" t="str">
            <v>19-34</v>
          </cell>
          <cell r="J812" t="str">
            <v>9796</v>
          </cell>
          <cell r="K812" t="str">
            <v>491-05049</v>
          </cell>
          <cell r="L812" t="str">
            <v>2400</v>
          </cell>
          <cell r="M812" t="str">
            <v/>
          </cell>
          <cell r="N812" t="str">
            <v>254</v>
          </cell>
        </row>
        <row r="813">
          <cell r="A813" t="str">
            <v>STACJA ROBOCZA</v>
          </cell>
          <cell r="B813" t="str">
            <v>DELL Optiplex GX150</v>
          </cell>
          <cell r="C813" t="str">
            <v>491-4714</v>
          </cell>
          <cell r="D813" t="str">
            <v>CLVX60J</v>
          </cell>
          <cell r="E813" t="str">
            <v xml:space="preserve">RH </v>
          </cell>
          <cell r="F813" t="str">
            <v xml:space="preserve">PRÓBA                    ANNA           </v>
          </cell>
          <cell r="G813" t="str">
            <v>U-2</v>
          </cell>
          <cell r="H813" t="str">
            <v>123</v>
          </cell>
          <cell r="I813" t="str">
            <v>26-12</v>
          </cell>
          <cell r="J813" t="str">
            <v>8193</v>
          </cell>
          <cell r="K813" t="str">
            <v>491-04714</v>
          </cell>
          <cell r="L813" t="str">
            <v>1000</v>
          </cell>
          <cell r="M813" t="str">
            <v/>
          </cell>
          <cell r="N813" t="str">
            <v>255</v>
          </cell>
        </row>
        <row r="814">
          <cell r="A814" t="str">
            <v>STACJA ROBOCZA</v>
          </cell>
          <cell r="B814" t="str">
            <v>NEC DIRECTION PIII 450 MIDI TOWER</v>
          </cell>
          <cell r="C814" t="str">
            <v>491-3974</v>
          </cell>
          <cell r="D814" t="str">
            <v>0455099</v>
          </cell>
          <cell r="E814" t="str">
            <v xml:space="preserve">RH </v>
          </cell>
          <cell r="F814" t="str">
            <v xml:space="preserve">CIĄŻYŃSKI                ARKADIUSZ      </v>
          </cell>
          <cell r="G814" t="str">
            <v>U-2/3</v>
          </cell>
          <cell r="H814" t="str">
            <v>310</v>
          </cell>
          <cell r="I814" t="str">
            <v>22-71</v>
          </cell>
          <cell r="J814" t="str">
            <v>138</v>
          </cell>
          <cell r="K814" t="str">
            <v>491-03974</v>
          </cell>
          <cell r="L814" t="str">
            <v>450</v>
          </cell>
          <cell r="M814" t="str">
            <v/>
          </cell>
          <cell r="N814" t="str">
            <v>256</v>
          </cell>
        </row>
        <row r="815">
          <cell r="A815" t="str">
            <v>STACJA ROBOCZA</v>
          </cell>
          <cell r="B815" t="str">
            <v>NEC Direction Minitower P III 450</v>
          </cell>
          <cell r="C815" t="str">
            <v>491-3885</v>
          </cell>
          <cell r="D815" t="str">
            <v>0991099</v>
          </cell>
          <cell r="E815" t="str">
            <v xml:space="preserve">RH </v>
          </cell>
          <cell r="F815" t="str">
            <v xml:space="preserve">CIĄŻYŃSKI                ARKADIUSZ      </v>
          </cell>
          <cell r="G815" t="str">
            <v>U-2/3</v>
          </cell>
          <cell r="H815" t="str">
            <v>310</v>
          </cell>
          <cell r="I815" t="str">
            <v>22-71</v>
          </cell>
          <cell r="J815" t="str">
            <v>138</v>
          </cell>
          <cell r="K815" t="str">
            <v>491-03885</v>
          </cell>
          <cell r="L815" t="str">
            <v>450</v>
          </cell>
          <cell r="M815" t="str">
            <v/>
          </cell>
          <cell r="N815" t="str">
            <v>64</v>
          </cell>
        </row>
        <row r="816">
          <cell r="A816" t="str">
            <v>NOTEBOOK</v>
          </cell>
          <cell r="B816" t="str">
            <v>Dell Latitude</v>
          </cell>
          <cell r="C816" t="str">
            <v>491-3338</v>
          </cell>
          <cell r="D816" t="str">
            <v>Z53J5</v>
          </cell>
          <cell r="E816" t="str">
            <v xml:space="preserve">RH </v>
          </cell>
          <cell r="F816" t="str">
            <v xml:space="preserve">GROCHOCKI                DARIUSZ        </v>
          </cell>
          <cell r="G816" t="str">
            <v>U-12</v>
          </cell>
          <cell r="H816" t="str">
            <v>226</v>
          </cell>
          <cell r="I816" t="str">
            <v>19-32</v>
          </cell>
          <cell r="J816" t="str">
            <v>235</v>
          </cell>
          <cell r="K816" t="str">
            <v/>
          </cell>
          <cell r="L816" t="str">
            <v>233</v>
          </cell>
          <cell r="M816" t="str">
            <v>JMAS: w naprawie</v>
          </cell>
          <cell r="N816" t="str">
            <v/>
          </cell>
        </row>
        <row r="817">
          <cell r="A817" t="str">
            <v>STACJA ROBOCZA</v>
          </cell>
          <cell r="B817" t="str">
            <v>COMPAQ DESKPRO EXD PIII 733</v>
          </cell>
          <cell r="C817" t="str">
            <v>491-4434</v>
          </cell>
          <cell r="D817" t="str">
            <v>8036FR4Z3891</v>
          </cell>
          <cell r="E817" t="str">
            <v xml:space="preserve">RH </v>
          </cell>
          <cell r="F817" t="str">
            <v xml:space="preserve">PILŚNIAK                 EDWARD         </v>
          </cell>
          <cell r="G817" t="str">
            <v>U-2</v>
          </cell>
          <cell r="H817" t="str">
            <v>120</v>
          </cell>
          <cell r="I817" t="str">
            <v>18-95</v>
          </cell>
          <cell r="J817" t="str">
            <v>701</v>
          </cell>
          <cell r="K817" t="str">
            <v>491-04434</v>
          </cell>
          <cell r="L817" t="str">
            <v>733</v>
          </cell>
          <cell r="M817" t="str">
            <v/>
          </cell>
          <cell r="N817" t="str">
            <v>127</v>
          </cell>
        </row>
        <row r="818">
          <cell r="A818" t="str">
            <v>NOTEBOOK</v>
          </cell>
          <cell r="B818" t="str">
            <v>DELL Latitude C640</v>
          </cell>
          <cell r="C818" t="str">
            <v>491-5068</v>
          </cell>
          <cell r="D818" t="str">
            <v>C5RGL0J</v>
          </cell>
          <cell r="E818" t="str">
            <v xml:space="preserve">RH </v>
          </cell>
          <cell r="F818" t="str">
            <v xml:space="preserve">CIĄŻYŃSKI                ARKADIUSZ      </v>
          </cell>
          <cell r="G818" t="str">
            <v>U-2/3</v>
          </cell>
          <cell r="H818" t="str">
            <v>310</v>
          </cell>
          <cell r="I818" t="str">
            <v>22-71</v>
          </cell>
          <cell r="J818" t="str">
            <v>138</v>
          </cell>
          <cell r="K818" t="str">
            <v>491-05068</v>
          </cell>
          <cell r="L818" t="str">
            <v>1200</v>
          </cell>
          <cell r="M818" t="str">
            <v/>
          </cell>
          <cell r="N818" t="str">
            <v>256</v>
          </cell>
        </row>
        <row r="819">
          <cell r="A819" t="str">
            <v>STACJA ROBOCZA</v>
          </cell>
          <cell r="B819" t="str">
            <v>DELL Optiplex GX1L 266</v>
          </cell>
          <cell r="C819" t="str">
            <v>491-3320</v>
          </cell>
          <cell r="D819" t="str">
            <v>NM18B</v>
          </cell>
          <cell r="E819" t="str">
            <v xml:space="preserve">RH </v>
          </cell>
          <cell r="F819" t="str">
            <v xml:space="preserve">GROCHOCKI                DARIUSZ        </v>
          </cell>
          <cell r="G819" t="str">
            <v>U-12</v>
          </cell>
          <cell r="H819" t="str">
            <v>226</v>
          </cell>
          <cell r="I819" t="str">
            <v>19-32</v>
          </cell>
          <cell r="J819" t="str">
            <v>235</v>
          </cell>
          <cell r="K819" t="str">
            <v>491-03320</v>
          </cell>
          <cell r="L819" t="str">
            <v>266</v>
          </cell>
          <cell r="M819" t="str">
            <v>OK56M</v>
          </cell>
          <cell r="N819" t="str">
            <v>128</v>
          </cell>
        </row>
        <row r="820">
          <cell r="A820" t="str">
            <v>STACJA ROBOCZA</v>
          </cell>
          <cell r="B820" t="str">
            <v>KOMPUTER PC/AT</v>
          </cell>
          <cell r="C820" t="str">
            <v>491-1620/K020</v>
          </cell>
          <cell r="D820" t="str">
            <v>0B23A</v>
          </cell>
          <cell r="E820" t="str">
            <v xml:space="preserve">RH </v>
          </cell>
          <cell r="F820" t="str">
            <v xml:space="preserve">CIĄŻYŃSKI                ARKADIUSZ      </v>
          </cell>
          <cell r="G820" t="str">
            <v>U-2/3</v>
          </cell>
          <cell r="H820" t="str">
            <v>310</v>
          </cell>
          <cell r="I820" t="str">
            <v>22-71</v>
          </cell>
          <cell r="J820" t="str">
            <v>138</v>
          </cell>
          <cell r="K820" t="str">
            <v>491-01620-K020</v>
          </cell>
          <cell r="L820" t="str">
            <v>600</v>
          </cell>
          <cell r="M820" t="str">
            <v/>
          </cell>
          <cell r="N820" t="str">
            <v>384</v>
          </cell>
        </row>
        <row r="821">
          <cell r="A821" t="str">
            <v>NOTEBOOK</v>
          </cell>
          <cell r="B821" t="str">
            <v>DELL Latitude C640</v>
          </cell>
          <cell r="C821" t="str">
            <v>491-5067</v>
          </cell>
          <cell r="D821" t="str">
            <v>C4RGL0J</v>
          </cell>
          <cell r="E821" t="str">
            <v xml:space="preserve">RI </v>
          </cell>
          <cell r="F821" t="str">
            <v xml:space="preserve">JUSZCZYK                 JAN            </v>
          </cell>
          <cell r="G821" t="str">
            <v>D-5</v>
          </cell>
          <cell r="H821" t="str">
            <v>D5</v>
          </cell>
          <cell r="I821" t="str">
            <v>18-53</v>
          </cell>
          <cell r="J821" t="str">
            <v>323</v>
          </cell>
          <cell r="K821" t="str">
            <v>491-5067</v>
          </cell>
          <cell r="L821" t="str">
            <v>1200</v>
          </cell>
          <cell r="M821" t="str">
            <v/>
          </cell>
          <cell r="N821" t="str">
            <v/>
          </cell>
        </row>
        <row r="822">
          <cell r="A822" t="str">
            <v>STACJA ROBOCZA</v>
          </cell>
          <cell r="B822" t="str">
            <v>DELL Optiplex GX1L 266</v>
          </cell>
          <cell r="C822" t="str">
            <v>491-3412</v>
          </cell>
          <cell r="D822" t="str">
            <v>NM1D5</v>
          </cell>
          <cell r="E822" t="str">
            <v xml:space="preserve">RI </v>
          </cell>
          <cell r="F822" t="str">
            <v xml:space="preserve">DERLATKA                 MARZENA        </v>
          </cell>
          <cell r="G822" t="str">
            <v>U-2</v>
          </cell>
          <cell r="H822" t="str">
            <v>119</v>
          </cell>
          <cell r="I822" t="str">
            <v>18-60</v>
          </cell>
          <cell r="J822" t="str">
            <v>2681</v>
          </cell>
          <cell r="K822" t="str">
            <v>491-03412</v>
          </cell>
          <cell r="L822" t="str">
            <v>266</v>
          </cell>
          <cell r="M822" t="str">
            <v/>
          </cell>
          <cell r="N822" t="str">
            <v>64</v>
          </cell>
        </row>
        <row r="823">
          <cell r="A823" t="str">
            <v>STACJA ROBOCZA</v>
          </cell>
          <cell r="B823" t="str">
            <v>DELL Optiplex GX260 SD</v>
          </cell>
          <cell r="C823" t="str">
            <v>491-5052</v>
          </cell>
          <cell r="D823" t="str">
            <v>9K2GL0J</v>
          </cell>
          <cell r="E823" t="str">
            <v xml:space="preserve">RI </v>
          </cell>
          <cell r="F823" t="str">
            <v xml:space="preserve">ŚLUSARZ                  DARIUSZ        </v>
          </cell>
          <cell r="G823" t="str">
            <v>U-2</v>
          </cell>
          <cell r="H823" t="str">
            <v>107</v>
          </cell>
          <cell r="I823" t="str">
            <v>16-83</v>
          </cell>
          <cell r="J823" t="str">
            <v>971</v>
          </cell>
          <cell r="K823" t="str">
            <v>491-05052</v>
          </cell>
          <cell r="L823" t="str">
            <v>2400</v>
          </cell>
          <cell r="M823" t="str">
            <v/>
          </cell>
          <cell r="N823" t="str">
            <v>254</v>
          </cell>
        </row>
        <row r="824">
          <cell r="A824" t="str">
            <v>STACJA ROBOCZA</v>
          </cell>
          <cell r="B824" t="str">
            <v>DELL Optiplex GX150</v>
          </cell>
          <cell r="C824" t="str">
            <v>491-4883</v>
          </cell>
          <cell r="D824" t="str">
            <v>JMVX60J</v>
          </cell>
          <cell r="E824" t="str">
            <v xml:space="preserve">RI </v>
          </cell>
          <cell r="F824" t="str">
            <v xml:space="preserve">SZYMCZYK                 WŁADYSŁAW      </v>
          </cell>
          <cell r="G824" t="str">
            <v>U-38</v>
          </cell>
          <cell r="H824" t="str">
            <v>1</v>
          </cell>
          <cell r="I824" t="str">
            <v>18-76</v>
          </cell>
          <cell r="J824" t="str">
            <v>904</v>
          </cell>
          <cell r="K824" t="str">
            <v>491-04883</v>
          </cell>
          <cell r="L824" t="str">
            <v>1000</v>
          </cell>
          <cell r="M824" t="str">
            <v/>
          </cell>
          <cell r="N824" t="str">
            <v>255</v>
          </cell>
        </row>
        <row r="825">
          <cell r="A825" t="str">
            <v>STACJA ROBOCZA</v>
          </cell>
          <cell r="B825" t="str">
            <v>NEC Direction Minitower P III 450</v>
          </cell>
          <cell r="C825" t="str">
            <v>491-3886</v>
          </cell>
          <cell r="D825" t="str">
            <v>0990099</v>
          </cell>
          <cell r="E825" t="str">
            <v xml:space="preserve">RI </v>
          </cell>
          <cell r="F825" t="str">
            <v xml:space="preserve">FRANCZYK                 JANUSZ         </v>
          </cell>
          <cell r="G825" t="str">
            <v>U-2</v>
          </cell>
          <cell r="H825" t="str">
            <v>119</v>
          </cell>
          <cell r="I825" t="str">
            <v>13-37</v>
          </cell>
          <cell r="J825" t="str">
            <v>185</v>
          </cell>
          <cell r="K825" t="str">
            <v>491-03886</v>
          </cell>
          <cell r="L825" t="str">
            <v>450</v>
          </cell>
          <cell r="M825" t="str">
            <v/>
          </cell>
          <cell r="N825" t="str">
            <v>64</v>
          </cell>
        </row>
        <row r="826">
          <cell r="A826" t="str">
            <v>STACJA ROBOCZA</v>
          </cell>
          <cell r="B826" t="str">
            <v>DELL Optiplex GX1L 266</v>
          </cell>
          <cell r="C826" t="str">
            <v>491-3415</v>
          </cell>
          <cell r="D826" t="str">
            <v>NM1D9</v>
          </cell>
          <cell r="E826" t="str">
            <v xml:space="preserve">RI </v>
          </cell>
          <cell r="F826" t="str">
            <v xml:space="preserve">ŚLUSARCZYK               KRYSTYNA       </v>
          </cell>
          <cell r="G826" t="str">
            <v>P-55</v>
          </cell>
          <cell r="H826" t="str">
            <v>NARZĘDZIOWNIA</v>
          </cell>
          <cell r="I826" t="str">
            <v>16-94</v>
          </cell>
          <cell r="J826" t="str">
            <v>2304</v>
          </cell>
          <cell r="K826" t="str">
            <v>491-03415</v>
          </cell>
          <cell r="L826" t="str">
            <v>266</v>
          </cell>
          <cell r="M826" t="str">
            <v/>
          </cell>
          <cell r="N826" t="str">
            <v>96</v>
          </cell>
        </row>
        <row r="827">
          <cell r="A827" t="str">
            <v>STACJA ROBOCZA</v>
          </cell>
          <cell r="B827" t="str">
            <v>DELL Optiplex GX150</v>
          </cell>
          <cell r="C827" t="str">
            <v>491-4884</v>
          </cell>
          <cell r="D827" t="str">
            <v>8QRX60J</v>
          </cell>
          <cell r="E827" t="str">
            <v xml:space="preserve">RI </v>
          </cell>
          <cell r="F827" t="str">
            <v xml:space="preserve">JUSZCZYK                 JAN            </v>
          </cell>
          <cell r="G827" t="str">
            <v>D-5</v>
          </cell>
          <cell r="H827" t="str">
            <v>D5</v>
          </cell>
          <cell r="I827" t="str">
            <v>18-53</v>
          </cell>
          <cell r="J827" t="str">
            <v>323</v>
          </cell>
          <cell r="K827" t="str">
            <v>491-04884</v>
          </cell>
          <cell r="L827" t="str">
            <v>1000</v>
          </cell>
          <cell r="M827" t="str">
            <v/>
          </cell>
          <cell r="N827" t="str">
            <v>255</v>
          </cell>
        </row>
        <row r="828">
          <cell r="A828" t="str">
            <v>STACJA ROBOCZA</v>
          </cell>
          <cell r="B828" t="str">
            <v>NEC PowerMate VT Destop P III 450</v>
          </cell>
          <cell r="C828" t="str">
            <v>491-4041</v>
          </cell>
          <cell r="D828" t="str">
            <v>0216109</v>
          </cell>
          <cell r="E828" t="str">
            <v xml:space="preserve">RI </v>
          </cell>
          <cell r="F828" t="str">
            <v xml:space="preserve">PALUTKIEWICZ             ZBIGNIEW       </v>
          </cell>
          <cell r="G828" t="str">
            <v>P-46</v>
          </cell>
          <cell r="H828" t="str">
            <v>1</v>
          </cell>
          <cell r="I828" t="str">
            <v>20-53</v>
          </cell>
          <cell r="J828" t="str">
            <v>799</v>
          </cell>
          <cell r="K828" t="str">
            <v>491-04041</v>
          </cell>
          <cell r="L828" t="str">
            <v>450</v>
          </cell>
          <cell r="M828" t="str">
            <v/>
          </cell>
          <cell r="N828" t="str">
            <v>64</v>
          </cell>
        </row>
        <row r="829">
          <cell r="A829" t="str">
            <v>STACJA ROBOCZA</v>
          </cell>
          <cell r="B829" t="str">
            <v>DELL Optiplex GX150</v>
          </cell>
          <cell r="C829" t="str">
            <v>491-4885</v>
          </cell>
          <cell r="D829" t="str">
            <v>4LRX60J</v>
          </cell>
          <cell r="E829" t="str">
            <v xml:space="preserve">RI </v>
          </cell>
          <cell r="F829" t="str">
            <v xml:space="preserve">PAWŁOWSKA                EDYTA          </v>
          </cell>
          <cell r="G829" t="str">
            <v>U-2</v>
          </cell>
          <cell r="H829" t="str">
            <v>119</v>
          </cell>
          <cell r="I829" t="str">
            <v>18-60</v>
          </cell>
          <cell r="J829" t="str">
            <v>968</v>
          </cell>
          <cell r="K829" t="str">
            <v>491-04885</v>
          </cell>
          <cell r="L829" t="str">
            <v>1000</v>
          </cell>
          <cell r="M829" t="str">
            <v/>
          </cell>
          <cell r="N829" t="str">
            <v>255</v>
          </cell>
        </row>
        <row r="830">
          <cell r="A830" t="str">
            <v>STACJA ROBOCZA</v>
          </cell>
          <cell r="B830" t="str">
            <v>ZENITH Z STATION P166</v>
          </cell>
          <cell r="C830" t="str">
            <v>491-2990</v>
          </cell>
          <cell r="D830" t="str">
            <v>GVDD72904643</v>
          </cell>
          <cell r="E830" t="str">
            <v xml:space="preserve">RI </v>
          </cell>
          <cell r="F830" t="str">
            <v xml:space="preserve">GŁĄB                     WIKTOR         </v>
          </cell>
          <cell r="G830" t="str">
            <v>U-38</v>
          </cell>
          <cell r="H830" t="str">
            <v>1</v>
          </cell>
          <cell r="I830" t="str">
            <v>18-52</v>
          </cell>
          <cell r="J830" t="str">
            <v>221</v>
          </cell>
          <cell r="K830" t="str">
            <v/>
          </cell>
          <cell r="L830" t="str">
            <v>166</v>
          </cell>
          <cell r="M830" t="str">
            <v>W NAPRAWIE</v>
          </cell>
          <cell r="N830" t="str">
            <v>80</v>
          </cell>
        </row>
        <row r="831">
          <cell r="A831" t="str">
            <v>STACJA ROBOCZA</v>
          </cell>
          <cell r="B831" t="str">
            <v>NEC PMVT Desktop P III 450</v>
          </cell>
          <cell r="C831" t="str">
            <v>491-3815</v>
          </cell>
          <cell r="D831" t="str">
            <v>0228109</v>
          </cell>
          <cell r="E831" t="str">
            <v xml:space="preserve">RI </v>
          </cell>
          <cell r="F831" t="str">
            <v xml:space="preserve">MARCINKOWSKI             EDWARD         </v>
          </cell>
          <cell r="G831" t="str">
            <v>PYLON VI</v>
          </cell>
          <cell r="H831" t="str">
            <v>1</v>
          </cell>
          <cell r="I831" t="str">
            <v>16-92</v>
          </cell>
          <cell r="J831" t="str">
            <v>615</v>
          </cell>
          <cell r="K831" t="str">
            <v>491-03815</v>
          </cell>
          <cell r="L831" t="str">
            <v>450</v>
          </cell>
          <cell r="M831" t="str">
            <v/>
          </cell>
          <cell r="N831" t="str">
            <v>192</v>
          </cell>
        </row>
        <row r="832">
          <cell r="A832" t="str">
            <v>STACJA ROBOCZA</v>
          </cell>
          <cell r="B832" t="str">
            <v>DELL Optiplex GX1L 350</v>
          </cell>
          <cell r="C832" t="str">
            <v>491-3528</v>
          </cell>
          <cell r="D832" t="str">
            <v>PKGPF</v>
          </cell>
          <cell r="E832" t="str">
            <v xml:space="preserve">RI </v>
          </cell>
          <cell r="F832" t="str">
            <v xml:space="preserve">PAWLAK                   ADAM           </v>
          </cell>
          <cell r="G832" t="str">
            <v>U-2</v>
          </cell>
          <cell r="H832" t="str">
            <v>118</v>
          </cell>
          <cell r="I832" t="str">
            <v>18-64</v>
          </cell>
          <cell r="J832" t="str">
            <v>737</v>
          </cell>
          <cell r="K832" t="str">
            <v>491-03528</v>
          </cell>
          <cell r="L832" t="str">
            <v>350</v>
          </cell>
          <cell r="M832" t="str">
            <v/>
          </cell>
          <cell r="N832" t="str">
            <v>64</v>
          </cell>
        </row>
        <row r="833">
          <cell r="A833" t="str">
            <v>STACJA ROBOCZA</v>
          </cell>
          <cell r="B833" t="str">
            <v>COMPAQ DESKPRO EXD PIII 733</v>
          </cell>
          <cell r="C833" t="str">
            <v>491-4432</v>
          </cell>
          <cell r="D833" t="str">
            <v>8036FR4Z6647</v>
          </cell>
          <cell r="E833" t="str">
            <v xml:space="preserve">RI </v>
          </cell>
          <cell r="F833" t="str">
            <v xml:space="preserve">GŁĄB                     WIKTOR         </v>
          </cell>
          <cell r="G833" t="str">
            <v>U-38</v>
          </cell>
          <cell r="H833" t="str">
            <v>1</v>
          </cell>
          <cell r="I833" t="str">
            <v>18-52</v>
          </cell>
          <cell r="J833" t="str">
            <v>221</v>
          </cell>
          <cell r="K833" t="str">
            <v>491-04432</v>
          </cell>
          <cell r="L833" t="str">
            <v>733</v>
          </cell>
          <cell r="M833" t="str">
            <v/>
          </cell>
          <cell r="N833" t="str">
            <v>127</v>
          </cell>
        </row>
        <row r="834">
          <cell r="A834" t="str">
            <v>STACJA ROBOCZA</v>
          </cell>
          <cell r="B834" t="str">
            <v>NEC PowerMate VT Destop P III 450</v>
          </cell>
          <cell r="C834" t="str">
            <v>491-4010</v>
          </cell>
          <cell r="D834" t="str">
            <v>0308109</v>
          </cell>
          <cell r="E834" t="str">
            <v xml:space="preserve">RI </v>
          </cell>
          <cell r="F834" t="str">
            <v xml:space="preserve">GOLEC                    ANDRZEJ        </v>
          </cell>
          <cell r="G834" t="str">
            <v>U-2</v>
          </cell>
          <cell r="H834" t="str">
            <v>107</v>
          </cell>
          <cell r="I834" t="str">
            <v>10-47</v>
          </cell>
          <cell r="J834" t="str">
            <v>245</v>
          </cell>
          <cell r="K834" t="str">
            <v>491-04010</v>
          </cell>
          <cell r="L834" t="str">
            <v>450</v>
          </cell>
          <cell r="M834" t="str">
            <v/>
          </cell>
          <cell r="N834" t="str">
            <v>64</v>
          </cell>
        </row>
        <row r="835">
          <cell r="A835" t="str">
            <v>STACJA ROBOCZA</v>
          </cell>
          <cell r="B835" t="str">
            <v>KOMPUTER PC/AT</v>
          </cell>
          <cell r="C835" t="str">
            <v>491-1620/1512</v>
          </cell>
          <cell r="D835" t="str">
            <v>592120</v>
          </cell>
          <cell r="E835" t="str">
            <v xml:space="preserve">RI </v>
          </cell>
          <cell r="F835" t="str">
            <v xml:space="preserve">PAWŁOWSKI                ANDRZEJ        </v>
          </cell>
          <cell r="G835" t="str">
            <v>D-5</v>
          </cell>
          <cell r="H835" t="str">
            <v>D5</v>
          </cell>
          <cell r="I835" t="str">
            <v>26-40</v>
          </cell>
          <cell r="J835" t="str">
            <v>2261</v>
          </cell>
          <cell r="K835" t="str">
            <v>491_1512</v>
          </cell>
          <cell r="L835" t="str">
            <v>0</v>
          </cell>
          <cell r="M835" t="str">
            <v>BEZ SIECI</v>
          </cell>
          <cell r="N835" t="str">
            <v/>
          </cell>
        </row>
        <row r="836">
          <cell r="A836" t="str">
            <v>STACJA ROBOCZA</v>
          </cell>
          <cell r="B836" t="str">
            <v>KOMPUTER PC/AT</v>
          </cell>
          <cell r="C836" t="str">
            <v>491-1620/1677</v>
          </cell>
          <cell r="D836" t="str">
            <v>238105</v>
          </cell>
          <cell r="E836" t="str">
            <v xml:space="preserve">RI </v>
          </cell>
          <cell r="F836" t="str">
            <v xml:space="preserve">WORPUS                   KRZYSZTOF      </v>
          </cell>
          <cell r="G836" t="str">
            <v>U-51</v>
          </cell>
          <cell r="H836" t="str">
            <v>1</v>
          </cell>
          <cell r="I836" t="str">
            <v>23-87</v>
          </cell>
          <cell r="J836" t="str">
            <v>2022</v>
          </cell>
          <cell r="K836" t="str">
            <v>491-01620-1677</v>
          </cell>
          <cell r="L836" t="str">
            <v>450</v>
          </cell>
          <cell r="M836" t="str">
            <v/>
          </cell>
          <cell r="N836" t="str">
            <v>192</v>
          </cell>
        </row>
        <row r="837">
          <cell r="A837" t="str">
            <v>STACJA ROBOCZA</v>
          </cell>
          <cell r="B837" t="str">
            <v>NEC PMVT Desktop P III 450</v>
          </cell>
          <cell r="C837" t="str">
            <v>491-3813</v>
          </cell>
          <cell r="D837" t="str">
            <v>0186109</v>
          </cell>
          <cell r="E837" t="str">
            <v xml:space="preserve">RI </v>
          </cell>
          <cell r="F837" t="str">
            <v xml:space="preserve">ROZWADOWSKI              IZYDOR         </v>
          </cell>
          <cell r="G837" t="str">
            <v>D-2</v>
          </cell>
          <cell r="H837" t="str">
            <v>1</v>
          </cell>
          <cell r="I837" t="str">
            <v>19-68</v>
          </cell>
          <cell r="J837" t="str">
            <v>845</v>
          </cell>
          <cell r="K837" t="str">
            <v>491-03813</v>
          </cell>
          <cell r="L837" t="str">
            <v>450</v>
          </cell>
          <cell r="M837" t="str">
            <v/>
          </cell>
          <cell r="N837" t="str">
            <v>64</v>
          </cell>
        </row>
        <row r="838">
          <cell r="A838" t="str">
            <v>STACJA ROBOCZA</v>
          </cell>
          <cell r="B838" t="str">
            <v>COMPAQ DESKPRO EXD PIII 733</v>
          </cell>
          <cell r="C838" t="str">
            <v>491-4509</v>
          </cell>
          <cell r="D838" t="str">
            <v>8036FR4ZE246</v>
          </cell>
          <cell r="E838" t="str">
            <v xml:space="preserve">RI </v>
          </cell>
          <cell r="F838" t="str">
            <v xml:space="preserve">BIENIEK                  JERZY          </v>
          </cell>
          <cell r="G838" t="str">
            <v>U-51</v>
          </cell>
          <cell r="H838" t="str">
            <v>1</v>
          </cell>
          <cell r="I838" t="str">
            <v>16-93</v>
          </cell>
          <cell r="J838" t="str">
            <v>72</v>
          </cell>
          <cell r="K838" t="str">
            <v>491-04509</v>
          </cell>
          <cell r="L838" t="str">
            <v>733</v>
          </cell>
          <cell r="M838" t="str">
            <v/>
          </cell>
          <cell r="N838" t="str">
            <v>127</v>
          </cell>
        </row>
        <row r="839">
          <cell r="A839" t="str">
            <v>STACJA ROBOCZA</v>
          </cell>
          <cell r="B839" t="str">
            <v>NEC Direction Minitower P III 450</v>
          </cell>
          <cell r="C839" t="str">
            <v>491-3759</v>
          </cell>
          <cell r="D839" t="str">
            <v>0158109</v>
          </cell>
          <cell r="E839" t="str">
            <v xml:space="preserve">RK </v>
          </cell>
          <cell r="F839" t="str">
            <v xml:space="preserve">KŁYSIK                   DARIUSZ        </v>
          </cell>
          <cell r="G839" t="str">
            <v>K1/17M</v>
          </cell>
          <cell r="H839" t="str">
            <v>4</v>
          </cell>
          <cell r="I839" t="str">
            <v>21-11</v>
          </cell>
          <cell r="J839" t="str">
            <v>3330</v>
          </cell>
          <cell r="K839" t="str">
            <v>491-03759</v>
          </cell>
          <cell r="L839" t="str">
            <v>450</v>
          </cell>
          <cell r="M839" t="str">
            <v/>
          </cell>
          <cell r="N839" t="str">
            <v>128</v>
          </cell>
        </row>
        <row r="840">
          <cell r="A840" t="str">
            <v>STACJA ROBOCZA</v>
          </cell>
          <cell r="B840" t="str">
            <v>COMPAQ DESKPRO EXD PIII 733</v>
          </cell>
          <cell r="C840" t="str">
            <v>491-4472</v>
          </cell>
          <cell r="D840" t="str">
            <v>8036FR4ZE398</v>
          </cell>
          <cell r="E840" t="str">
            <v xml:space="preserve">RK </v>
          </cell>
          <cell r="F840" t="str">
            <v xml:space="preserve">MAJDAN                   HENRYK         </v>
          </cell>
          <cell r="G840" t="str">
            <v>K2/17M</v>
          </cell>
          <cell r="H840" t="str">
            <v>POZ+17M</v>
          </cell>
          <cell r="I840" t="str">
            <v>16-69</v>
          </cell>
          <cell r="J840" t="str">
            <v>616</v>
          </cell>
          <cell r="K840" t="str">
            <v>491-04472</v>
          </cell>
          <cell r="L840" t="str">
            <v>733</v>
          </cell>
          <cell r="M840" t="str">
            <v/>
          </cell>
          <cell r="N840" t="str">
            <v>127</v>
          </cell>
        </row>
        <row r="841">
          <cell r="A841" t="str">
            <v>STACJA ROBOCZA</v>
          </cell>
          <cell r="B841" t="str">
            <v>DELL Optiplex GX1MT 350</v>
          </cell>
          <cell r="C841" t="str">
            <v>491-3493</v>
          </cell>
          <cell r="D841" t="str">
            <v>PKN4X</v>
          </cell>
          <cell r="E841" t="str">
            <v xml:space="preserve">RK </v>
          </cell>
          <cell r="F841" t="str">
            <v xml:space="preserve">MOTYKA                   ZBIGNIEW       </v>
          </cell>
          <cell r="G841" t="str">
            <v>K2/17M</v>
          </cell>
          <cell r="H841" t="str">
            <v>POZ+17M</v>
          </cell>
          <cell r="I841" t="str">
            <v>19-13</v>
          </cell>
          <cell r="J841" t="str">
            <v>5669</v>
          </cell>
          <cell r="K841" t="str">
            <v>491-03493</v>
          </cell>
          <cell r="L841" t="str">
            <v>350</v>
          </cell>
          <cell r="M841" t="str">
            <v/>
          </cell>
          <cell r="N841" t="str">
            <v>64</v>
          </cell>
        </row>
        <row r="842">
          <cell r="A842" t="str">
            <v>STACJA ROBOCZA</v>
          </cell>
          <cell r="B842" t="str">
            <v>KOMPUTER 386SX</v>
          </cell>
          <cell r="C842" t="str">
            <v>491-1825</v>
          </cell>
          <cell r="D842" t="str">
            <v>1688/019030</v>
          </cell>
          <cell r="E842" t="str">
            <v xml:space="preserve">RK </v>
          </cell>
          <cell r="F842" t="str">
            <v xml:space="preserve">DOBOSZ                   TADEUSZ        </v>
          </cell>
          <cell r="G842" t="str">
            <v>K7/17M</v>
          </cell>
          <cell r="H842" t="str">
            <v>POZ+17M</v>
          </cell>
          <cell r="I842" t="str">
            <v>16-48</v>
          </cell>
          <cell r="J842" t="str">
            <v>183</v>
          </cell>
          <cell r="K842" t="str">
            <v>491-01825</v>
          </cell>
          <cell r="L842" t="str">
            <v>366</v>
          </cell>
          <cell r="M842" t="str">
            <v/>
          </cell>
          <cell r="N842" t="str">
            <v>64</v>
          </cell>
        </row>
        <row r="843">
          <cell r="A843" t="str">
            <v>STACJA ROBOCZA</v>
          </cell>
          <cell r="B843" t="str">
            <v>COMPAQ DESKPRO EXD PIII 733</v>
          </cell>
          <cell r="C843" t="str">
            <v>491-4308</v>
          </cell>
          <cell r="D843" t="str">
            <v>8036FR4Z3820</v>
          </cell>
          <cell r="E843" t="str">
            <v xml:space="preserve">RK </v>
          </cell>
          <cell r="F843" t="str">
            <v xml:space="preserve">SOŁDON                   TOMASZ         </v>
          </cell>
          <cell r="G843" t="str">
            <v>U-2</v>
          </cell>
          <cell r="H843" t="str">
            <v>221</v>
          </cell>
          <cell r="I843" t="str">
            <v>16-02</v>
          </cell>
          <cell r="J843" t="str">
            <v>977</v>
          </cell>
          <cell r="K843" t="str">
            <v>491-04308</v>
          </cell>
          <cell r="L843" t="str">
            <v>733</v>
          </cell>
          <cell r="M843" t="str">
            <v/>
          </cell>
          <cell r="N843" t="str">
            <v>127</v>
          </cell>
        </row>
        <row r="844">
          <cell r="A844" t="str">
            <v>STACJA ROBOCZA</v>
          </cell>
          <cell r="B844" t="str">
            <v>DELL Optiplex GX260 SD</v>
          </cell>
          <cell r="C844" t="str">
            <v>491-5112</v>
          </cell>
          <cell r="D844" t="str">
            <v>HJYGL0J</v>
          </cell>
          <cell r="E844" t="str">
            <v xml:space="preserve">RK </v>
          </cell>
          <cell r="F844" t="str">
            <v xml:space="preserve">KRAJDA                   KRZYSZTOF      </v>
          </cell>
          <cell r="G844" t="str">
            <v>U-2</v>
          </cell>
          <cell r="H844" t="str">
            <v>205</v>
          </cell>
          <cell r="I844" t="str">
            <v>27-35</v>
          </cell>
          <cell r="J844" t="str">
            <v>4347</v>
          </cell>
          <cell r="K844" t="str">
            <v>491-05112</v>
          </cell>
          <cell r="L844" t="str">
            <v>2400</v>
          </cell>
          <cell r="M844" t="str">
            <v/>
          </cell>
          <cell r="N844" t="str">
            <v>254</v>
          </cell>
        </row>
        <row r="845">
          <cell r="A845" t="str">
            <v>STACJA ROBOCZA</v>
          </cell>
          <cell r="B845" t="str">
            <v>DELL Optiplex GX1L 266</v>
          </cell>
          <cell r="C845" t="str">
            <v>491-3267</v>
          </cell>
          <cell r="D845" t="str">
            <v>NM15T</v>
          </cell>
          <cell r="E845" t="str">
            <v xml:space="preserve">RK </v>
          </cell>
          <cell r="F845" t="str">
            <v xml:space="preserve">KSIĄŻEK                  DANUTA         </v>
          </cell>
          <cell r="G845" t="str">
            <v>U-2</v>
          </cell>
          <cell r="H845" t="str">
            <v>205A</v>
          </cell>
          <cell r="I845" t="str">
            <v>28-28</v>
          </cell>
          <cell r="J845" t="str">
            <v>390</v>
          </cell>
          <cell r="K845" t="str">
            <v>491-03267</v>
          </cell>
          <cell r="L845" t="str">
            <v>266</v>
          </cell>
          <cell r="M845" t="str">
            <v/>
          </cell>
          <cell r="N845" t="str">
            <v>160</v>
          </cell>
        </row>
        <row r="846">
          <cell r="A846" t="str">
            <v>STACJA ROBOCZA</v>
          </cell>
          <cell r="B846" t="str">
            <v>DELL Optiplex GX1M 350</v>
          </cell>
          <cell r="C846" t="str">
            <v>491-3557</v>
          </cell>
          <cell r="D846" t="str">
            <v>PKGZO</v>
          </cell>
          <cell r="E846" t="str">
            <v xml:space="preserve">RK </v>
          </cell>
          <cell r="F846" t="str">
            <v xml:space="preserve">PŁAZA                    GRAŻYNA        </v>
          </cell>
          <cell r="G846" t="str">
            <v>U-2</v>
          </cell>
          <cell r="H846" t="str">
            <v>221A</v>
          </cell>
          <cell r="I846" t="str">
            <v>16-76</v>
          </cell>
          <cell r="J846" t="str">
            <v>717</v>
          </cell>
          <cell r="K846" t="str">
            <v>491-03557</v>
          </cell>
          <cell r="L846" t="str">
            <v>350</v>
          </cell>
          <cell r="M846" t="str">
            <v/>
          </cell>
          <cell r="N846" t="str">
            <v>64</v>
          </cell>
        </row>
        <row r="847">
          <cell r="A847" t="str">
            <v>STACJA ROBOCZA</v>
          </cell>
          <cell r="B847" t="str">
            <v>DELL Optiplex GX1L 266</v>
          </cell>
          <cell r="C847" t="str">
            <v>491-3381</v>
          </cell>
          <cell r="D847" t="str">
            <v>NM1CN</v>
          </cell>
          <cell r="E847" t="str">
            <v xml:space="preserve">RK </v>
          </cell>
          <cell r="F847" t="str">
            <v xml:space="preserve">OLENDER                  ANNA           </v>
          </cell>
          <cell r="G847" t="str">
            <v>U-2</v>
          </cell>
          <cell r="H847" t="str">
            <v>205A</v>
          </cell>
          <cell r="I847" t="str">
            <v>28-28</v>
          </cell>
          <cell r="J847" t="str">
            <v>699</v>
          </cell>
          <cell r="K847" t="str">
            <v>491-03381</v>
          </cell>
          <cell r="L847" t="str">
            <v>266</v>
          </cell>
          <cell r="M847" t="str">
            <v/>
          </cell>
          <cell r="N847" t="str">
            <v>160</v>
          </cell>
        </row>
        <row r="848">
          <cell r="A848" t="str">
            <v>STACJA ROBOCZA</v>
          </cell>
          <cell r="B848" t="str">
            <v>NEC PowerMate VT Destop P III 450</v>
          </cell>
          <cell r="C848" t="str">
            <v>491-3877</v>
          </cell>
          <cell r="D848" t="str">
            <v>0180109</v>
          </cell>
          <cell r="E848" t="str">
            <v xml:space="preserve">RK </v>
          </cell>
          <cell r="F848" t="str">
            <v xml:space="preserve">GRUSZCZYŃSKI             WOJCIECH       </v>
          </cell>
          <cell r="G848" t="str">
            <v>K1/17M</v>
          </cell>
          <cell r="H848" t="str">
            <v>4</v>
          </cell>
          <cell r="I848" t="str">
            <v>16-53</v>
          </cell>
          <cell r="J848" t="str">
            <v>2428</v>
          </cell>
          <cell r="K848" t="str">
            <v>491-03877</v>
          </cell>
          <cell r="L848" t="str">
            <v>450</v>
          </cell>
          <cell r="M848" t="str">
            <v/>
          </cell>
          <cell r="N848" t="str">
            <v>128</v>
          </cell>
        </row>
        <row r="849">
          <cell r="A849" t="str">
            <v>STACJA ROBOCZA</v>
          </cell>
          <cell r="B849" t="str">
            <v>NEC PowerMate VT Destop P III 450</v>
          </cell>
          <cell r="C849" t="str">
            <v>491-4043</v>
          </cell>
          <cell r="D849" t="str">
            <v>0700109</v>
          </cell>
          <cell r="E849" t="str">
            <v xml:space="preserve">RK </v>
          </cell>
          <cell r="F849" t="str">
            <v xml:space="preserve">SMOLARCZYK               GRZEGORZ       </v>
          </cell>
          <cell r="G849" t="str">
            <v>U-2</v>
          </cell>
          <cell r="H849" t="str">
            <v>220A</v>
          </cell>
          <cell r="I849" t="str">
            <v>16-68</v>
          </cell>
          <cell r="J849" t="str">
            <v>9217</v>
          </cell>
          <cell r="K849" t="str">
            <v>491-04043</v>
          </cell>
          <cell r="L849" t="str">
            <v>450</v>
          </cell>
          <cell r="M849" t="str">
            <v>OK55J</v>
          </cell>
          <cell r="N849" t="str">
            <v>64</v>
          </cell>
        </row>
        <row r="850">
          <cell r="A850" t="str">
            <v>STACJA ROBOCZA</v>
          </cell>
          <cell r="B850" t="str">
            <v>NEC PMVT Desktop P III 450</v>
          </cell>
          <cell r="C850" t="str">
            <v>491-3789</v>
          </cell>
          <cell r="D850" t="str">
            <v>0699109</v>
          </cell>
          <cell r="E850" t="str">
            <v xml:space="preserve">RK </v>
          </cell>
          <cell r="F850" t="str">
            <v xml:space="preserve">SUJEWICZ                 ANTONI         </v>
          </cell>
          <cell r="G850" t="str">
            <v>K10/17M</v>
          </cell>
          <cell r="H850" t="str">
            <v>POZ+17</v>
          </cell>
          <cell r="I850" t="str">
            <v>17-80</v>
          </cell>
          <cell r="J850" t="str">
            <v>955</v>
          </cell>
          <cell r="K850" t="str">
            <v>491-03789</v>
          </cell>
          <cell r="L850" t="str">
            <v>450</v>
          </cell>
          <cell r="M850" t="str">
            <v/>
          </cell>
          <cell r="N850" t="str">
            <v>64</v>
          </cell>
        </row>
        <row r="851">
          <cell r="A851" t="str">
            <v>STACJA ROBOCZA</v>
          </cell>
          <cell r="B851" t="str">
            <v>DELL Optiplex GX1L 266</v>
          </cell>
          <cell r="C851" t="str">
            <v>491-3389</v>
          </cell>
          <cell r="D851" t="str">
            <v>NM1BB</v>
          </cell>
          <cell r="E851" t="str">
            <v xml:space="preserve">RK </v>
          </cell>
          <cell r="F851" t="str">
            <v xml:space="preserve">PAWLAK                   JÓZEF          </v>
          </cell>
          <cell r="G851" t="str">
            <v>K7/17M</v>
          </cell>
          <cell r="H851" t="str">
            <v>POZ+17M</v>
          </cell>
          <cell r="I851" t="str">
            <v>16-52</v>
          </cell>
          <cell r="J851" t="str">
            <v>796</v>
          </cell>
          <cell r="K851" t="str">
            <v>491-03389</v>
          </cell>
          <cell r="L851" t="str">
            <v>266</v>
          </cell>
          <cell r="M851" t="str">
            <v/>
          </cell>
          <cell r="N851" t="str">
            <v>96</v>
          </cell>
        </row>
        <row r="852">
          <cell r="A852" t="str">
            <v>STACJA ROBOCZA</v>
          </cell>
          <cell r="B852" t="str">
            <v>DELL Optiplex GX150</v>
          </cell>
          <cell r="C852" t="str">
            <v>491-4723</v>
          </cell>
          <cell r="D852" t="str">
            <v>4LVX60J</v>
          </cell>
          <cell r="E852" t="str">
            <v xml:space="preserve">RK </v>
          </cell>
          <cell r="F852" t="str">
            <v xml:space="preserve">STOKOWSKI                LESZEK         </v>
          </cell>
          <cell r="G852" t="str">
            <v>K1/17M</v>
          </cell>
          <cell r="H852" t="str">
            <v>3</v>
          </cell>
          <cell r="I852" t="str">
            <v>16-46</v>
          </cell>
          <cell r="J852" t="str">
            <v>879</v>
          </cell>
          <cell r="K852" t="str">
            <v>491-04723</v>
          </cell>
          <cell r="L852" t="str">
            <v>1000</v>
          </cell>
          <cell r="M852" t="str">
            <v/>
          </cell>
          <cell r="N852" t="str">
            <v>255</v>
          </cell>
        </row>
        <row r="853">
          <cell r="A853" t="str">
            <v>STACJA ROBOCZA</v>
          </cell>
          <cell r="B853" t="str">
            <v>NEC PMVT Desktop P III 450</v>
          </cell>
          <cell r="C853" t="str">
            <v>491-3792</v>
          </cell>
          <cell r="D853" t="str">
            <v>0185109</v>
          </cell>
          <cell r="E853" t="str">
            <v xml:space="preserve">RK </v>
          </cell>
          <cell r="F853" t="str">
            <v xml:space="preserve">FUŁAWKA                  WŁADYSŁAW      </v>
          </cell>
          <cell r="G853" t="str">
            <v>PYLON IV</v>
          </cell>
          <cell r="H853" t="str">
            <v>POZ+57M</v>
          </cell>
          <cell r="I853" t="str">
            <v>16-67</v>
          </cell>
          <cell r="J853" t="str">
            <v>199</v>
          </cell>
          <cell r="K853" t="str">
            <v>491-03792</v>
          </cell>
          <cell r="L853" t="str">
            <v>450</v>
          </cell>
          <cell r="M853" t="str">
            <v/>
          </cell>
          <cell r="N853" t="str">
            <v>64</v>
          </cell>
        </row>
        <row r="854">
          <cell r="A854" t="str">
            <v>STACJA ROBOCZA</v>
          </cell>
          <cell r="B854" t="str">
            <v>KOMPUTER 486DX</v>
          </cell>
          <cell r="C854" t="str">
            <v>491-1781</v>
          </cell>
          <cell r="D854" t="str">
            <v>021378/1694</v>
          </cell>
          <cell r="E854" t="str">
            <v xml:space="preserve">RK </v>
          </cell>
          <cell r="F854" t="str">
            <v xml:space="preserve">RŻANEK                   RYSZARD        </v>
          </cell>
          <cell r="G854" t="str">
            <v>K4/17M</v>
          </cell>
          <cell r="H854" t="str">
            <v>POZ+17M</v>
          </cell>
          <cell r="I854" t="str">
            <v>22-76</v>
          </cell>
          <cell r="J854" t="str">
            <v>2804</v>
          </cell>
          <cell r="K854" t="str">
            <v/>
          </cell>
          <cell r="L854" t="str">
            <v>0</v>
          </cell>
          <cell r="M854" t="str">
            <v>na urlopie do 1.59</v>
          </cell>
          <cell r="N854" t="str">
            <v/>
          </cell>
        </row>
        <row r="855">
          <cell r="A855" t="str">
            <v>STACJA ROBOCZA</v>
          </cell>
          <cell r="B855" t="str">
            <v>DELL Optiplex GX260 SD</v>
          </cell>
          <cell r="C855" t="str">
            <v>491-5113</v>
          </cell>
          <cell r="D855" t="str">
            <v>CHYGL0J</v>
          </cell>
          <cell r="E855" t="str">
            <v xml:space="preserve">RK </v>
          </cell>
          <cell r="F855" t="str">
            <v xml:space="preserve">PODMAJSTRZY              JACEK          </v>
          </cell>
          <cell r="G855" t="str">
            <v>U-4/1</v>
          </cell>
          <cell r="H855" t="str">
            <v>13</v>
          </cell>
          <cell r="I855" t="str">
            <v>27-35</v>
          </cell>
          <cell r="J855" t="str">
            <v>9622</v>
          </cell>
          <cell r="K855" t="str">
            <v>491-05113</v>
          </cell>
          <cell r="L855" t="str">
            <v>2400</v>
          </cell>
          <cell r="M855" t="str">
            <v/>
          </cell>
          <cell r="N855" t="str">
            <v>254</v>
          </cell>
        </row>
        <row r="856">
          <cell r="A856" t="str">
            <v>STACJA ROBOCZA</v>
          </cell>
          <cell r="B856" t="str">
            <v>DELL Optiplex GX260 SD</v>
          </cell>
          <cell r="C856" t="str">
            <v>491-5114</v>
          </cell>
          <cell r="D856" t="str">
            <v>1KYGL0J</v>
          </cell>
          <cell r="E856" t="str">
            <v xml:space="preserve">RK </v>
          </cell>
          <cell r="F856" t="str">
            <v xml:space="preserve">MICHALAK                 SYLWESTER      </v>
          </cell>
          <cell r="G856" t="str">
            <v>U-2</v>
          </cell>
          <cell r="H856" t="str">
            <v>205</v>
          </cell>
          <cell r="I856" t="str">
            <v>40-89</v>
          </cell>
          <cell r="J856" t="str">
            <v>9381</v>
          </cell>
          <cell r="K856" t="str">
            <v>491-05114</v>
          </cell>
          <cell r="L856" t="str">
            <v>2400</v>
          </cell>
          <cell r="M856" t="str">
            <v/>
          </cell>
          <cell r="N856" t="str">
            <v>254</v>
          </cell>
        </row>
        <row r="857">
          <cell r="A857" t="str">
            <v>STACJA ROBOCZA</v>
          </cell>
          <cell r="B857" t="str">
            <v>DELL Optiplex GX1L 266</v>
          </cell>
          <cell r="C857" t="str">
            <v>491-3293</v>
          </cell>
          <cell r="D857" t="str">
            <v>NM17W</v>
          </cell>
          <cell r="E857" t="str">
            <v>RK1</v>
          </cell>
          <cell r="F857" t="str">
            <v xml:space="preserve">SZOPA                    WOJCIECH       </v>
          </cell>
          <cell r="G857" t="str">
            <v>K3/17M</v>
          </cell>
          <cell r="H857" t="str">
            <v>POZ+17M</v>
          </cell>
          <cell r="I857" t="str">
            <v>16-73</v>
          </cell>
          <cell r="J857" t="str">
            <v>936</v>
          </cell>
          <cell r="K857" t="str">
            <v>491-03293</v>
          </cell>
          <cell r="L857" t="str">
            <v>266</v>
          </cell>
          <cell r="M857" t="str">
            <v/>
          </cell>
          <cell r="N857" t="str">
            <v>64</v>
          </cell>
        </row>
        <row r="858">
          <cell r="A858" t="str">
            <v>STACJA ROBOCZA</v>
          </cell>
          <cell r="B858" t="str">
            <v>DELL Optiplex GX260 SD</v>
          </cell>
          <cell r="C858" t="str">
            <v>491-5111</v>
          </cell>
          <cell r="D858" t="str">
            <v>JHYGL0J</v>
          </cell>
          <cell r="E858" t="str">
            <v>RK1</v>
          </cell>
          <cell r="F858" t="str">
            <v xml:space="preserve">KOZŁOWSKI                EDWARD         </v>
          </cell>
          <cell r="G858" t="str">
            <v>U-22</v>
          </cell>
          <cell r="H858" t="str">
            <v>1</v>
          </cell>
          <cell r="I858" t="str">
            <v>21-48</v>
          </cell>
          <cell r="J858" t="str">
            <v>445</v>
          </cell>
          <cell r="K858" t="str">
            <v>491-05111</v>
          </cell>
          <cell r="L858" t="str">
            <v>2400</v>
          </cell>
          <cell r="M858" t="str">
            <v/>
          </cell>
          <cell r="N858" t="str">
            <v>254</v>
          </cell>
        </row>
        <row r="859">
          <cell r="A859" t="str">
            <v>STACJA ROBOCZA</v>
          </cell>
          <cell r="B859" t="str">
            <v>NEC PowerMate VT Destop P III 450</v>
          </cell>
          <cell r="C859" t="str">
            <v>491-3880</v>
          </cell>
          <cell r="D859" t="str">
            <v>0178109</v>
          </cell>
          <cell r="E859" t="str">
            <v>RK1</v>
          </cell>
          <cell r="F859" t="str">
            <v xml:space="preserve">MIZERA                   WŁODZIMIERZ    </v>
          </cell>
          <cell r="G859" t="str">
            <v>U-22</v>
          </cell>
          <cell r="H859" t="str">
            <v>1</v>
          </cell>
          <cell r="I859" t="str">
            <v>16-62</v>
          </cell>
          <cell r="J859" t="str">
            <v>607</v>
          </cell>
          <cell r="K859" t="str">
            <v>491-03880</v>
          </cell>
          <cell r="L859" t="str">
            <v>450</v>
          </cell>
          <cell r="M859" t="str">
            <v/>
          </cell>
          <cell r="N859" t="str">
            <v>64</v>
          </cell>
        </row>
        <row r="860">
          <cell r="A860" t="str">
            <v>STACJA ROBOCZA</v>
          </cell>
          <cell r="B860" t="str">
            <v>COMPAQ DESKPRO EXD PIII 733</v>
          </cell>
          <cell r="C860" t="str">
            <v>491-4273</v>
          </cell>
          <cell r="D860" t="str">
            <v>8037FR4Z2732</v>
          </cell>
          <cell r="E860" t="str">
            <v>RK1</v>
          </cell>
          <cell r="F860" t="str">
            <v xml:space="preserve">WRONA                    JAN            </v>
          </cell>
          <cell r="G860" t="str">
            <v>K1/17M</v>
          </cell>
          <cell r="H860" t="str">
            <v>POZ+17M</v>
          </cell>
          <cell r="I860" t="str">
            <v>16-51</v>
          </cell>
          <cell r="J860" t="str">
            <v>1097</v>
          </cell>
          <cell r="K860" t="str">
            <v>491-04273</v>
          </cell>
          <cell r="L860" t="str">
            <v>733</v>
          </cell>
          <cell r="M860" t="str">
            <v/>
          </cell>
          <cell r="N860" t="str">
            <v>127</v>
          </cell>
        </row>
        <row r="861">
          <cell r="A861" t="str">
            <v>STACJA ROBOCZA</v>
          </cell>
          <cell r="B861" t="str">
            <v>DELL Optiplex GX1M 350</v>
          </cell>
          <cell r="C861" t="str">
            <v>491-3563</v>
          </cell>
          <cell r="D861" t="str">
            <v>PKGZK</v>
          </cell>
          <cell r="E861" t="str">
            <v>RK1</v>
          </cell>
          <cell r="F861" t="str">
            <v xml:space="preserve">DOBROWOLSKI              STANISŁAW      </v>
          </cell>
          <cell r="G861" t="str">
            <v>K1/17M</v>
          </cell>
          <cell r="H861" t="str">
            <v>POZ+17M</v>
          </cell>
          <cell r="I861" t="str">
            <v>16-51</v>
          </cell>
          <cell r="J861" t="str">
            <v>174</v>
          </cell>
          <cell r="K861" t="str">
            <v>491-03563</v>
          </cell>
          <cell r="L861" t="str">
            <v>350</v>
          </cell>
          <cell r="M861" t="str">
            <v/>
          </cell>
          <cell r="N861" t="str">
            <v>64</v>
          </cell>
        </row>
        <row r="862">
          <cell r="A862" t="str">
            <v>STACJA ROBOCZA</v>
          </cell>
          <cell r="B862" t="str">
            <v>COMPAQ DESKPRO EXDT</v>
          </cell>
          <cell r="C862" t="str">
            <v>491-4645</v>
          </cell>
          <cell r="D862" t="str">
            <v>8124FR4Z0G3C</v>
          </cell>
          <cell r="E862" t="str">
            <v>RK1</v>
          </cell>
          <cell r="F862" t="str">
            <v xml:space="preserve">OKRASKA                  ANDRZEJ        </v>
          </cell>
          <cell r="G862" t="str">
            <v>U-2</v>
          </cell>
          <cell r="H862" t="str">
            <v>221B</v>
          </cell>
          <cell r="I862" t="str">
            <v>16-63</v>
          </cell>
          <cell r="J862" t="str">
            <v>693</v>
          </cell>
          <cell r="K862" t="str">
            <v>491-04645</v>
          </cell>
          <cell r="L862" t="str">
            <v>1000</v>
          </cell>
          <cell r="M862" t="str">
            <v/>
          </cell>
          <cell r="N862" t="str">
            <v>127</v>
          </cell>
        </row>
        <row r="863">
          <cell r="A863" t="str">
            <v>STACJA ROBOCZA</v>
          </cell>
          <cell r="B863" t="str">
            <v>DELL Optiplex GX1M 350</v>
          </cell>
          <cell r="C863" t="str">
            <v>491-3553</v>
          </cell>
          <cell r="D863" t="str">
            <v>PKGYZ</v>
          </cell>
          <cell r="E863" t="str">
            <v>RK1</v>
          </cell>
          <cell r="F863" t="str">
            <v xml:space="preserve">KWIATKOWSKI              MIROSŁAW       </v>
          </cell>
          <cell r="G863" t="str">
            <v>K11/17M</v>
          </cell>
          <cell r="H863" t="str">
            <v>POZ+17M</v>
          </cell>
          <cell r="I863" t="str">
            <v>21-18</v>
          </cell>
          <cell r="J863" t="str">
            <v>475</v>
          </cell>
          <cell r="K863" t="str">
            <v>491-03553</v>
          </cell>
          <cell r="L863" t="str">
            <v>350</v>
          </cell>
          <cell r="M863" t="str">
            <v/>
          </cell>
          <cell r="N863" t="str">
            <v>64</v>
          </cell>
        </row>
        <row r="864">
          <cell r="A864" t="str">
            <v>STACJA ROBOCZA</v>
          </cell>
          <cell r="B864" t="str">
            <v>IVERSON MIC-33</v>
          </cell>
          <cell r="C864" t="str">
            <v>491-1871</v>
          </cell>
          <cell r="D864" t="str">
            <v>792-1031-003</v>
          </cell>
          <cell r="E864" t="str">
            <v xml:space="preserve">RM </v>
          </cell>
          <cell r="F864" t="str">
            <v xml:space="preserve">PIĄTKOWSKI               STANISŁAW      </v>
          </cell>
          <cell r="G864" t="str">
            <v>BLOK 6</v>
          </cell>
          <cell r="H864" t="str">
            <v>MASZYNOWNIA</v>
          </cell>
          <cell r="I864" t="str">
            <v>25-78</v>
          </cell>
          <cell r="J864" t="str">
            <v>1230</v>
          </cell>
          <cell r="K864" t="str">
            <v>REGULACJA</v>
          </cell>
          <cell r="L864" t="str">
            <v>1200</v>
          </cell>
          <cell r="M864" t="str">
            <v/>
          </cell>
          <cell r="N864" t="str">
            <v/>
          </cell>
        </row>
        <row r="865">
          <cell r="A865" t="str">
            <v>STACJA ROBOCZA</v>
          </cell>
          <cell r="B865" t="str">
            <v>DELL Optiplex GX260 SD</v>
          </cell>
          <cell r="C865" t="str">
            <v>491-5056</v>
          </cell>
          <cell r="D865" t="str">
            <v>HK2GL0J</v>
          </cell>
          <cell r="E865" t="str">
            <v xml:space="preserve">RM </v>
          </cell>
          <cell r="F865" t="str">
            <v xml:space="preserve">DEC                      KRZYSZTOF      </v>
          </cell>
          <cell r="G865" t="str">
            <v>BLOK 5</v>
          </cell>
          <cell r="H865" t="str">
            <v>MISTRZOWKA</v>
          </cell>
          <cell r="I865" t="str">
            <v>16-35</v>
          </cell>
          <cell r="J865" t="str">
            <v>2805</v>
          </cell>
          <cell r="K865" t="str">
            <v>491-05056</v>
          </cell>
          <cell r="L865" t="str">
            <v>2400</v>
          </cell>
          <cell r="M865" t="str">
            <v/>
          </cell>
          <cell r="N865" t="str">
            <v>254</v>
          </cell>
        </row>
        <row r="866">
          <cell r="A866" t="str">
            <v>STACJA ROBOCZA</v>
          </cell>
          <cell r="B866" t="str">
            <v>NEC PowerMate VT Destop P III 450</v>
          </cell>
          <cell r="C866" t="str">
            <v>491-4045</v>
          </cell>
          <cell r="D866" t="str">
            <v>0729109</v>
          </cell>
          <cell r="E866" t="str">
            <v xml:space="preserve">RM </v>
          </cell>
          <cell r="F866" t="str">
            <v xml:space="preserve">PIREK                    PIOTR          </v>
          </cell>
          <cell r="G866" t="str">
            <v>U-2</v>
          </cell>
          <cell r="H866" t="str">
            <v>224</v>
          </cell>
          <cell r="I866" t="str">
            <v>21-73</v>
          </cell>
          <cell r="J866" t="str">
            <v>787</v>
          </cell>
          <cell r="K866" t="str">
            <v>491-04045</v>
          </cell>
          <cell r="L866" t="str">
            <v>450</v>
          </cell>
          <cell r="M866" t="str">
            <v/>
          </cell>
          <cell r="N866" t="str">
            <v>64</v>
          </cell>
        </row>
        <row r="867">
          <cell r="A867" t="str">
            <v>STACJA ROBOCZA</v>
          </cell>
          <cell r="B867" t="str">
            <v>NEC PowerMate VT Destop P III 450</v>
          </cell>
          <cell r="C867" t="str">
            <v>491-3872</v>
          </cell>
          <cell r="D867" t="str">
            <v>0732109</v>
          </cell>
          <cell r="E867" t="str">
            <v xml:space="preserve">RM </v>
          </cell>
          <cell r="F867" t="str">
            <v xml:space="preserve">ZIĘBA                    EWA            </v>
          </cell>
          <cell r="G867" t="str">
            <v>U-2</v>
          </cell>
          <cell r="H867" t="str">
            <v>226</v>
          </cell>
          <cell r="I867" t="str">
            <v>12-81</v>
          </cell>
          <cell r="J867" t="str">
            <v>1120</v>
          </cell>
          <cell r="K867" t="str">
            <v>491-03872</v>
          </cell>
          <cell r="L867" t="str">
            <v>450</v>
          </cell>
          <cell r="M867" t="str">
            <v/>
          </cell>
          <cell r="N867" t="str">
            <v>64</v>
          </cell>
        </row>
        <row r="868">
          <cell r="A868" t="str">
            <v>STACJA ROBOCZA</v>
          </cell>
          <cell r="B868" t="str">
            <v>NEC PowerMate VT Destop P III 450</v>
          </cell>
          <cell r="C868" t="str">
            <v>491-4046</v>
          </cell>
          <cell r="D868" t="str">
            <v>0723109</v>
          </cell>
          <cell r="E868" t="str">
            <v xml:space="preserve">RM </v>
          </cell>
          <cell r="F868" t="str">
            <v xml:space="preserve">KOPERA                   LUCYNA         </v>
          </cell>
          <cell r="G868" t="str">
            <v>U-2</v>
          </cell>
          <cell r="H868" t="str">
            <v>226</v>
          </cell>
          <cell r="I868" t="str">
            <v>12-81</v>
          </cell>
          <cell r="J868" t="str">
            <v>499</v>
          </cell>
          <cell r="K868" t="str">
            <v>491-04046</v>
          </cell>
          <cell r="L868" t="str">
            <v>450</v>
          </cell>
          <cell r="M868" t="str">
            <v/>
          </cell>
          <cell r="N868" t="str">
            <v>64</v>
          </cell>
        </row>
        <row r="869">
          <cell r="A869" t="str">
            <v>STACJA ROBOCZA</v>
          </cell>
          <cell r="B869" t="str">
            <v>DELL Optiplex GX1L 266</v>
          </cell>
          <cell r="C869" t="str">
            <v>491-3323</v>
          </cell>
          <cell r="D869" t="str">
            <v>NM1H4</v>
          </cell>
          <cell r="E869" t="str">
            <v xml:space="preserve">RM </v>
          </cell>
          <cell r="F869" t="str">
            <v xml:space="preserve">CIECIÓRA                 LESZEK         </v>
          </cell>
          <cell r="G869" t="str">
            <v>BLOK 8</v>
          </cell>
          <cell r="H869" t="str">
            <v>MISTRZOWKA</v>
          </cell>
          <cell r="I869" t="str">
            <v>22-65</v>
          </cell>
          <cell r="J869" t="str">
            <v>137</v>
          </cell>
          <cell r="K869" t="str">
            <v>491-03323</v>
          </cell>
          <cell r="L869" t="str">
            <v>266</v>
          </cell>
          <cell r="M869" t="str">
            <v/>
          </cell>
          <cell r="N869" t="str">
            <v>128</v>
          </cell>
        </row>
        <row r="870">
          <cell r="A870" t="str">
            <v>STACJA ROBOCZA</v>
          </cell>
          <cell r="B870" t="str">
            <v>COMPAQ DESKPRO EXD PIII 800</v>
          </cell>
          <cell r="C870" t="str">
            <v>491-4522</v>
          </cell>
          <cell r="D870" t="str">
            <v>8048FR4Z0CN8</v>
          </cell>
          <cell r="E870" t="str">
            <v xml:space="preserve">RM </v>
          </cell>
          <cell r="F870" t="str">
            <v xml:space="preserve">UMAŃSKI                  ANDRZEJ        </v>
          </cell>
          <cell r="G870" t="str">
            <v>BLOK 5</v>
          </cell>
          <cell r="H870" t="str">
            <v>MISTRZOWKA</v>
          </cell>
          <cell r="I870" t="str">
            <v>16-35,23-29</v>
          </cell>
          <cell r="J870" t="str">
            <v>3635</v>
          </cell>
          <cell r="K870" t="str">
            <v>491-04522</v>
          </cell>
          <cell r="L870" t="str">
            <v>800</v>
          </cell>
          <cell r="M870" t="str">
            <v/>
          </cell>
          <cell r="N870" t="str">
            <v>127</v>
          </cell>
        </row>
        <row r="871">
          <cell r="A871" t="str">
            <v>STACJA ROBOCZA</v>
          </cell>
          <cell r="B871" t="str">
            <v>NEC PMVT Desktop P III 450</v>
          </cell>
          <cell r="C871" t="str">
            <v>491-3907</v>
          </cell>
          <cell r="D871" t="str">
            <v>0727109</v>
          </cell>
          <cell r="E871" t="str">
            <v xml:space="preserve">RM </v>
          </cell>
          <cell r="F871" t="str">
            <v xml:space="preserve">UMAŃSKI                  ANDRZEJ        </v>
          </cell>
          <cell r="G871" t="str">
            <v>BLOK 5</v>
          </cell>
          <cell r="H871" t="str">
            <v>MISTRZOWKA</v>
          </cell>
          <cell r="I871" t="str">
            <v>16-35,23-29</v>
          </cell>
          <cell r="J871" t="str">
            <v>3635</v>
          </cell>
          <cell r="K871" t="str">
            <v>491-03907</v>
          </cell>
          <cell r="L871" t="str">
            <v>450</v>
          </cell>
          <cell r="M871" t="str">
            <v/>
          </cell>
          <cell r="N871" t="str">
            <v>64</v>
          </cell>
        </row>
        <row r="872">
          <cell r="A872" t="str">
            <v>STACJA ROBOCZA</v>
          </cell>
          <cell r="B872" t="str">
            <v>COMPAQ DESKPRO EXD PIII 733</v>
          </cell>
          <cell r="C872" t="str">
            <v>491-4347</v>
          </cell>
          <cell r="D872" t="str">
            <v>8036FR4ZE386</v>
          </cell>
          <cell r="E872" t="str">
            <v xml:space="preserve">RM </v>
          </cell>
          <cell r="F872" t="str">
            <v xml:space="preserve">FERENC                   SŁAWOMIR       </v>
          </cell>
          <cell r="G872" t="str">
            <v>U-2</v>
          </cell>
          <cell r="H872" t="str">
            <v>209</v>
          </cell>
          <cell r="I872" t="str">
            <v>41-18</v>
          </cell>
          <cell r="J872" t="str">
            <v>9427</v>
          </cell>
          <cell r="K872" t="str">
            <v>491-04347</v>
          </cell>
          <cell r="L872" t="str">
            <v>733</v>
          </cell>
          <cell r="M872" t="str">
            <v/>
          </cell>
          <cell r="N872" t="str">
            <v/>
          </cell>
        </row>
        <row r="873">
          <cell r="A873" t="str">
            <v>STACJA ROBOCZA</v>
          </cell>
          <cell r="B873" t="str">
            <v>COMPAQ DESKPRO EXD PIII 733</v>
          </cell>
          <cell r="C873" t="str">
            <v>491-4340</v>
          </cell>
          <cell r="D873" t="str">
            <v>8036FR4Z3723</v>
          </cell>
          <cell r="E873" t="str">
            <v xml:space="preserve">RM </v>
          </cell>
          <cell r="F873" t="str">
            <v xml:space="preserve">KNAŚ                     SŁAWOMIR       </v>
          </cell>
          <cell r="G873" t="str">
            <v>U-2</v>
          </cell>
          <cell r="H873" t="str">
            <v>219</v>
          </cell>
          <cell r="I873" t="str">
            <v>21-98</v>
          </cell>
          <cell r="J873" t="str">
            <v>495</v>
          </cell>
          <cell r="K873" t="str">
            <v>491-04340</v>
          </cell>
          <cell r="L873" t="str">
            <v>733</v>
          </cell>
          <cell r="M873" t="str">
            <v/>
          </cell>
          <cell r="N873" t="str">
            <v>255</v>
          </cell>
        </row>
        <row r="874">
          <cell r="A874" t="str">
            <v>STACJA ROBOCZA</v>
          </cell>
          <cell r="B874" t="str">
            <v>DELL Optiplex GX1MT 350</v>
          </cell>
          <cell r="C874" t="str">
            <v>491-3508</v>
          </cell>
          <cell r="D874" t="str">
            <v>PKN3C</v>
          </cell>
          <cell r="E874" t="str">
            <v xml:space="preserve">RM </v>
          </cell>
          <cell r="F874" t="str">
            <v xml:space="preserve">OLSZOWIEC                ROMAN          </v>
          </cell>
          <cell r="G874" t="str">
            <v>U-2</v>
          </cell>
          <cell r="H874" t="str">
            <v>122</v>
          </cell>
          <cell r="I874" t="str">
            <v>11-70</v>
          </cell>
          <cell r="J874" t="str">
            <v>677</v>
          </cell>
          <cell r="K874" t="str">
            <v>491-03508</v>
          </cell>
          <cell r="L874" t="str">
            <v>350</v>
          </cell>
          <cell r="M874" t="str">
            <v/>
          </cell>
          <cell r="N874" t="str">
            <v>64</v>
          </cell>
        </row>
        <row r="875">
          <cell r="A875" t="str">
            <v>STACJA ROBOCZA</v>
          </cell>
          <cell r="B875" t="str">
            <v>DELL Optiplex GX1L 266</v>
          </cell>
          <cell r="C875" t="str">
            <v>491-3370</v>
          </cell>
          <cell r="D875" t="str">
            <v>NM1C4</v>
          </cell>
          <cell r="E875" t="str">
            <v xml:space="preserve">RM </v>
          </cell>
          <cell r="F875" t="str">
            <v xml:space="preserve">WLAZŁOWSKI               JAN            </v>
          </cell>
          <cell r="G875" t="str">
            <v>BLOK 4</v>
          </cell>
          <cell r="H875" t="str">
            <v>MISTRZÓWKA</v>
          </cell>
          <cell r="I875" t="str">
            <v>16-36</v>
          </cell>
          <cell r="J875" t="str">
            <v>1602</v>
          </cell>
          <cell r="K875" t="str">
            <v>491-03370</v>
          </cell>
          <cell r="L875" t="str">
            <v>266</v>
          </cell>
          <cell r="M875" t="str">
            <v/>
          </cell>
          <cell r="N875" t="str">
            <v>96</v>
          </cell>
        </row>
        <row r="876">
          <cell r="A876" t="str">
            <v>STACJA ROBOCZA</v>
          </cell>
          <cell r="B876" t="str">
            <v>COMPAQ DESKPRO EXD PIII 800</v>
          </cell>
          <cell r="C876" t="str">
            <v>491-4520</v>
          </cell>
          <cell r="D876" t="str">
            <v>8048FR4Z04WH</v>
          </cell>
          <cell r="E876" t="str">
            <v xml:space="preserve">RM </v>
          </cell>
          <cell r="F876" t="str">
            <v xml:space="preserve">ROCZEK                   STANISŁAW      </v>
          </cell>
          <cell r="G876" t="str">
            <v>BUE 1</v>
          </cell>
          <cell r="H876" t="str">
            <v>WARSZTAT</v>
          </cell>
          <cell r="I876" t="str">
            <v>26-30</v>
          </cell>
          <cell r="J876" t="str">
            <v>850</v>
          </cell>
          <cell r="K876" t="str">
            <v>491-04520</v>
          </cell>
          <cell r="L876" t="str">
            <v>800</v>
          </cell>
          <cell r="M876" t="str">
            <v/>
          </cell>
          <cell r="N876" t="str">
            <v>127</v>
          </cell>
        </row>
        <row r="877">
          <cell r="A877" t="str">
            <v>STACJA ROBOCZA</v>
          </cell>
          <cell r="B877" t="str">
            <v>DELL Optiplex GX1L 266</v>
          </cell>
          <cell r="C877" t="str">
            <v>491-3406</v>
          </cell>
          <cell r="D877" t="str">
            <v>NM1G1</v>
          </cell>
          <cell r="E877" t="str">
            <v xml:space="preserve">RM </v>
          </cell>
          <cell r="F877" t="str">
            <v xml:space="preserve">UMAŃSKI                  ANDRZEJ        </v>
          </cell>
          <cell r="G877" t="str">
            <v>BLOK 5</v>
          </cell>
          <cell r="H877" t="str">
            <v>MISTRZOWKA</v>
          </cell>
          <cell r="I877" t="str">
            <v>16-35,23-29</v>
          </cell>
          <cell r="J877" t="str">
            <v>3635</v>
          </cell>
          <cell r="K877" t="str">
            <v/>
          </cell>
          <cell r="L877" t="str">
            <v>266</v>
          </cell>
          <cell r="M877" t="str">
            <v/>
          </cell>
          <cell r="N877" t="str">
            <v/>
          </cell>
        </row>
        <row r="878">
          <cell r="A878" t="str">
            <v>STACJA ROBOCZA</v>
          </cell>
          <cell r="B878" t="str">
            <v>NEC PMVT Desktop P III 450</v>
          </cell>
          <cell r="C878" t="str">
            <v>491-3779</v>
          </cell>
          <cell r="D878" t="str">
            <v>0682109</v>
          </cell>
          <cell r="E878" t="str">
            <v xml:space="preserve">RM </v>
          </cell>
          <cell r="F878" t="str">
            <v xml:space="preserve">CIECIÓRA                 LESZEK         </v>
          </cell>
          <cell r="G878" t="str">
            <v>BLOK 8</v>
          </cell>
          <cell r="H878" t="str">
            <v>MISTRZOWKA</v>
          </cell>
          <cell r="I878" t="str">
            <v>22-65</v>
          </cell>
          <cell r="J878" t="str">
            <v>137</v>
          </cell>
          <cell r="K878" t="str">
            <v>491-03779</v>
          </cell>
          <cell r="L878" t="str">
            <v>450</v>
          </cell>
          <cell r="M878" t="str">
            <v/>
          </cell>
          <cell r="N878" t="str">
            <v>64</v>
          </cell>
        </row>
        <row r="879">
          <cell r="A879" t="str">
            <v>STACJA ROBOCZA</v>
          </cell>
          <cell r="B879" t="str">
            <v>COMPAQ DESKPRO EXD PIII 733</v>
          </cell>
          <cell r="C879" t="str">
            <v>491-4288</v>
          </cell>
          <cell r="D879" t="str">
            <v>8036FR4Z6081</v>
          </cell>
          <cell r="E879" t="str">
            <v xml:space="preserve">RM </v>
          </cell>
          <cell r="F879" t="str">
            <v xml:space="preserve">CIECIÓRA                 LESZEK         </v>
          </cell>
          <cell r="G879" t="str">
            <v>BLOK 8</v>
          </cell>
          <cell r="H879" t="str">
            <v>MISTRZOWKA</v>
          </cell>
          <cell r="I879" t="str">
            <v>22-65</v>
          </cell>
          <cell r="J879" t="str">
            <v>137</v>
          </cell>
          <cell r="K879" t="str">
            <v>491-04288</v>
          </cell>
          <cell r="L879" t="str">
            <v>733</v>
          </cell>
          <cell r="M879" t="str">
            <v/>
          </cell>
          <cell r="N879" t="str">
            <v>127</v>
          </cell>
        </row>
        <row r="880">
          <cell r="A880" t="str">
            <v>STACJA ROBOCZA</v>
          </cell>
          <cell r="B880" t="str">
            <v>DELL Optiplex GX150</v>
          </cell>
          <cell r="C880" t="str">
            <v>491-4722</v>
          </cell>
          <cell r="D880" t="str">
            <v>HPRX60J</v>
          </cell>
          <cell r="E880" t="str">
            <v xml:space="preserve">RM </v>
          </cell>
          <cell r="F880" t="str">
            <v xml:space="preserve">WIŚNIEWSKI               JERZY          </v>
          </cell>
          <cell r="G880" t="str">
            <v>U-2</v>
          </cell>
          <cell r="H880" t="str">
            <v>228</v>
          </cell>
          <cell r="I880" t="str">
            <v>34-63</v>
          </cell>
          <cell r="J880" t="str">
            <v>1044</v>
          </cell>
          <cell r="K880" t="str">
            <v>491-04722</v>
          </cell>
          <cell r="L880" t="str">
            <v>1000</v>
          </cell>
          <cell r="M880" t="str">
            <v/>
          </cell>
          <cell r="N880" t="str">
            <v>255</v>
          </cell>
        </row>
        <row r="881">
          <cell r="A881" t="str">
            <v>STACJA ROBOCZA</v>
          </cell>
          <cell r="B881" t="str">
            <v>DELL Optiplex GX150</v>
          </cell>
          <cell r="C881" t="str">
            <v>491-4848</v>
          </cell>
          <cell r="D881" t="str">
            <v>4WLZ60J</v>
          </cell>
          <cell r="E881" t="str">
            <v xml:space="preserve">RN </v>
          </cell>
          <cell r="F881" t="str">
            <v xml:space="preserve">KUŚMIEREK                ANDRZEJ        </v>
          </cell>
          <cell r="G881" t="str">
            <v>U-16</v>
          </cell>
          <cell r="H881" t="str">
            <v>4</v>
          </cell>
          <cell r="I881" t="str">
            <v>23-91</v>
          </cell>
          <cell r="J881" t="str">
            <v>492</v>
          </cell>
          <cell r="K881" t="str">
            <v>491-04848</v>
          </cell>
          <cell r="L881" t="str">
            <v>1000</v>
          </cell>
          <cell r="M881" t="str">
            <v/>
          </cell>
          <cell r="N881" t="str">
            <v>255</v>
          </cell>
        </row>
        <row r="882">
          <cell r="A882" t="str">
            <v>STACJA ROBOCZA</v>
          </cell>
          <cell r="B882" t="str">
            <v>COMPAQ DESKPRO EXD PIII 733</v>
          </cell>
          <cell r="C882" t="str">
            <v>491-4289</v>
          </cell>
          <cell r="D882" t="str">
            <v>8036FR4ZE452</v>
          </cell>
          <cell r="E882" t="str">
            <v xml:space="preserve">RN </v>
          </cell>
          <cell r="F882" t="str">
            <v xml:space="preserve">GÓRSKA                   URSZULA        </v>
          </cell>
          <cell r="G882" t="str">
            <v>U-16</v>
          </cell>
          <cell r="H882" t="str">
            <v>18</v>
          </cell>
          <cell r="I882" t="str">
            <v>29-54</v>
          </cell>
          <cell r="J882" t="str">
            <v>271</v>
          </cell>
          <cell r="K882" t="str">
            <v>491-04289</v>
          </cell>
          <cell r="L882" t="str">
            <v>733</v>
          </cell>
          <cell r="M882" t="str">
            <v/>
          </cell>
          <cell r="N882" t="str">
            <v>127</v>
          </cell>
        </row>
        <row r="883">
          <cell r="A883" t="str">
            <v>STACJA ROBOCZA</v>
          </cell>
          <cell r="B883" t="str">
            <v>NEC PMVT Desktop P III 450</v>
          </cell>
          <cell r="C883" t="str">
            <v>491-3839</v>
          </cell>
          <cell r="D883" t="str">
            <v>0685109</v>
          </cell>
          <cell r="E883" t="str">
            <v xml:space="preserve">RN </v>
          </cell>
          <cell r="F883" t="str">
            <v xml:space="preserve">KOŁOMAK                  ANDRZEJ        </v>
          </cell>
          <cell r="G883" t="str">
            <v>U-16</v>
          </cell>
          <cell r="H883" t="str">
            <v>16</v>
          </cell>
          <cell r="I883" t="str">
            <v>13-27</v>
          </cell>
          <cell r="J883" t="str">
            <v>488</v>
          </cell>
          <cell r="K883" t="str">
            <v>491-03839</v>
          </cell>
          <cell r="L883" t="str">
            <v>450</v>
          </cell>
          <cell r="M883" t="str">
            <v/>
          </cell>
          <cell r="N883" t="str">
            <v>64</v>
          </cell>
        </row>
        <row r="884">
          <cell r="A884" t="str">
            <v>STACJA ROBOCZA</v>
          </cell>
          <cell r="B884" t="str">
            <v>DELL Optiplex GX1L 350</v>
          </cell>
          <cell r="C884" t="str">
            <v>491-3521</v>
          </cell>
          <cell r="D884" t="str">
            <v>PKGPP</v>
          </cell>
          <cell r="E884" t="str">
            <v xml:space="preserve">RN </v>
          </cell>
          <cell r="F884" t="str">
            <v xml:space="preserve">JASIŃSKI                 WALDEMAR       </v>
          </cell>
          <cell r="G884" t="str">
            <v>U-16</v>
          </cell>
          <cell r="H884" t="str">
            <v>15</v>
          </cell>
          <cell r="I884" t="str">
            <v>13-23</v>
          </cell>
          <cell r="J884" t="str">
            <v>304</v>
          </cell>
          <cell r="K884" t="str">
            <v>491-03521</v>
          </cell>
          <cell r="L884" t="str">
            <v>350</v>
          </cell>
          <cell r="M884" t="str">
            <v/>
          </cell>
          <cell r="N884" t="str">
            <v>64</v>
          </cell>
        </row>
        <row r="885">
          <cell r="A885" t="str">
            <v>STACJA ROBOCZA</v>
          </cell>
          <cell r="B885" t="str">
            <v>NEC Direction Minitower P III 450</v>
          </cell>
          <cell r="C885" t="str">
            <v>491-3760</v>
          </cell>
          <cell r="D885" t="str">
            <v>0137109</v>
          </cell>
          <cell r="E885" t="str">
            <v xml:space="preserve">RN </v>
          </cell>
          <cell r="F885" t="str">
            <v xml:space="preserve">BUDNY                    ZDZISŁAW       </v>
          </cell>
          <cell r="G885" t="str">
            <v>U-16</v>
          </cell>
          <cell r="H885" t="str">
            <v>15</v>
          </cell>
          <cell r="I885" t="str">
            <v>13-26</v>
          </cell>
          <cell r="J885" t="str">
            <v>71</v>
          </cell>
          <cell r="K885" t="str">
            <v>491-03760</v>
          </cell>
          <cell r="L885" t="str">
            <v>450</v>
          </cell>
          <cell r="M885" t="str">
            <v/>
          </cell>
          <cell r="N885" t="str">
            <v>64</v>
          </cell>
        </row>
        <row r="886">
          <cell r="A886" t="str">
            <v>STACJA ROBOCZA</v>
          </cell>
          <cell r="B886" t="str">
            <v>DELL Optiplex GX150</v>
          </cell>
          <cell r="C886" t="str">
            <v>491-4904</v>
          </cell>
          <cell r="D886" t="str">
            <v>BWLZ60J</v>
          </cell>
          <cell r="E886" t="str">
            <v xml:space="preserve">RN </v>
          </cell>
          <cell r="F886" t="str">
            <v xml:space="preserve">WIŚNIEWSKI               ZYGMUNT        </v>
          </cell>
          <cell r="G886" t="str">
            <v>U-16</v>
          </cell>
          <cell r="H886" t="str">
            <v>8</v>
          </cell>
          <cell r="I886" t="str">
            <v>34-14</v>
          </cell>
          <cell r="J886" t="str">
            <v>1100</v>
          </cell>
          <cell r="K886" t="str">
            <v>491-04904</v>
          </cell>
          <cell r="L886" t="str">
            <v>1000</v>
          </cell>
          <cell r="M886" t="str">
            <v/>
          </cell>
          <cell r="N886" t="str">
            <v>255</v>
          </cell>
        </row>
        <row r="887">
          <cell r="A887" t="str">
            <v>STACJA ROBOCZA</v>
          </cell>
          <cell r="B887" t="str">
            <v>DELL Optiplex GX260 SD</v>
          </cell>
          <cell r="C887" t="str">
            <v>491-5123</v>
          </cell>
          <cell r="D887" t="str">
            <v>8KYGL0J</v>
          </cell>
          <cell r="E887" t="str">
            <v xml:space="preserve">RN </v>
          </cell>
          <cell r="F887" t="str">
            <v xml:space="preserve">BAREŁA                   PIOTR          </v>
          </cell>
          <cell r="G887" t="str">
            <v>U-16</v>
          </cell>
          <cell r="H887" t="str">
            <v>8</v>
          </cell>
          <cell r="I887" t="str">
            <v>11-56</v>
          </cell>
          <cell r="J887" t="str">
            <v>8992</v>
          </cell>
          <cell r="K887" t="str">
            <v>491-05123</v>
          </cell>
          <cell r="L887" t="str">
            <v>2400</v>
          </cell>
          <cell r="M887" t="str">
            <v/>
          </cell>
          <cell r="N887" t="str">
            <v>254</v>
          </cell>
        </row>
        <row r="888">
          <cell r="A888" t="str">
            <v>STACJA ROBOCZA</v>
          </cell>
          <cell r="B888" t="str">
            <v>COMPAQ DESKPRO EXD PIII 733</v>
          </cell>
          <cell r="C888" t="str">
            <v>491-4489</v>
          </cell>
          <cell r="D888" t="str">
            <v>8036FR4ZE253</v>
          </cell>
          <cell r="E888" t="str">
            <v xml:space="preserve">RN </v>
          </cell>
          <cell r="F888" t="str">
            <v xml:space="preserve">ROGOWSKI                 STANISŁAW      </v>
          </cell>
          <cell r="G888" t="str">
            <v>U-16</v>
          </cell>
          <cell r="H888" t="str">
            <v>16</v>
          </cell>
          <cell r="I888" t="str">
            <v>29-68</v>
          </cell>
          <cell r="J888" t="str">
            <v>854</v>
          </cell>
          <cell r="K888" t="str">
            <v>491-04489</v>
          </cell>
          <cell r="L888" t="str">
            <v>733</v>
          </cell>
          <cell r="M888" t="str">
            <v/>
          </cell>
          <cell r="N888" t="str">
            <v>127</v>
          </cell>
        </row>
        <row r="889">
          <cell r="A889" t="str">
            <v>STACJA ROBOCZA</v>
          </cell>
          <cell r="B889" t="str">
            <v>DELL Optiplex GX1L 266</v>
          </cell>
          <cell r="C889" t="str">
            <v>491-3317</v>
          </cell>
          <cell r="D889" t="str">
            <v>NM184</v>
          </cell>
          <cell r="E889" t="str">
            <v xml:space="preserve">RN </v>
          </cell>
          <cell r="F889" t="str">
            <v xml:space="preserve">GOŁOTA                   ZBIGNIEW       </v>
          </cell>
          <cell r="G889" t="str">
            <v>U-16</v>
          </cell>
          <cell r="H889" t="str">
            <v>16</v>
          </cell>
          <cell r="I889" t="str">
            <v>29-57</v>
          </cell>
          <cell r="J889" t="str">
            <v>282</v>
          </cell>
          <cell r="K889" t="str">
            <v>491-03317</v>
          </cell>
          <cell r="L889" t="str">
            <v>266</v>
          </cell>
          <cell r="M889" t="str">
            <v/>
          </cell>
          <cell r="N889" t="str">
            <v>128</v>
          </cell>
        </row>
        <row r="890">
          <cell r="A890" t="str">
            <v>STACJA ROBOCZA</v>
          </cell>
          <cell r="B890" t="str">
            <v>COMPAQ DESKPRO EXD PIII 733</v>
          </cell>
          <cell r="C890" t="str">
            <v>491-4507</v>
          </cell>
          <cell r="D890" t="str">
            <v>8036FR4ZE559</v>
          </cell>
          <cell r="E890" t="str">
            <v xml:space="preserve">RN </v>
          </cell>
          <cell r="F890" t="str">
            <v xml:space="preserve">MAJDA                    WITOLD         </v>
          </cell>
          <cell r="G890" t="str">
            <v>U-16</v>
          </cell>
          <cell r="H890" t="str">
            <v>17</v>
          </cell>
          <cell r="I890" t="str">
            <v>13-25</v>
          </cell>
          <cell r="J890" t="str">
            <v>561</v>
          </cell>
          <cell r="K890" t="str">
            <v>491-04507</v>
          </cell>
          <cell r="L890" t="str">
            <v>733</v>
          </cell>
          <cell r="M890" t="str">
            <v/>
          </cell>
          <cell r="N890" t="str">
            <v>127</v>
          </cell>
        </row>
        <row r="891">
          <cell r="A891" t="str">
            <v>STACJA ROBOCZA</v>
          </cell>
          <cell r="B891" t="str">
            <v>NEC Direction Minitower P III 450</v>
          </cell>
          <cell r="C891" t="str">
            <v>491-3762</v>
          </cell>
          <cell r="D891" t="str">
            <v>0140109</v>
          </cell>
          <cell r="E891" t="str">
            <v xml:space="preserve">RO </v>
          </cell>
          <cell r="F891" t="str">
            <v xml:space="preserve">MAKSYMOWICZ              ARKADIUSZ      </v>
          </cell>
          <cell r="G891" t="str">
            <v>U-4/1</v>
          </cell>
          <cell r="H891" t="str">
            <v>7</v>
          </cell>
          <cell r="I891" t="str">
            <v>25-26</v>
          </cell>
          <cell r="J891" t="str">
            <v>630</v>
          </cell>
          <cell r="K891" t="str">
            <v>491-03762</v>
          </cell>
          <cell r="L891" t="str">
            <v>450</v>
          </cell>
          <cell r="M891" t="str">
            <v/>
          </cell>
          <cell r="N891" t="str">
            <v>256</v>
          </cell>
        </row>
        <row r="892">
          <cell r="A892" t="str">
            <v>STACJA ROBOCZA</v>
          </cell>
          <cell r="B892" t="str">
            <v>COMPAQ DESKPRO EXD PIII 733</v>
          </cell>
          <cell r="C892" t="str">
            <v>491-4245</v>
          </cell>
          <cell r="D892" t="str">
            <v>8036FR4ZE388</v>
          </cell>
          <cell r="E892" t="str">
            <v xml:space="preserve">RO </v>
          </cell>
          <cell r="F892" t="str">
            <v xml:space="preserve">STANIEC                  MARIUSZ        </v>
          </cell>
          <cell r="G892" t="str">
            <v>U-4/1</v>
          </cell>
          <cell r="H892" t="str">
            <v>13</v>
          </cell>
          <cell r="I892" t="str">
            <v>13-89</v>
          </cell>
          <cell r="J892" t="str">
            <v>3458</v>
          </cell>
          <cell r="K892" t="str">
            <v>491-04245</v>
          </cell>
          <cell r="L892" t="str">
            <v>733</v>
          </cell>
          <cell r="M892" t="str">
            <v/>
          </cell>
          <cell r="N892" t="str">
            <v>127</v>
          </cell>
        </row>
        <row r="893">
          <cell r="A893" t="str">
            <v>STACJA ROBOCZA</v>
          </cell>
          <cell r="B893" t="str">
            <v>KOMPUTER 386SX</v>
          </cell>
          <cell r="C893" t="str">
            <v>491-1782</v>
          </cell>
          <cell r="D893" t="str">
            <v>021376/1687</v>
          </cell>
          <cell r="E893" t="str">
            <v xml:space="preserve">RO </v>
          </cell>
          <cell r="F893" t="str">
            <v xml:space="preserve">ZAMOLSKI                 JACEK          </v>
          </cell>
          <cell r="G893" t="str">
            <v>U-4</v>
          </cell>
          <cell r="H893" t="str">
            <v>9</v>
          </cell>
          <cell r="I893" t="str">
            <v>26-51</v>
          </cell>
          <cell r="J893" t="str">
            <v>5359</v>
          </cell>
          <cell r="K893" t="str">
            <v>491-01782</v>
          </cell>
          <cell r="L893" t="str">
            <v>400</v>
          </cell>
          <cell r="M893" t="str">
            <v/>
          </cell>
          <cell r="N893" t="str">
            <v>96</v>
          </cell>
        </row>
        <row r="894">
          <cell r="A894" t="str">
            <v>STACJA ROBOCZA</v>
          </cell>
          <cell r="B894" t="str">
            <v>DELL Optiplex GX1L 266</v>
          </cell>
          <cell r="C894" t="str">
            <v>491-3378</v>
          </cell>
          <cell r="D894" t="str">
            <v>NM1CH</v>
          </cell>
          <cell r="E894" t="str">
            <v xml:space="preserve">RO </v>
          </cell>
          <cell r="F894" t="str">
            <v xml:space="preserve">KARWALSKI                KRZYSZTOF      </v>
          </cell>
          <cell r="G894" t="str">
            <v>BP-O</v>
          </cell>
          <cell r="H894" t="str">
            <v>Z-10</v>
          </cell>
          <cell r="I894" t="str">
            <v>13-87</v>
          </cell>
          <cell r="J894" t="str">
            <v>5227</v>
          </cell>
          <cell r="K894" t="str">
            <v>491-03378</v>
          </cell>
          <cell r="L894" t="str">
            <v>266</v>
          </cell>
          <cell r="M894" t="str">
            <v/>
          </cell>
          <cell r="N894" t="str">
            <v>96</v>
          </cell>
        </row>
        <row r="895">
          <cell r="A895" t="str">
            <v>STACJA ROBOCZA</v>
          </cell>
          <cell r="B895" t="str">
            <v>DELL Optiplex GX1L 266</v>
          </cell>
          <cell r="C895" t="str">
            <v>491-3294</v>
          </cell>
          <cell r="D895" t="str">
            <v>NM18Z</v>
          </cell>
          <cell r="E895" t="str">
            <v xml:space="preserve">RO </v>
          </cell>
          <cell r="F895" t="str">
            <v xml:space="preserve">STĘPIEŃ                  STANISŁAW      </v>
          </cell>
          <cell r="G895" t="str">
            <v>U-20/4</v>
          </cell>
          <cell r="H895" t="str">
            <v>MAGAZYNEK</v>
          </cell>
          <cell r="I895" t="str">
            <v>23-99</v>
          </cell>
          <cell r="J895" t="str">
            <v>1942</v>
          </cell>
          <cell r="K895" t="str">
            <v>491-03294</v>
          </cell>
          <cell r="L895" t="str">
            <v>266</v>
          </cell>
          <cell r="M895" t="str">
            <v/>
          </cell>
          <cell r="N895" t="str">
            <v>128</v>
          </cell>
        </row>
        <row r="896">
          <cell r="A896" t="str">
            <v>STACJA ROBOCZA</v>
          </cell>
          <cell r="B896" t="str">
            <v>DELL Optiplex GX260 SD</v>
          </cell>
          <cell r="C896" t="str">
            <v>491-5120</v>
          </cell>
          <cell r="D896" t="str">
            <v>FJYGL0J</v>
          </cell>
          <cell r="E896" t="str">
            <v xml:space="preserve">RO </v>
          </cell>
          <cell r="F896" t="str">
            <v xml:space="preserve">MALIŃSKI                 WOJCIECH       </v>
          </cell>
          <cell r="G896" t="str">
            <v>U-23</v>
          </cell>
          <cell r="H896" t="str">
            <v>1</v>
          </cell>
          <cell r="I896" t="str">
            <v>26-76</v>
          </cell>
          <cell r="J896" t="str">
            <v>638</v>
          </cell>
          <cell r="K896" t="str">
            <v>491-05120</v>
          </cell>
          <cell r="L896" t="str">
            <v>2400</v>
          </cell>
          <cell r="M896" t="str">
            <v/>
          </cell>
          <cell r="N896" t="str">
            <v>254</v>
          </cell>
        </row>
        <row r="897">
          <cell r="A897" t="str">
            <v>STACJA ROBOCZA</v>
          </cell>
          <cell r="B897" t="str">
            <v>KOMPUTER 386DX</v>
          </cell>
          <cell r="C897" t="str">
            <v>491-2001</v>
          </cell>
          <cell r="D897" t="str">
            <v>3602/043</v>
          </cell>
          <cell r="E897" t="str">
            <v xml:space="preserve">RO </v>
          </cell>
          <cell r="F897" t="str">
            <v xml:space="preserve">DRYGAŁA                  JULIAN         </v>
          </cell>
          <cell r="G897" t="str">
            <v>BP-O</v>
          </cell>
          <cell r="H897" t="str">
            <v>Z-10</v>
          </cell>
          <cell r="I897" t="str">
            <v>13-88</v>
          </cell>
          <cell r="J897" t="str">
            <v>147</v>
          </cell>
          <cell r="K897" t="str">
            <v>491-02001</v>
          </cell>
          <cell r="L897" t="str">
            <v>500</v>
          </cell>
          <cell r="M897" t="str">
            <v/>
          </cell>
          <cell r="N897" t="str">
            <v>64</v>
          </cell>
        </row>
        <row r="898">
          <cell r="A898" t="str">
            <v>STACJA ROBOCZA</v>
          </cell>
          <cell r="B898" t="str">
            <v>COMPAQ DESKPRO EXD PIII 733</v>
          </cell>
          <cell r="C898" t="str">
            <v>491-4338</v>
          </cell>
          <cell r="D898" t="str">
            <v>8036FR4ZE258</v>
          </cell>
          <cell r="E898" t="str">
            <v xml:space="preserve">RO </v>
          </cell>
          <cell r="F898" t="str">
            <v xml:space="preserve">GŁOWACKI                 ALEKSANDER     </v>
          </cell>
          <cell r="G898" t="str">
            <v>U-4</v>
          </cell>
          <cell r="H898" t="str">
            <v>9</v>
          </cell>
          <cell r="I898" t="str">
            <v>26-51</v>
          </cell>
          <cell r="J898" t="str">
            <v>276</v>
          </cell>
          <cell r="K898" t="str">
            <v>491-04338</v>
          </cell>
          <cell r="L898" t="str">
            <v>733</v>
          </cell>
          <cell r="M898" t="str">
            <v/>
          </cell>
          <cell r="N898" t="str">
            <v>127</v>
          </cell>
        </row>
        <row r="899">
          <cell r="A899" t="str">
            <v>STACJA ROBOCZA</v>
          </cell>
          <cell r="B899" t="str">
            <v>DELL Optiplex GX260 SD</v>
          </cell>
          <cell r="C899" t="str">
            <v>491-5119</v>
          </cell>
          <cell r="D899" t="str">
            <v>4LYGL0J</v>
          </cell>
          <cell r="E899" t="str">
            <v xml:space="preserve">RO </v>
          </cell>
          <cell r="F899" t="str">
            <v xml:space="preserve">KUBIAK                   MACIEJ         </v>
          </cell>
          <cell r="G899" t="str">
            <v>U-2</v>
          </cell>
          <cell r="H899" t="str">
            <v>219</v>
          </cell>
          <cell r="I899" t="str">
            <v>24-69</v>
          </cell>
          <cell r="J899" t="str">
            <v>503</v>
          </cell>
          <cell r="K899" t="str">
            <v>491-05119</v>
          </cell>
          <cell r="L899" t="str">
            <v>2400</v>
          </cell>
          <cell r="M899" t="str">
            <v/>
          </cell>
          <cell r="N899" t="str">
            <v>254</v>
          </cell>
        </row>
        <row r="900">
          <cell r="A900" t="str">
            <v>STACJA ROBOCZA</v>
          </cell>
          <cell r="B900" t="str">
            <v>NEC POWER MATE PIII 450</v>
          </cell>
          <cell r="C900" t="str">
            <v>491-3962</v>
          </cell>
          <cell r="D900" t="str">
            <v>Z0049109</v>
          </cell>
          <cell r="E900" t="str">
            <v xml:space="preserve">RO </v>
          </cell>
          <cell r="F900" t="str">
            <v xml:space="preserve">KAWNIK                   GRZEGORZ       </v>
          </cell>
          <cell r="G900" t="str">
            <v>U-20/4</v>
          </cell>
          <cell r="H900" t="str">
            <v>MISTRZÓWKA</v>
          </cell>
          <cell r="I900" t="str">
            <v>12-54</v>
          </cell>
          <cell r="J900" t="str">
            <v>3338</v>
          </cell>
          <cell r="K900" t="str">
            <v>491-03962</v>
          </cell>
          <cell r="L900" t="str">
            <v>450</v>
          </cell>
          <cell r="M900" t="str">
            <v/>
          </cell>
          <cell r="N900" t="str">
            <v>64</v>
          </cell>
        </row>
        <row r="901">
          <cell r="A901" t="str">
            <v>STACJA ROBOCZA</v>
          </cell>
          <cell r="B901" t="str">
            <v>ZENITH Z STATION P166</v>
          </cell>
          <cell r="C901" t="str">
            <v>491-3003</v>
          </cell>
          <cell r="D901" t="str">
            <v>GVDD72905266</v>
          </cell>
          <cell r="E901" t="str">
            <v xml:space="preserve">RO </v>
          </cell>
          <cell r="F901" t="str">
            <v xml:space="preserve">MATYSZKIEWICZ            PIOTR          </v>
          </cell>
          <cell r="G901" t="str">
            <v>U-23</v>
          </cell>
          <cell r="H901" t="str">
            <v>2</v>
          </cell>
          <cell r="I901" t="str">
            <v>10-23</v>
          </cell>
          <cell r="J901" t="str">
            <v>2747</v>
          </cell>
          <cell r="K901" t="str">
            <v>491-3003</v>
          </cell>
          <cell r="L901" t="str">
            <v>166</v>
          </cell>
          <cell r="M901" t="str">
            <v/>
          </cell>
          <cell r="N901" t="str">
            <v>80</v>
          </cell>
        </row>
        <row r="902">
          <cell r="A902" t="str">
            <v>STACJA ROBOCZA</v>
          </cell>
          <cell r="B902" t="str">
            <v>NEC PMVT Desktop P III 450</v>
          </cell>
          <cell r="C902" t="str">
            <v>491-3842</v>
          </cell>
          <cell r="D902" t="str">
            <v>0214109</v>
          </cell>
          <cell r="E902" t="str">
            <v xml:space="preserve">RO </v>
          </cell>
          <cell r="F902" t="str">
            <v xml:space="preserve">ROZWADOWSKA              IRENA          </v>
          </cell>
          <cell r="G902" t="str">
            <v>U-12</v>
          </cell>
          <cell r="H902" t="str">
            <v>226</v>
          </cell>
          <cell r="I902" t="str">
            <v>14-78</v>
          </cell>
          <cell r="J902" t="str">
            <v>815</v>
          </cell>
          <cell r="K902" t="str">
            <v>491-03842</v>
          </cell>
          <cell r="L902" t="str">
            <v>450</v>
          </cell>
          <cell r="M902" t="str">
            <v/>
          </cell>
          <cell r="N902" t="str">
            <v>64</v>
          </cell>
        </row>
        <row r="903">
          <cell r="A903" t="str">
            <v>STACJA ROBOCZA</v>
          </cell>
          <cell r="B903" t="str">
            <v>ZENITH Z STATION P166</v>
          </cell>
          <cell r="C903" t="str">
            <v>491-3136</v>
          </cell>
          <cell r="D903" t="str">
            <v>GVDD72904605</v>
          </cell>
          <cell r="E903" t="str">
            <v xml:space="preserve">RO </v>
          </cell>
          <cell r="F903" t="str">
            <v xml:space="preserve">LACHOWSKI                STANISŁAW      </v>
          </cell>
          <cell r="G903" t="str">
            <v>U-20/4</v>
          </cell>
          <cell r="H903" t="str">
            <v>MISTRZÓWKA</v>
          </cell>
          <cell r="I903" t="str">
            <v>23-98</v>
          </cell>
          <cell r="J903" t="str">
            <v>529</v>
          </cell>
          <cell r="K903" t="str">
            <v>491-03136</v>
          </cell>
          <cell r="L903" t="str">
            <v>166</v>
          </cell>
          <cell r="M903" t="str">
            <v/>
          </cell>
          <cell r="N903" t="str">
            <v>80</v>
          </cell>
        </row>
        <row r="904">
          <cell r="A904" t="str">
            <v>STACJA ROBOCZA</v>
          </cell>
          <cell r="B904" t="str">
            <v>COMPAQ DESKPRO EXD PIII 733</v>
          </cell>
          <cell r="C904" t="str">
            <v>491-4286</v>
          </cell>
          <cell r="D904" t="str">
            <v>8036FR4Z3894</v>
          </cell>
          <cell r="E904" t="str">
            <v xml:space="preserve">RO </v>
          </cell>
          <cell r="F904" t="str">
            <v xml:space="preserve">NITECKI                  CZESŁAW        </v>
          </cell>
          <cell r="G904" t="str">
            <v>U-12</v>
          </cell>
          <cell r="H904" t="str">
            <v>227</v>
          </cell>
          <cell r="I904" t="str">
            <v>26-80</v>
          </cell>
          <cell r="J904" t="str">
            <v>651</v>
          </cell>
          <cell r="K904" t="str">
            <v>491-04286</v>
          </cell>
          <cell r="L904" t="str">
            <v>733</v>
          </cell>
          <cell r="M904" t="str">
            <v/>
          </cell>
          <cell r="N904" t="str">
            <v>127</v>
          </cell>
        </row>
        <row r="905">
          <cell r="A905" t="str">
            <v>STACJA ROBOCZA</v>
          </cell>
          <cell r="B905" t="str">
            <v>DELL Optiplex GX150</v>
          </cell>
          <cell r="C905" t="str">
            <v>491-4721</v>
          </cell>
          <cell r="D905" t="str">
            <v>6NVX60J</v>
          </cell>
          <cell r="E905" t="str">
            <v xml:space="preserve">RO </v>
          </cell>
          <cell r="F905" t="str">
            <v xml:space="preserve">KĘDZIERSKI               ZDZISŁAW       </v>
          </cell>
          <cell r="G905" t="str">
            <v>U-4/1</v>
          </cell>
          <cell r="H905" t="str">
            <v>7</v>
          </cell>
          <cell r="I905" t="str">
            <v>25-26</v>
          </cell>
          <cell r="J905" t="str">
            <v>482</v>
          </cell>
          <cell r="K905" t="str">
            <v>491-04721</v>
          </cell>
          <cell r="L905" t="str">
            <v>1000</v>
          </cell>
          <cell r="M905" t="str">
            <v/>
          </cell>
          <cell r="N905" t="str">
            <v>255</v>
          </cell>
        </row>
        <row r="906">
          <cell r="A906" t="str">
            <v>STACJA ROBOCZA</v>
          </cell>
          <cell r="B906" t="str">
            <v>DELL Optiplex GX260 SD</v>
          </cell>
          <cell r="C906" t="str">
            <v>491-5051</v>
          </cell>
          <cell r="D906" t="str">
            <v>8L2GL0J</v>
          </cell>
          <cell r="E906" t="str">
            <v xml:space="preserve">RO </v>
          </cell>
          <cell r="F906" t="str">
            <v xml:space="preserve">NOWICKI                  JERZY          </v>
          </cell>
          <cell r="G906" t="str">
            <v>U-23</v>
          </cell>
          <cell r="H906" t="str">
            <v>1</v>
          </cell>
          <cell r="I906" t="str">
            <v>10-15</v>
          </cell>
          <cell r="J906" t="str">
            <v>648</v>
          </cell>
          <cell r="K906" t="str">
            <v>491-05051</v>
          </cell>
          <cell r="L906" t="str">
            <v>2400</v>
          </cell>
          <cell r="M906" t="str">
            <v/>
          </cell>
          <cell r="N906" t="str">
            <v>254</v>
          </cell>
        </row>
        <row r="907">
          <cell r="A907" t="str">
            <v>STACJA ROBOCZA</v>
          </cell>
          <cell r="B907" t="str">
            <v>DELL PRECISION  WS340</v>
          </cell>
          <cell r="C907" t="str">
            <v>491-4907</v>
          </cell>
          <cell r="D907" t="str">
            <v>H8LK90J</v>
          </cell>
          <cell r="E907" t="str">
            <v xml:space="preserve">RP </v>
          </cell>
          <cell r="F907" t="str">
            <v xml:space="preserve">MARSZAŁEK                WOJCIECH       </v>
          </cell>
          <cell r="G907" t="str">
            <v>U-2</v>
          </cell>
          <cell r="H907" t="str">
            <v>127</v>
          </cell>
          <cell r="I907" t="str">
            <v>24-47</v>
          </cell>
          <cell r="J907" t="str">
            <v>581</v>
          </cell>
          <cell r="K907" t="str">
            <v/>
          </cell>
          <cell r="L907" t="str">
            <v>1800</v>
          </cell>
          <cell r="M907" t="str">
            <v>OK55J</v>
          </cell>
          <cell r="N907" t="str">
            <v>512</v>
          </cell>
        </row>
        <row r="908">
          <cell r="A908" t="str">
            <v>STACJA ROBOCZA</v>
          </cell>
          <cell r="B908" t="str">
            <v>COMPAQ DESKPRO EXD PIII 733</v>
          </cell>
          <cell r="C908" t="str">
            <v>491-4281</v>
          </cell>
          <cell r="D908" t="str">
            <v>8036FR4ZE515</v>
          </cell>
          <cell r="E908" t="str">
            <v xml:space="preserve">RP </v>
          </cell>
          <cell r="F908" t="str">
            <v xml:space="preserve">KOTYLA                   REMIGIUSZ      </v>
          </cell>
          <cell r="G908" t="str">
            <v>U-12</v>
          </cell>
          <cell r="H908" t="str">
            <v>227</v>
          </cell>
          <cell r="I908" t="str">
            <v>14-66</v>
          </cell>
          <cell r="J908" t="str">
            <v>480</v>
          </cell>
          <cell r="K908" t="str">
            <v>491-04281</v>
          </cell>
          <cell r="L908" t="str">
            <v>733</v>
          </cell>
          <cell r="M908" t="str">
            <v/>
          </cell>
          <cell r="N908" t="str">
            <v>127</v>
          </cell>
        </row>
        <row r="909">
          <cell r="A909" t="str">
            <v>STACJA ROBOCZA</v>
          </cell>
          <cell r="B909" t="str">
            <v>KOMPUTER PC/AT</v>
          </cell>
          <cell r="C909" t="str">
            <v>491-1620/1580</v>
          </cell>
          <cell r="D909" t="str">
            <v>935934</v>
          </cell>
          <cell r="E909" t="str">
            <v xml:space="preserve">RP </v>
          </cell>
          <cell r="F909" t="str">
            <v xml:space="preserve">ALAMA                    JAROSŁAW       </v>
          </cell>
          <cell r="G909" t="str">
            <v>U-12</v>
          </cell>
          <cell r="H909" t="str">
            <v>227a</v>
          </cell>
          <cell r="I909" t="str">
            <v>28-47</v>
          </cell>
          <cell r="J909" t="str">
            <v>4747</v>
          </cell>
          <cell r="K909" t="str">
            <v>491-01620-1580</v>
          </cell>
          <cell r="L909" t="str">
            <v>333</v>
          </cell>
          <cell r="M909" t="str">
            <v/>
          </cell>
          <cell r="N909" t="str">
            <v>64</v>
          </cell>
        </row>
        <row r="910">
          <cell r="A910" t="str">
            <v>STACJA ROBOCZA</v>
          </cell>
          <cell r="B910" t="str">
            <v>NEC Direction Minitower P III 450</v>
          </cell>
          <cell r="C910" t="str">
            <v>491-3765</v>
          </cell>
          <cell r="D910" t="str">
            <v>0131109</v>
          </cell>
          <cell r="E910" t="str">
            <v xml:space="preserve">RP </v>
          </cell>
          <cell r="F910" t="str">
            <v xml:space="preserve">ŚWIĄDER                  KRZYSZTOF      </v>
          </cell>
          <cell r="G910" t="str">
            <v>U-12</v>
          </cell>
          <cell r="H910" t="str">
            <v>227</v>
          </cell>
          <cell r="I910" t="str">
            <v/>
          </cell>
          <cell r="J910" t="str">
            <v>7789</v>
          </cell>
          <cell r="K910" t="str">
            <v>491-03765</v>
          </cell>
          <cell r="L910" t="str">
            <v>450</v>
          </cell>
          <cell r="M910" t="str">
            <v/>
          </cell>
          <cell r="N910" t="str">
            <v>128</v>
          </cell>
        </row>
        <row r="911">
          <cell r="A911" t="str">
            <v>STACJA ROBOCZA</v>
          </cell>
          <cell r="B911" t="str">
            <v>NEC Direction Minitower P III 450</v>
          </cell>
          <cell r="C911" t="str">
            <v>491-3754</v>
          </cell>
          <cell r="D911" t="str">
            <v>0149109</v>
          </cell>
          <cell r="E911" t="str">
            <v xml:space="preserve">RP </v>
          </cell>
          <cell r="F911" t="str">
            <v xml:space="preserve">KULPA                    WIESŁAW        </v>
          </cell>
          <cell r="G911" t="str">
            <v>U-50</v>
          </cell>
          <cell r="H911" t="str">
            <v>105</v>
          </cell>
          <cell r="I911" t="str">
            <v>12-30</v>
          </cell>
          <cell r="J911" t="str">
            <v>392</v>
          </cell>
          <cell r="K911" t="str">
            <v>491-03754</v>
          </cell>
          <cell r="L911" t="str">
            <v>450</v>
          </cell>
          <cell r="M911" t="str">
            <v/>
          </cell>
          <cell r="N911" t="str">
            <v>192</v>
          </cell>
        </row>
        <row r="912">
          <cell r="A912" t="str">
            <v>STACJA ROBOCZA</v>
          </cell>
          <cell r="B912" t="str">
            <v>NEC Direction Minitower P III 450</v>
          </cell>
          <cell r="C912" t="str">
            <v>491-3750</v>
          </cell>
          <cell r="D912" t="str">
            <v>0146109</v>
          </cell>
          <cell r="E912" t="str">
            <v xml:space="preserve">RP </v>
          </cell>
          <cell r="F912" t="str">
            <v xml:space="preserve">PAPUGA                   JAN            </v>
          </cell>
          <cell r="G912" t="str">
            <v>U-12</v>
          </cell>
          <cell r="H912" t="str">
            <v>227</v>
          </cell>
          <cell r="I912" t="str">
            <v/>
          </cell>
          <cell r="J912" t="str">
            <v>781</v>
          </cell>
          <cell r="K912" t="str">
            <v>491-03750</v>
          </cell>
          <cell r="L912" t="str">
            <v>450</v>
          </cell>
          <cell r="M912" t="str">
            <v/>
          </cell>
          <cell r="N912" t="str">
            <v>192</v>
          </cell>
        </row>
        <row r="913">
          <cell r="A913" t="str">
            <v>STACJA ROBOCZA</v>
          </cell>
          <cell r="B913" t="str">
            <v>NEC POWER MATE PIII 450</v>
          </cell>
          <cell r="C913" t="str">
            <v>491-3966</v>
          </cell>
          <cell r="D913" t="str">
            <v>Z0063109</v>
          </cell>
          <cell r="E913" t="str">
            <v xml:space="preserve">RP </v>
          </cell>
          <cell r="F913" t="str">
            <v xml:space="preserve">GALEWSKI                 JAN            </v>
          </cell>
          <cell r="G913" t="str">
            <v>U-12</v>
          </cell>
          <cell r="H913" t="str">
            <v>227</v>
          </cell>
          <cell r="I913" t="str">
            <v>24-69</v>
          </cell>
          <cell r="J913" t="str">
            <v>281</v>
          </cell>
          <cell r="K913" t="str">
            <v>491-03966</v>
          </cell>
          <cell r="L913" t="str">
            <v>450</v>
          </cell>
          <cell r="M913" t="str">
            <v/>
          </cell>
          <cell r="N913" t="str">
            <v>64</v>
          </cell>
        </row>
        <row r="914">
          <cell r="A914" t="str">
            <v>STACJA ROBOCZA</v>
          </cell>
          <cell r="B914" t="str">
            <v>DELL Optiplex GX1L 266</v>
          </cell>
          <cell r="C914" t="str">
            <v>491-3332</v>
          </cell>
          <cell r="D914" t="str">
            <v>NM1HZ</v>
          </cell>
          <cell r="E914" t="str">
            <v xml:space="preserve">RP </v>
          </cell>
          <cell r="F914" t="str">
            <v xml:space="preserve">KOPACZEWSKI              JÓZEF          </v>
          </cell>
          <cell r="G914" t="str">
            <v>U-2/3</v>
          </cell>
          <cell r="H914" t="str">
            <v>4B</v>
          </cell>
          <cell r="I914" t="str">
            <v>15-11</v>
          </cell>
          <cell r="J914" t="str">
            <v>361</v>
          </cell>
          <cell r="K914" t="str">
            <v>491-03332</v>
          </cell>
          <cell r="L914" t="str">
            <v>266</v>
          </cell>
          <cell r="M914" t="str">
            <v/>
          </cell>
          <cell r="N914" t="str">
            <v>64</v>
          </cell>
        </row>
        <row r="915">
          <cell r="A915" t="str">
            <v>STACJA ROBOCZA</v>
          </cell>
          <cell r="B915" t="str">
            <v>ZENITH Z STATION P200</v>
          </cell>
          <cell r="C915" t="str">
            <v>491-3120</v>
          </cell>
          <cell r="D915" t="str">
            <v>GVDD72904625</v>
          </cell>
          <cell r="E915" t="str">
            <v xml:space="preserve">RP </v>
          </cell>
          <cell r="F915" t="str">
            <v xml:space="preserve">KOWALCZYK                ANDRZEJ        </v>
          </cell>
          <cell r="G915" t="str">
            <v>U-2</v>
          </cell>
          <cell r="H915" t="str">
            <v>226</v>
          </cell>
          <cell r="I915" t="str">
            <v>16-85</v>
          </cell>
          <cell r="J915" t="str">
            <v>477</v>
          </cell>
          <cell r="K915" t="str">
            <v>RPANDRZEJK</v>
          </cell>
          <cell r="L915" t="str">
            <v>200</v>
          </cell>
          <cell r="M915" t="str">
            <v>Będą zdawać (JMAS)</v>
          </cell>
          <cell r="N915" t="str">
            <v/>
          </cell>
        </row>
        <row r="916">
          <cell r="A916" t="str">
            <v>STACJA ROBOCZA</v>
          </cell>
          <cell r="B916" t="str">
            <v>DELL Optiplex GX1MT 350</v>
          </cell>
          <cell r="C916" t="str">
            <v>491-3511</v>
          </cell>
          <cell r="D916" t="str">
            <v>PKN32</v>
          </cell>
          <cell r="E916" t="str">
            <v xml:space="preserve">RP </v>
          </cell>
          <cell r="F916" t="str">
            <v xml:space="preserve">PĘDZIWIATR               ADAM           </v>
          </cell>
          <cell r="G916" t="str">
            <v>U-3</v>
          </cell>
          <cell r="H916" t="str">
            <v>300</v>
          </cell>
          <cell r="I916" t="str">
            <v>25-20</v>
          </cell>
          <cell r="J916" t="str">
            <v>5613</v>
          </cell>
          <cell r="K916" t="str">
            <v>DELL08</v>
          </cell>
          <cell r="L916" t="str">
            <v>350</v>
          </cell>
          <cell r="M916" t="str">
            <v>OK55J</v>
          </cell>
          <cell r="N916" t="str">
            <v/>
          </cell>
        </row>
        <row r="917">
          <cell r="A917" t="str">
            <v>STACJA ROBOCZA</v>
          </cell>
          <cell r="B917" t="str">
            <v>DELL Optiplex GX1M 350</v>
          </cell>
          <cell r="C917" t="str">
            <v>491-3560</v>
          </cell>
          <cell r="D917" t="str">
            <v>PKGQ4</v>
          </cell>
          <cell r="E917" t="str">
            <v xml:space="preserve">RP </v>
          </cell>
          <cell r="F917" t="str">
            <v xml:space="preserve">JAŚKIEWICZ               BOGDAN         </v>
          </cell>
          <cell r="G917" t="str">
            <v>U-12</v>
          </cell>
          <cell r="H917" t="str">
            <v>217</v>
          </cell>
          <cell r="I917" t="str">
            <v>28-46</v>
          </cell>
          <cell r="J917" t="str">
            <v>314</v>
          </cell>
          <cell r="K917" t="str">
            <v>491-03560</v>
          </cell>
          <cell r="L917" t="str">
            <v>350</v>
          </cell>
          <cell r="M917" t="str">
            <v/>
          </cell>
          <cell r="N917" t="str">
            <v>64</v>
          </cell>
        </row>
        <row r="918">
          <cell r="A918" t="str">
            <v>STACJA ROBOCZA</v>
          </cell>
          <cell r="B918" t="str">
            <v>KOMPUTER 386DX</v>
          </cell>
          <cell r="C918" t="str">
            <v>491-2066</v>
          </cell>
          <cell r="D918" t="str">
            <v>3607/043</v>
          </cell>
          <cell r="E918" t="str">
            <v xml:space="preserve">RP </v>
          </cell>
          <cell r="F918" t="str">
            <v xml:space="preserve">NOWAK                    GRZEGORZ       </v>
          </cell>
          <cell r="G918" t="str">
            <v>U-12</v>
          </cell>
          <cell r="H918" t="str">
            <v>227a</v>
          </cell>
          <cell r="I918" t="str">
            <v>14-66</v>
          </cell>
          <cell r="J918" t="str">
            <v>8371</v>
          </cell>
          <cell r="K918" t="str">
            <v>491-02066</v>
          </cell>
          <cell r="L918" t="str">
            <v>550</v>
          </cell>
          <cell r="M918" t="str">
            <v/>
          </cell>
          <cell r="N918" t="str">
            <v>128</v>
          </cell>
        </row>
        <row r="919">
          <cell r="A919" t="str">
            <v>STACJA ROBOCZA</v>
          </cell>
          <cell r="B919" t="str">
            <v>NEC PMVT Desktop P III 450</v>
          </cell>
          <cell r="C919" t="str">
            <v>491-3782</v>
          </cell>
          <cell r="D919" t="str">
            <v>0739109</v>
          </cell>
          <cell r="E919" t="str">
            <v xml:space="preserve">RP </v>
          </cell>
          <cell r="F919" t="str">
            <v xml:space="preserve">ANTOSZCZYK               ANNA           </v>
          </cell>
          <cell r="G919" t="str">
            <v>U-12</v>
          </cell>
          <cell r="H919" t="str">
            <v>227</v>
          </cell>
          <cell r="I919" t="str">
            <v>27-11</v>
          </cell>
          <cell r="J919" t="str">
            <v>13</v>
          </cell>
          <cell r="K919" t="str">
            <v>491-03782</v>
          </cell>
          <cell r="L919" t="str">
            <v>450</v>
          </cell>
          <cell r="M919" t="str">
            <v/>
          </cell>
          <cell r="N919" t="str">
            <v>64</v>
          </cell>
        </row>
        <row r="920">
          <cell r="A920" t="str">
            <v>STACJA ROBOCZA</v>
          </cell>
          <cell r="B920" t="str">
            <v>DELL Optiplex GX150</v>
          </cell>
          <cell r="C920" t="str">
            <v>491-4702</v>
          </cell>
          <cell r="D920" t="str">
            <v>21WX60J</v>
          </cell>
          <cell r="E920" t="str">
            <v xml:space="preserve">RP </v>
          </cell>
          <cell r="F920" t="str">
            <v xml:space="preserve">PĘTELSKA                 ZOFIA          </v>
          </cell>
          <cell r="G920" t="str">
            <v>U-12</v>
          </cell>
          <cell r="H920" t="str">
            <v>227C</v>
          </cell>
          <cell r="I920" t="str">
            <v>14-82</v>
          </cell>
          <cell r="J920" t="str">
            <v>762</v>
          </cell>
          <cell r="K920" t="str">
            <v>491-04702</v>
          </cell>
          <cell r="L920" t="str">
            <v>1000</v>
          </cell>
          <cell r="M920" t="str">
            <v/>
          </cell>
          <cell r="N920" t="str">
            <v>255</v>
          </cell>
        </row>
        <row r="921">
          <cell r="A921" t="str">
            <v>STACJA ROBOCZA</v>
          </cell>
          <cell r="B921" t="str">
            <v>DELL Optiplex GX150</v>
          </cell>
          <cell r="C921" t="str">
            <v>491-4703</v>
          </cell>
          <cell r="D921" t="str">
            <v>4MVX60J</v>
          </cell>
          <cell r="E921" t="str">
            <v xml:space="preserve">RP </v>
          </cell>
          <cell r="F921" t="str">
            <v xml:space="preserve">HEJAK                    SŁAWOMIR       </v>
          </cell>
          <cell r="G921" t="str">
            <v>U-3</v>
          </cell>
          <cell r="H921" t="str">
            <v>210</v>
          </cell>
          <cell r="I921" t="str">
            <v>17-12</v>
          </cell>
          <cell r="J921" t="str">
            <v>285</v>
          </cell>
          <cell r="K921" t="str">
            <v>491-04703</v>
          </cell>
          <cell r="L921" t="str">
            <v>1000</v>
          </cell>
          <cell r="M921" t="str">
            <v/>
          </cell>
          <cell r="N921" t="str">
            <v>255</v>
          </cell>
        </row>
        <row r="922">
          <cell r="A922" t="str">
            <v>STACJA ROBOCZA</v>
          </cell>
          <cell r="B922" t="str">
            <v>DELL Optiplex GX1L 266</v>
          </cell>
          <cell r="C922" t="str">
            <v>491-3333</v>
          </cell>
          <cell r="D922" t="str">
            <v>NM1HR</v>
          </cell>
          <cell r="E922" t="str">
            <v xml:space="preserve">RP </v>
          </cell>
          <cell r="F922" t="str">
            <v xml:space="preserve">ZDYB                     RYSZARD        </v>
          </cell>
          <cell r="G922" t="str">
            <v>U-11</v>
          </cell>
          <cell r="H922" t="str">
            <v>806</v>
          </cell>
          <cell r="I922" t="str">
            <v>16-08</v>
          </cell>
          <cell r="J922" t="str">
            <v>1128</v>
          </cell>
          <cell r="K922" t="str">
            <v>491-03333</v>
          </cell>
          <cell r="L922" t="str">
            <v>266</v>
          </cell>
          <cell r="M922" t="str">
            <v/>
          </cell>
          <cell r="N922" t="str">
            <v>64</v>
          </cell>
        </row>
        <row r="923">
          <cell r="A923" t="str">
            <v>STACJA ROBOCZA</v>
          </cell>
          <cell r="B923" t="str">
            <v>DELL Optiplex GX150</v>
          </cell>
          <cell r="C923" t="str">
            <v>491-4704</v>
          </cell>
          <cell r="D923" t="str">
            <v>6MVX60J</v>
          </cell>
          <cell r="E923" t="str">
            <v xml:space="preserve">RP </v>
          </cell>
          <cell r="F923" t="str">
            <v xml:space="preserve">KULIGOWSKI               JANUSZ         </v>
          </cell>
          <cell r="G923" t="str">
            <v>U-3</v>
          </cell>
          <cell r="H923" t="str">
            <v>300</v>
          </cell>
          <cell r="I923" t="str">
            <v>14-27</v>
          </cell>
          <cell r="J923" t="str">
            <v>354</v>
          </cell>
          <cell r="K923" t="str">
            <v>491-04704</v>
          </cell>
          <cell r="L923" t="str">
            <v>1000</v>
          </cell>
          <cell r="M923" t="str">
            <v/>
          </cell>
          <cell r="N923" t="str">
            <v>255</v>
          </cell>
        </row>
        <row r="924">
          <cell r="A924" t="str">
            <v>STACJA ROBOCZA</v>
          </cell>
          <cell r="B924" t="str">
            <v>KOMPUTER PC/AT</v>
          </cell>
          <cell r="C924" t="str">
            <v>491-1620/K006</v>
          </cell>
          <cell r="D924" t="str">
            <v>0B23A</v>
          </cell>
          <cell r="E924" t="str">
            <v xml:space="preserve">RP </v>
          </cell>
          <cell r="F924" t="str">
            <v xml:space="preserve">ZYCH                     JERZY          </v>
          </cell>
          <cell r="G924" t="str">
            <v>U-11</v>
          </cell>
          <cell r="H924" t="str">
            <v>809</v>
          </cell>
          <cell r="I924" t="str">
            <v>17-93</v>
          </cell>
          <cell r="J924" t="str">
            <v>2048</v>
          </cell>
          <cell r="K924" t="str">
            <v>491-01620-K006</v>
          </cell>
          <cell r="L924" t="str">
            <v>333</v>
          </cell>
          <cell r="M924" t="str">
            <v/>
          </cell>
          <cell r="N924" t="str">
            <v>96</v>
          </cell>
        </row>
        <row r="925">
          <cell r="A925" t="str">
            <v>STACJA ROBOCZA</v>
          </cell>
          <cell r="B925" t="str">
            <v>IVERSON MIC-33</v>
          </cell>
          <cell r="C925" t="str">
            <v>491-1864</v>
          </cell>
          <cell r="D925" t="str">
            <v>792-1031-010</v>
          </cell>
          <cell r="E925" t="str">
            <v xml:space="preserve">RP </v>
          </cell>
          <cell r="F925" t="str">
            <v xml:space="preserve">PATRZYKĄT                CZESŁAW        </v>
          </cell>
          <cell r="G925" t="str">
            <v/>
          </cell>
          <cell r="H925" t="str">
            <v/>
          </cell>
          <cell r="I925" t="str">
            <v/>
          </cell>
          <cell r="J925" t="str">
            <v>716</v>
          </cell>
          <cell r="K925" t="str">
            <v/>
          </cell>
          <cell r="L925" t="str">
            <v>366</v>
          </cell>
          <cell r="M925" t="str">
            <v>OK19M</v>
          </cell>
          <cell r="N925" t="str">
            <v>64</v>
          </cell>
        </row>
        <row r="926">
          <cell r="A926" t="str">
            <v>NOTEBOOK</v>
          </cell>
          <cell r="B926" t="str">
            <v>DELL Latitude C640</v>
          </cell>
          <cell r="C926" t="str">
            <v>491-5058</v>
          </cell>
          <cell r="D926" t="str">
            <v>15RGL0J</v>
          </cell>
          <cell r="E926" t="str">
            <v xml:space="preserve">RP </v>
          </cell>
          <cell r="F926" t="str">
            <v xml:space="preserve">NĘDZA                    MARIUSZ        </v>
          </cell>
          <cell r="G926" t="str">
            <v>U-12</v>
          </cell>
          <cell r="H926" t="str">
            <v>227</v>
          </cell>
          <cell r="I926" t="str">
            <v>34-15</v>
          </cell>
          <cell r="J926" t="str">
            <v>9283</v>
          </cell>
          <cell r="K926" t="str">
            <v>491-05058</v>
          </cell>
          <cell r="L926" t="str">
            <v>1800</v>
          </cell>
          <cell r="M926" t="str">
            <v/>
          </cell>
          <cell r="N926" t="str">
            <v>256</v>
          </cell>
        </row>
        <row r="927">
          <cell r="A927" t="str">
            <v>STACJA ROBOCZA</v>
          </cell>
          <cell r="B927" t="str">
            <v>KOMPUTER 486DX</v>
          </cell>
          <cell r="C927" t="str">
            <v>491-1620/11325</v>
          </cell>
          <cell r="D927" t="str">
            <v>11325/075</v>
          </cell>
          <cell r="E927" t="str">
            <v xml:space="preserve">RP </v>
          </cell>
          <cell r="F927" t="str">
            <v xml:space="preserve">STELMASIK                ELŻBIETA       </v>
          </cell>
          <cell r="G927" t="str">
            <v>U-2</v>
          </cell>
          <cell r="H927" t="str">
            <v>116</v>
          </cell>
          <cell r="I927" t="str">
            <v>16-15</v>
          </cell>
          <cell r="J927" t="str">
            <v>3319</v>
          </cell>
          <cell r="K927" t="str">
            <v>491-01620-11325</v>
          </cell>
          <cell r="L927" t="str">
            <v>333</v>
          </cell>
          <cell r="M927" t="str">
            <v>OK55M</v>
          </cell>
          <cell r="N927" t="str">
            <v>64</v>
          </cell>
        </row>
        <row r="928">
          <cell r="A928" t="str">
            <v>STACJA ROBOCZA</v>
          </cell>
          <cell r="B928" t="str">
            <v>DELL Optiplex GX260 SD</v>
          </cell>
          <cell r="C928" t="str">
            <v>491-5108</v>
          </cell>
          <cell r="D928" t="str">
            <v>6LYGL0J</v>
          </cell>
          <cell r="E928" t="str">
            <v xml:space="preserve">RP </v>
          </cell>
          <cell r="F928" t="str">
            <v xml:space="preserve">KAJDANIAK                JACEK          </v>
          </cell>
          <cell r="G928" t="str">
            <v>U-3</v>
          </cell>
          <cell r="H928" t="str">
            <v>210</v>
          </cell>
          <cell r="I928" t="str">
            <v>17-12</v>
          </cell>
          <cell r="J928" t="str">
            <v>487</v>
          </cell>
          <cell r="K928" t="str">
            <v>491-05108</v>
          </cell>
          <cell r="L928" t="str">
            <v>2400</v>
          </cell>
          <cell r="M928" t="str">
            <v/>
          </cell>
          <cell r="N928" t="str">
            <v>254</v>
          </cell>
        </row>
        <row r="929">
          <cell r="A929" t="str">
            <v>STACJA ROBOCZA</v>
          </cell>
          <cell r="B929" t="str">
            <v>COMPAQ DESKPRO EXD PIII 733</v>
          </cell>
          <cell r="C929" t="str">
            <v>491-4341</v>
          </cell>
          <cell r="D929" t="str">
            <v>8036FR4Z6053</v>
          </cell>
          <cell r="E929" t="str">
            <v xml:space="preserve">RP </v>
          </cell>
          <cell r="F929" t="str">
            <v xml:space="preserve">BARA                     TOMASZ         </v>
          </cell>
          <cell r="G929" t="str">
            <v>U-3</v>
          </cell>
          <cell r="H929" t="str">
            <v>211</v>
          </cell>
          <cell r="I929" t="str">
            <v>17-12</v>
          </cell>
          <cell r="J929" t="str">
            <v>9249</v>
          </cell>
          <cell r="K929" t="str">
            <v>491-04341</v>
          </cell>
          <cell r="L929" t="str">
            <v>733</v>
          </cell>
          <cell r="M929" t="str">
            <v/>
          </cell>
          <cell r="N929" t="str">
            <v>255</v>
          </cell>
        </row>
        <row r="930">
          <cell r="A930" t="str">
            <v>STACJA ROBOCZA</v>
          </cell>
          <cell r="B930" t="str">
            <v>COMPAQ DESKPRO EXD PIII 733</v>
          </cell>
          <cell r="C930" t="str">
            <v>491-4480</v>
          </cell>
          <cell r="D930" t="str">
            <v>8036FR4ZE536</v>
          </cell>
          <cell r="E930" t="str">
            <v xml:space="preserve">RP </v>
          </cell>
          <cell r="F930" t="str">
            <v xml:space="preserve">NĘDZA                    MARIUSZ        </v>
          </cell>
          <cell r="G930" t="str">
            <v>U-12</v>
          </cell>
          <cell r="H930" t="str">
            <v>227</v>
          </cell>
          <cell r="I930" t="str">
            <v>34-15</v>
          </cell>
          <cell r="J930" t="str">
            <v>9283</v>
          </cell>
          <cell r="K930" t="str">
            <v>491-04480</v>
          </cell>
          <cell r="L930" t="str">
            <v>733</v>
          </cell>
          <cell r="M930" t="str">
            <v/>
          </cell>
          <cell r="N930" t="str">
            <v>127</v>
          </cell>
        </row>
        <row r="931">
          <cell r="A931" t="str">
            <v>STACJA ROBOCZA</v>
          </cell>
          <cell r="B931" t="str">
            <v>KOMPUTER PC/AT</v>
          </cell>
          <cell r="C931" t="str">
            <v>491-1808</v>
          </cell>
          <cell r="D931" t="str">
            <v>256354/1652</v>
          </cell>
          <cell r="E931" t="str">
            <v xml:space="preserve">RP </v>
          </cell>
          <cell r="F931" t="str">
            <v xml:space="preserve">MARSZAŁEK                WOJCIECH       </v>
          </cell>
          <cell r="G931" t="str">
            <v>U-2</v>
          </cell>
          <cell r="H931" t="str">
            <v>127</v>
          </cell>
          <cell r="I931" t="str">
            <v>24-47</v>
          </cell>
          <cell r="J931" t="str">
            <v>581</v>
          </cell>
          <cell r="K931" t="str">
            <v/>
          </cell>
          <cell r="L931" t="str">
            <v>0</v>
          </cell>
          <cell r="M931" t="str">
            <v>DO LIKWIDACJI</v>
          </cell>
          <cell r="N931" t="str">
            <v/>
          </cell>
        </row>
        <row r="932">
          <cell r="A932" t="str">
            <v>STACJA ROBOCZA</v>
          </cell>
          <cell r="B932" t="str">
            <v>DELL Optiplex GX1L 266</v>
          </cell>
          <cell r="C932" t="str">
            <v>491-3225</v>
          </cell>
          <cell r="D932" t="str">
            <v>NM158</v>
          </cell>
          <cell r="E932" t="str">
            <v xml:space="preserve">RP </v>
          </cell>
          <cell r="F932" t="str">
            <v xml:space="preserve">WARZECHA                 JANUSZ         </v>
          </cell>
          <cell r="G932" t="str">
            <v>U-3</v>
          </cell>
          <cell r="H932" t="str">
            <v>103</v>
          </cell>
          <cell r="I932" t="str">
            <v>17-12</v>
          </cell>
          <cell r="J932" t="str">
            <v>9219</v>
          </cell>
          <cell r="K932" t="str">
            <v>491-03225</v>
          </cell>
          <cell r="L932" t="str">
            <v>266</v>
          </cell>
          <cell r="M932" t="str">
            <v>OK55J</v>
          </cell>
          <cell r="N932" t="str">
            <v>128</v>
          </cell>
        </row>
        <row r="933">
          <cell r="A933" t="str">
            <v>STACJA ROBOCZA</v>
          </cell>
          <cell r="B933" t="str">
            <v>NEC Direction Minitower P III 450</v>
          </cell>
          <cell r="C933" t="str">
            <v>491-3764</v>
          </cell>
          <cell r="D933" t="str">
            <v>0134109</v>
          </cell>
          <cell r="E933" t="str">
            <v xml:space="preserve">RP </v>
          </cell>
          <cell r="F933" t="str">
            <v xml:space="preserve">KLIMA                    MATEUSZ        </v>
          </cell>
          <cell r="G933" t="str">
            <v>U-12</v>
          </cell>
          <cell r="H933" t="str">
            <v>227a</v>
          </cell>
          <cell r="I933" t="str">
            <v>28-47</v>
          </cell>
          <cell r="J933" t="str">
            <v>9575</v>
          </cell>
          <cell r="K933" t="str">
            <v>491-03764</v>
          </cell>
          <cell r="L933" t="str">
            <v>450</v>
          </cell>
          <cell r="M933" t="str">
            <v>OK51J</v>
          </cell>
          <cell r="N933" t="str">
            <v>192</v>
          </cell>
        </row>
        <row r="934">
          <cell r="A934" t="str">
            <v>STACJA ROBOCZA</v>
          </cell>
          <cell r="B934" t="str">
            <v>DELL Optiplex GX1L 266</v>
          </cell>
          <cell r="C934" t="str">
            <v>491-3424</v>
          </cell>
          <cell r="D934" t="str">
            <v>NM1J7</v>
          </cell>
          <cell r="E934" t="str">
            <v xml:space="preserve">RP </v>
          </cell>
          <cell r="F934" t="str">
            <v xml:space="preserve">MICHALAK                 ALEKSANDER     </v>
          </cell>
          <cell r="G934" t="str">
            <v>W6/1</v>
          </cell>
          <cell r="H934" t="str">
            <v>12</v>
          </cell>
          <cell r="I934" t="str">
            <v>16-18</v>
          </cell>
          <cell r="J934" t="str">
            <v>612</v>
          </cell>
          <cell r="K934" t="str">
            <v>491-03424</v>
          </cell>
          <cell r="L934" t="str">
            <v>266</v>
          </cell>
          <cell r="M934" t="str">
            <v/>
          </cell>
          <cell r="N934" t="str">
            <v>192</v>
          </cell>
        </row>
        <row r="935">
          <cell r="A935" t="str">
            <v>STACJA ROBOCZA</v>
          </cell>
          <cell r="B935" t="str">
            <v>DELL Optiplex GX1MT 350</v>
          </cell>
          <cell r="C935" t="str">
            <v>491-3503</v>
          </cell>
          <cell r="D935" t="str">
            <v>PKN3N</v>
          </cell>
          <cell r="E935" t="str">
            <v xml:space="preserve">RP </v>
          </cell>
          <cell r="F935" t="str">
            <v xml:space="preserve">MARSZAŁEK                WOJCIECH       </v>
          </cell>
          <cell r="G935" t="str">
            <v>U-2</v>
          </cell>
          <cell r="H935" t="str">
            <v>127</v>
          </cell>
          <cell r="I935" t="str">
            <v>24-47</v>
          </cell>
          <cell r="J935" t="str">
            <v>581</v>
          </cell>
          <cell r="K935" t="str">
            <v>491-03503</v>
          </cell>
          <cell r="L935" t="str">
            <v>350</v>
          </cell>
          <cell r="M935" t="str">
            <v/>
          </cell>
          <cell r="N935" t="str">
            <v>192</v>
          </cell>
        </row>
        <row r="936">
          <cell r="A936" t="str">
            <v>STACJA ROBOCZA</v>
          </cell>
          <cell r="B936" t="str">
            <v>DELL Optiplex GX260 SD</v>
          </cell>
          <cell r="C936" t="str">
            <v>491-5105</v>
          </cell>
          <cell r="D936" t="str">
            <v>6KYGL0J</v>
          </cell>
          <cell r="E936" t="str">
            <v xml:space="preserve">RP </v>
          </cell>
          <cell r="F936" t="str">
            <v xml:space="preserve">STEFAŃSKI                PAWEŁ          </v>
          </cell>
          <cell r="G936" t="str">
            <v>U-12</v>
          </cell>
          <cell r="H936" t="str">
            <v>227C</v>
          </cell>
          <cell r="I936" t="str">
            <v>24-69</v>
          </cell>
          <cell r="J936" t="str">
            <v>903</v>
          </cell>
          <cell r="K936" t="str">
            <v>491-05105</v>
          </cell>
          <cell r="L936" t="str">
            <v>2400</v>
          </cell>
          <cell r="M936" t="str">
            <v/>
          </cell>
          <cell r="N936" t="str">
            <v>254</v>
          </cell>
        </row>
        <row r="937">
          <cell r="A937" t="str">
            <v>STACJA ROBOCZA</v>
          </cell>
          <cell r="B937" t="str">
            <v>DELL Optiplex GX260 SD</v>
          </cell>
          <cell r="C937" t="str">
            <v>491-5106</v>
          </cell>
          <cell r="D937" t="str">
            <v>3LYGL0J</v>
          </cell>
          <cell r="E937" t="str">
            <v xml:space="preserve">RP </v>
          </cell>
          <cell r="F937" t="str">
            <v xml:space="preserve">KOWALCZYK                ANDRZEJ        </v>
          </cell>
          <cell r="G937" t="str">
            <v>U-2</v>
          </cell>
          <cell r="H937" t="str">
            <v>226</v>
          </cell>
          <cell r="I937" t="str">
            <v>16-85</v>
          </cell>
          <cell r="J937" t="str">
            <v>477</v>
          </cell>
          <cell r="K937" t="str">
            <v>491-05106</v>
          </cell>
          <cell r="L937" t="str">
            <v>2400</v>
          </cell>
          <cell r="M937" t="str">
            <v/>
          </cell>
          <cell r="N937" t="str">
            <v>254</v>
          </cell>
        </row>
        <row r="938">
          <cell r="A938" t="str">
            <v>STACJA ROBOCZA</v>
          </cell>
          <cell r="B938" t="str">
            <v>COMPAQ DESKPRO EXD PIII 733</v>
          </cell>
          <cell r="C938" t="str">
            <v>491-4453</v>
          </cell>
          <cell r="D938" t="str">
            <v>8036FR4ZE445</v>
          </cell>
          <cell r="E938" t="str">
            <v xml:space="preserve">RP </v>
          </cell>
          <cell r="F938" t="str">
            <v xml:space="preserve">KRAKOWIAK                HENRYK         </v>
          </cell>
          <cell r="G938" t="str">
            <v>U-2</v>
          </cell>
          <cell r="H938" t="str">
            <v>227C</v>
          </cell>
          <cell r="I938" t="str">
            <v>16-23</v>
          </cell>
          <cell r="J938" t="str">
            <v>9324</v>
          </cell>
          <cell r="K938" t="str">
            <v>491-04453</v>
          </cell>
          <cell r="L938" t="str">
            <v>733</v>
          </cell>
          <cell r="M938" t="str">
            <v/>
          </cell>
          <cell r="N938" t="str">
            <v>127</v>
          </cell>
        </row>
        <row r="939">
          <cell r="A939" t="str">
            <v>STACJA ROBOCZA</v>
          </cell>
          <cell r="B939" t="str">
            <v>DELL Optiplex GX260 SD</v>
          </cell>
          <cell r="C939" t="str">
            <v>491-5107</v>
          </cell>
          <cell r="D939" t="str">
            <v>BLYGL0J</v>
          </cell>
          <cell r="E939" t="str">
            <v xml:space="preserve">RP </v>
          </cell>
          <cell r="F939" t="str">
            <v xml:space="preserve">KOCAŁEK                  MARCIN         </v>
          </cell>
          <cell r="G939" t="str">
            <v>U-12</v>
          </cell>
          <cell r="H939" t="str">
            <v>227a</v>
          </cell>
          <cell r="I939" t="str">
            <v>40-44</v>
          </cell>
          <cell r="J939" t="str">
            <v>4995</v>
          </cell>
          <cell r="K939" t="str">
            <v>491-05107</v>
          </cell>
          <cell r="L939" t="str">
            <v>2400</v>
          </cell>
          <cell r="M939" t="str">
            <v/>
          </cell>
          <cell r="N939" t="str">
            <v>254</v>
          </cell>
        </row>
        <row r="940">
          <cell r="A940" t="str">
            <v>STACJA ROBOCZA</v>
          </cell>
          <cell r="B940" t="str">
            <v>COMPAQ DESKPRO EXD PIII 733</v>
          </cell>
          <cell r="C940" t="str">
            <v>491-4339</v>
          </cell>
          <cell r="D940" t="str">
            <v>8036FR4ZE533</v>
          </cell>
          <cell r="E940" t="str">
            <v xml:space="preserve">RP </v>
          </cell>
          <cell r="F940" t="str">
            <v xml:space="preserve">MAKOWSKI                 PIOTR          </v>
          </cell>
          <cell r="G940" t="str">
            <v>U-11</v>
          </cell>
          <cell r="H940" t="str">
            <v>802</v>
          </cell>
          <cell r="I940" t="str">
            <v>17-94</v>
          </cell>
          <cell r="J940" t="str">
            <v>608</v>
          </cell>
          <cell r="K940" t="str">
            <v>491-04339</v>
          </cell>
          <cell r="L940" t="str">
            <v>733</v>
          </cell>
          <cell r="M940" t="str">
            <v/>
          </cell>
          <cell r="N940" t="str">
            <v>127</v>
          </cell>
        </row>
        <row r="941">
          <cell r="A941" t="str">
            <v>STACJA ROBOCZA</v>
          </cell>
          <cell r="B941" t="str">
            <v>DELL Optiplex GX150</v>
          </cell>
          <cell r="C941" t="str">
            <v>491-4757</v>
          </cell>
          <cell r="D941" t="str">
            <v>11RX60J</v>
          </cell>
          <cell r="E941" t="str">
            <v xml:space="preserve">RP </v>
          </cell>
          <cell r="F941" t="str">
            <v xml:space="preserve">PIĄTKOWSKA               JOLANTA        </v>
          </cell>
          <cell r="G941" t="str">
            <v>U-3</v>
          </cell>
          <cell r="H941" t="str">
            <v>211</v>
          </cell>
          <cell r="I941" t="str">
            <v>34-20</v>
          </cell>
          <cell r="J941" t="str">
            <v>9766</v>
          </cell>
          <cell r="K941" t="str">
            <v>491-04757</v>
          </cell>
          <cell r="L941" t="str">
            <v>1000</v>
          </cell>
          <cell r="M941" t="str">
            <v/>
          </cell>
          <cell r="N941" t="str">
            <v>255</v>
          </cell>
        </row>
        <row r="942">
          <cell r="A942" t="str">
            <v>STACJA ROBOCZA</v>
          </cell>
          <cell r="B942" t="str">
            <v>COMPAQ DESKPRO EXD PIII 733</v>
          </cell>
          <cell r="C942" t="str">
            <v>491-4266</v>
          </cell>
          <cell r="D942" t="str">
            <v>8036FR4ZE558</v>
          </cell>
          <cell r="E942" t="str">
            <v xml:space="preserve">RP </v>
          </cell>
          <cell r="F942" t="str">
            <v xml:space="preserve">WDOWIAK                  JOLANTA        </v>
          </cell>
          <cell r="G942" t="str">
            <v>W6/1</v>
          </cell>
          <cell r="H942" t="str">
            <v>10</v>
          </cell>
          <cell r="I942" t="str">
            <v>15-26</v>
          </cell>
          <cell r="J942" t="str">
            <v>1105</v>
          </cell>
          <cell r="K942" t="str">
            <v>491-04266</v>
          </cell>
          <cell r="L942" t="str">
            <v>733</v>
          </cell>
          <cell r="M942" t="str">
            <v/>
          </cell>
          <cell r="N942" t="str">
            <v>127</v>
          </cell>
        </row>
        <row r="943">
          <cell r="A943" t="str">
            <v>STACJA ROBOCZA</v>
          </cell>
          <cell r="B943" t="str">
            <v>COMPAQ DESKPRO EXD PIII 733</v>
          </cell>
          <cell r="C943" t="str">
            <v>491-4343</v>
          </cell>
          <cell r="D943" t="str">
            <v>8036FR4ZE405</v>
          </cell>
          <cell r="E943" t="str">
            <v xml:space="preserve">RP </v>
          </cell>
          <cell r="F943" t="str">
            <v xml:space="preserve">PARUCH                   RYSZARD        </v>
          </cell>
          <cell r="G943" t="str">
            <v>U-11</v>
          </cell>
          <cell r="H943" t="str">
            <v>802</v>
          </cell>
          <cell r="I943" t="str">
            <v>17-94</v>
          </cell>
          <cell r="J943" t="str">
            <v>766</v>
          </cell>
          <cell r="K943" t="str">
            <v>491-04343</v>
          </cell>
          <cell r="L943" t="str">
            <v>733</v>
          </cell>
          <cell r="M943" t="str">
            <v/>
          </cell>
          <cell r="N943" t="str">
            <v>127</v>
          </cell>
        </row>
        <row r="944">
          <cell r="A944" t="str">
            <v>STACJA ROBOCZA</v>
          </cell>
          <cell r="B944" t="str">
            <v>COMPAQ DESKPRO EXD PIII 733</v>
          </cell>
          <cell r="C944" t="str">
            <v>491-4342</v>
          </cell>
          <cell r="D944" t="str">
            <v>8036FR4ZE514</v>
          </cell>
          <cell r="E944" t="str">
            <v xml:space="preserve">RP </v>
          </cell>
          <cell r="F944" t="str">
            <v xml:space="preserve">SKRZYPCZYK               JAN            </v>
          </cell>
          <cell r="G944" t="str">
            <v>U-11</v>
          </cell>
          <cell r="H944" t="str">
            <v>802</v>
          </cell>
          <cell r="I944" t="str">
            <v>17-90</v>
          </cell>
          <cell r="J944" t="str">
            <v>982</v>
          </cell>
          <cell r="K944" t="str">
            <v>491-04342</v>
          </cell>
          <cell r="L944" t="str">
            <v>733</v>
          </cell>
          <cell r="M944" t="str">
            <v/>
          </cell>
          <cell r="N944" t="str">
            <v>127</v>
          </cell>
        </row>
        <row r="945">
          <cell r="A945" t="str">
            <v>STACJA ROBOCZA</v>
          </cell>
          <cell r="B945" t="str">
            <v>DELL Optiplex GX1L 266</v>
          </cell>
          <cell r="C945" t="str">
            <v>491-3426</v>
          </cell>
          <cell r="D945" t="str">
            <v>NM1J4</v>
          </cell>
          <cell r="E945" t="str">
            <v xml:space="preserve">RP </v>
          </cell>
          <cell r="F945" t="str">
            <v xml:space="preserve">MIŁOSZEWSKI              ANDRZEJ        </v>
          </cell>
          <cell r="G945" t="str">
            <v>U-2</v>
          </cell>
          <cell r="H945" t="str">
            <v>217A</v>
          </cell>
          <cell r="I945" t="str">
            <v>28-47</v>
          </cell>
          <cell r="J945" t="str">
            <v>590</v>
          </cell>
          <cell r="K945" t="str">
            <v>491-03426</v>
          </cell>
          <cell r="L945" t="str">
            <v>266</v>
          </cell>
          <cell r="M945" t="str">
            <v/>
          </cell>
          <cell r="N945" t="str">
            <v>64</v>
          </cell>
        </row>
        <row r="946">
          <cell r="A946" t="str">
            <v>STACJA ROBOCZA</v>
          </cell>
          <cell r="B946" t="str">
            <v>NEC Direction Minitower P III 450</v>
          </cell>
          <cell r="C946" t="str">
            <v>491-3956</v>
          </cell>
          <cell r="D946" t="str">
            <v>0156109</v>
          </cell>
          <cell r="E946" t="str">
            <v xml:space="preserve">RP </v>
          </cell>
          <cell r="F946" t="str">
            <v xml:space="preserve">SZLACHCIC                JOANNA         </v>
          </cell>
          <cell r="G946" t="str">
            <v>U-11</v>
          </cell>
          <cell r="H946" t="str">
            <v>805</v>
          </cell>
          <cell r="I946" t="str">
            <v>17-91</v>
          </cell>
          <cell r="J946" t="str">
            <v>691</v>
          </cell>
          <cell r="K946" t="str">
            <v>491-03956</v>
          </cell>
          <cell r="L946" t="str">
            <v>450</v>
          </cell>
          <cell r="M946" t="str">
            <v/>
          </cell>
          <cell r="N946" t="str">
            <v>192</v>
          </cell>
        </row>
        <row r="947">
          <cell r="A947" t="str">
            <v>STACJA ROBOCZA</v>
          </cell>
          <cell r="B947" t="str">
            <v>COMPAQ DESKPRO EXD PIII 733</v>
          </cell>
          <cell r="C947" t="str">
            <v>491-4258</v>
          </cell>
          <cell r="D947" t="str">
            <v>8036FR4ZE281</v>
          </cell>
          <cell r="E947" t="str">
            <v>RP2</v>
          </cell>
          <cell r="F947" t="str">
            <v xml:space="preserve">IGNATOWICZ               RYSZARD        </v>
          </cell>
          <cell r="G947" t="str">
            <v>U-2</v>
          </cell>
          <cell r="H947" t="str">
            <v>124B</v>
          </cell>
          <cell r="I947" t="str">
            <v>18-51</v>
          </cell>
          <cell r="J947" t="str">
            <v>293</v>
          </cell>
          <cell r="K947" t="str">
            <v>491-04258</v>
          </cell>
          <cell r="L947" t="str">
            <v>733</v>
          </cell>
          <cell r="M947" t="str">
            <v/>
          </cell>
          <cell r="N947" t="str">
            <v>127</v>
          </cell>
        </row>
        <row r="948">
          <cell r="A948" t="str">
            <v>STACJA ROBOCZA</v>
          </cell>
          <cell r="B948" t="str">
            <v>COMPAQ DESKPRO EXD PIII 733</v>
          </cell>
          <cell r="C948" t="str">
            <v>491-4482</v>
          </cell>
          <cell r="D948" t="str">
            <v>8036FR4ZE528</v>
          </cell>
          <cell r="E948" t="str">
            <v>RP2</v>
          </cell>
          <cell r="F948" t="str">
            <v xml:space="preserve">WERNER                   KRZYSZTOF      </v>
          </cell>
          <cell r="G948" t="str">
            <v>U-2</v>
          </cell>
          <cell r="H948" t="str">
            <v>125</v>
          </cell>
          <cell r="I948" t="str">
            <v>18-47</v>
          </cell>
          <cell r="J948" t="str">
            <v>9724</v>
          </cell>
          <cell r="K948" t="str">
            <v>491-04482</v>
          </cell>
          <cell r="L948" t="str">
            <v>733</v>
          </cell>
          <cell r="M948" t="str">
            <v/>
          </cell>
          <cell r="N948" t="str">
            <v>127</v>
          </cell>
        </row>
        <row r="949">
          <cell r="A949" t="str">
            <v>STACJA ROBOCZA</v>
          </cell>
          <cell r="B949" t="str">
            <v>COMPAQ DESKPRO EXD PIII 733</v>
          </cell>
          <cell r="C949" t="str">
            <v>491-4321</v>
          </cell>
          <cell r="D949" t="str">
            <v>8036FR4ZE479</v>
          </cell>
          <cell r="E949" t="str">
            <v>RP2</v>
          </cell>
          <cell r="F949" t="str">
            <v xml:space="preserve">KLEKOTKA                 MAREK          </v>
          </cell>
          <cell r="G949" t="str">
            <v>U-12</v>
          </cell>
          <cell r="H949" t="str">
            <v>227</v>
          </cell>
          <cell r="I949" t="str">
            <v>27-17</v>
          </cell>
          <cell r="J949" t="str">
            <v>349</v>
          </cell>
          <cell r="K949" t="str">
            <v>491-04321</v>
          </cell>
          <cell r="L949" t="str">
            <v>733</v>
          </cell>
          <cell r="M949" t="str">
            <v/>
          </cell>
          <cell r="N949" t="str">
            <v>127</v>
          </cell>
        </row>
        <row r="950">
          <cell r="A950" t="str">
            <v>STACJA ROBOCZA</v>
          </cell>
          <cell r="B950" t="str">
            <v>DELL Optiplex GX1L 350</v>
          </cell>
          <cell r="C950" t="str">
            <v>491-3595</v>
          </cell>
          <cell r="D950" t="str">
            <v>PKGPJ</v>
          </cell>
          <cell r="E950" t="str">
            <v>RP2</v>
          </cell>
          <cell r="F950" t="str">
            <v xml:space="preserve">ARASZKIEWICZ             MAREK          </v>
          </cell>
          <cell r="G950" t="str">
            <v/>
          </cell>
          <cell r="H950" t="str">
            <v/>
          </cell>
          <cell r="I950" t="str">
            <v/>
          </cell>
          <cell r="J950" t="str">
            <v>5</v>
          </cell>
          <cell r="K950" t="str">
            <v>491-03595</v>
          </cell>
          <cell r="L950" t="str">
            <v>350</v>
          </cell>
          <cell r="M950" t="str">
            <v/>
          </cell>
          <cell r="N950" t="str">
            <v>192</v>
          </cell>
        </row>
        <row r="951">
          <cell r="A951" t="str">
            <v>STACJA ROBOCZA</v>
          </cell>
          <cell r="B951" t="str">
            <v>NEC Power Mate VT P III 600</v>
          </cell>
          <cell r="C951" t="str">
            <v>491-4199</v>
          </cell>
          <cell r="D951" t="str">
            <v>0119060</v>
          </cell>
          <cell r="E951" t="str">
            <v>RP2</v>
          </cell>
          <cell r="F951" t="str">
            <v xml:space="preserve">BIŃCZYK                  WOJCIECH       </v>
          </cell>
          <cell r="G951" t="str">
            <v>U-2</v>
          </cell>
          <cell r="H951" t="str">
            <v>127</v>
          </cell>
          <cell r="I951" t="str">
            <v>40-46</v>
          </cell>
          <cell r="J951" t="str">
            <v>9756</v>
          </cell>
          <cell r="K951" t="str">
            <v>491-04199</v>
          </cell>
          <cell r="L951" t="str">
            <v>600</v>
          </cell>
          <cell r="M951" t="str">
            <v/>
          </cell>
          <cell r="N951" t="str">
            <v>256</v>
          </cell>
        </row>
        <row r="952">
          <cell r="A952" t="str">
            <v>STACJA ROBOCZA</v>
          </cell>
          <cell r="B952" t="str">
            <v>DELL Optiplex GX260 SD</v>
          </cell>
          <cell r="C952" t="str">
            <v>491-5053</v>
          </cell>
          <cell r="D952" t="str">
            <v>BK2GL0J</v>
          </cell>
          <cell r="E952" t="str">
            <v>RP2</v>
          </cell>
          <cell r="F952" t="str">
            <v xml:space="preserve">PŁUCIENNIK               PRZEMYSŁAW     </v>
          </cell>
          <cell r="G952" t="str">
            <v>U-2</v>
          </cell>
          <cell r="H952" t="str">
            <v>230</v>
          </cell>
          <cell r="I952" t="str">
            <v>23-01</v>
          </cell>
          <cell r="J952" t="str">
            <v>9477</v>
          </cell>
          <cell r="K952" t="str">
            <v>491-05053</v>
          </cell>
          <cell r="L952" t="str">
            <v>2400</v>
          </cell>
          <cell r="M952" t="str">
            <v/>
          </cell>
          <cell r="N952" t="str">
            <v>254</v>
          </cell>
        </row>
        <row r="953">
          <cell r="A953" t="str">
            <v>STACJA ROBOCZA</v>
          </cell>
          <cell r="B953" t="str">
            <v>ZENITH Z STATION P200</v>
          </cell>
          <cell r="C953" t="str">
            <v>491-3139</v>
          </cell>
          <cell r="D953" t="str">
            <v>GVDD72904606</v>
          </cell>
          <cell r="E953" t="str">
            <v>RP2</v>
          </cell>
          <cell r="F953" t="str">
            <v xml:space="preserve">ANTOSIK                  CZESŁAW        </v>
          </cell>
          <cell r="G953" t="str">
            <v>U-2</v>
          </cell>
          <cell r="H953" t="str">
            <v>125</v>
          </cell>
          <cell r="I953" t="str">
            <v>28-48</v>
          </cell>
          <cell r="J953" t="str">
            <v>9603</v>
          </cell>
          <cell r="K953" t="str">
            <v>491-03139</v>
          </cell>
          <cell r="L953" t="str">
            <v>200</v>
          </cell>
          <cell r="M953" t="str">
            <v>OK19M</v>
          </cell>
          <cell r="N953" t="str">
            <v>80</v>
          </cell>
        </row>
        <row r="954">
          <cell r="A954" t="str">
            <v>STACJA ROBOCZA</v>
          </cell>
          <cell r="B954" t="str">
            <v>DELL Optiplex GX1L 350</v>
          </cell>
          <cell r="C954" t="str">
            <v>491-3580</v>
          </cell>
          <cell r="D954" t="str">
            <v>PKGN3</v>
          </cell>
          <cell r="E954" t="str">
            <v>RP2</v>
          </cell>
          <cell r="F954" t="str">
            <v xml:space="preserve">JADWISZCZAK              KAZIMIERZ      </v>
          </cell>
          <cell r="G954" t="str">
            <v>U-2</v>
          </cell>
          <cell r="H954" t="str">
            <v>124</v>
          </cell>
          <cell r="I954" t="str">
            <v>25-32</v>
          </cell>
          <cell r="J954" t="str">
            <v>331</v>
          </cell>
          <cell r="K954" t="str">
            <v>491-03580</v>
          </cell>
          <cell r="L954" t="str">
            <v>350</v>
          </cell>
          <cell r="M954" t="str">
            <v/>
          </cell>
          <cell r="N954" t="str">
            <v>64</v>
          </cell>
        </row>
        <row r="955">
          <cell r="A955" t="str">
            <v>STACJA ROBOCZA</v>
          </cell>
          <cell r="B955" t="str">
            <v>COMPAQ DESKPRO EXD PIII 733</v>
          </cell>
          <cell r="C955" t="str">
            <v>491-4493</v>
          </cell>
          <cell r="D955" t="str">
            <v>8036FR4ZE472</v>
          </cell>
          <cell r="E955" t="str">
            <v>RP2</v>
          </cell>
          <cell r="F955" t="str">
            <v xml:space="preserve">SZCZEPAŃSKA              GRAŻYNA        </v>
          </cell>
          <cell r="G955" t="str">
            <v>U-2</v>
          </cell>
          <cell r="H955" t="str">
            <v>125A</v>
          </cell>
          <cell r="I955" t="str">
            <v>40-45</v>
          </cell>
          <cell r="J955" t="str">
            <v>9760</v>
          </cell>
          <cell r="K955" t="str">
            <v>491-04493</v>
          </cell>
          <cell r="L955" t="str">
            <v>733</v>
          </cell>
          <cell r="M955" t="str">
            <v/>
          </cell>
          <cell r="N955" t="str">
            <v>127</v>
          </cell>
        </row>
        <row r="956">
          <cell r="A956" t="str">
            <v>STACJA ROBOCZA</v>
          </cell>
          <cell r="B956" t="str">
            <v>NEC PowerMate VT Destop P III 450</v>
          </cell>
          <cell r="C956" t="str">
            <v>491-3905</v>
          </cell>
          <cell r="D956" t="str">
            <v>0260109</v>
          </cell>
          <cell r="E956" t="str">
            <v>RP2</v>
          </cell>
          <cell r="F956" t="str">
            <v xml:space="preserve">MICHALAK                 JANUSZ         </v>
          </cell>
          <cell r="G956" t="str">
            <v>U-2</v>
          </cell>
          <cell r="H956" t="str">
            <v>127</v>
          </cell>
          <cell r="I956" t="str">
            <v>41-02</v>
          </cell>
          <cell r="J956" t="str">
            <v>9322</v>
          </cell>
          <cell r="K956" t="str">
            <v>491-03905</v>
          </cell>
          <cell r="L956" t="str">
            <v>450</v>
          </cell>
          <cell r="M956" t="str">
            <v/>
          </cell>
          <cell r="N956" t="str">
            <v>192</v>
          </cell>
        </row>
        <row r="957">
          <cell r="A957" t="str">
            <v>STACJA ROBOCZA</v>
          </cell>
          <cell r="B957" t="str">
            <v>COMPAQ DESKPRO EXD PIII 733</v>
          </cell>
          <cell r="C957" t="str">
            <v>491-SZ1</v>
          </cell>
          <cell r="D957" t="str">
            <v>8043FR4ZP0ZJ</v>
          </cell>
          <cell r="E957" t="str">
            <v>RP2</v>
          </cell>
          <cell r="F957" t="str">
            <v xml:space="preserve">KOLASIŃSKI               KAZIMIERZ      </v>
          </cell>
          <cell r="G957" t="str">
            <v>U-2</v>
          </cell>
          <cell r="H957" t="str">
            <v>122</v>
          </cell>
          <cell r="I957" t="str">
            <v>22-42</v>
          </cell>
          <cell r="J957" t="str">
            <v>502</v>
          </cell>
          <cell r="K957" t="str">
            <v/>
          </cell>
          <cell r="L957" t="str">
            <v>733</v>
          </cell>
          <cell r="M957" t="str">
            <v/>
          </cell>
          <cell r="N957" t="str">
            <v/>
          </cell>
        </row>
        <row r="958">
          <cell r="A958" t="str">
            <v>STACJA ROBOCZA</v>
          </cell>
          <cell r="B958" t="str">
            <v>NEC Direction Minitower P III 450</v>
          </cell>
          <cell r="C958" t="str">
            <v>491-3763</v>
          </cell>
          <cell r="D958" t="str">
            <v>0150109</v>
          </cell>
          <cell r="E958" t="str">
            <v>RP2</v>
          </cell>
          <cell r="F958" t="str">
            <v xml:space="preserve">PŁUCIENNIK               PRZEMYSŁAW     </v>
          </cell>
          <cell r="G958" t="str">
            <v>U-2</v>
          </cell>
          <cell r="H958" t="str">
            <v>230</v>
          </cell>
          <cell r="I958" t="str">
            <v>23-01</v>
          </cell>
          <cell r="J958" t="str">
            <v>9477</v>
          </cell>
          <cell r="K958" t="str">
            <v>491-03763</v>
          </cell>
          <cell r="L958" t="str">
            <v>450</v>
          </cell>
          <cell r="M958" t="str">
            <v/>
          </cell>
          <cell r="N958" t="str">
            <v>64</v>
          </cell>
        </row>
        <row r="959">
          <cell r="A959" t="str">
            <v>STACJA ROBOCZA</v>
          </cell>
          <cell r="B959" t="str">
            <v>DELL Optiplex GX150</v>
          </cell>
          <cell r="C959" t="str">
            <v>491-4763</v>
          </cell>
          <cell r="D959" t="str">
            <v>DKVX60J</v>
          </cell>
          <cell r="E959" t="str">
            <v>RP2</v>
          </cell>
          <cell r="F959" t="str">
            <v xml:space="preserve">OLECHOWICZ               ELEONORA       </v>
          </cell>
          <cell r="G959" t="str">
            <v>U-2</v>
          </cell>
          <cell r="H959" t="str">
            <v>125</v>
          </cell>
          <cell r="I959" t="str">
            <v>27-88</v>
          </cell>
          <cell r="J959" t="str">
            <v>682</v>
          </cell>
          <cell r="K959" t="str">
            <v>491-04763</v>
          </cell>
          <cell r="L959" t="str">
            <v>1000</v>
          </cell>
          <cell r="M959" t="str">
            <v/>
          </cell>
          <cell r="N959" t="str">
            <v>255</v>
          </cell>
        </row>
        <row r="960">
          <cell r="A960" t="str">
            <v>STACJA ROBOCZA</v>
          </cell>
          <cell r="B960" t="str">
            <v>DELL Optiplex GX1L 266</v>
          </cell>
          <cell r="C960" t="str">
            <v>491-3429</v>
          </cell>
          <cell r="D960" t="str">
            <v>NM1H1</v>
          </cell>
          <cell r="E960" t="str">
            <v>RP2</v>
          </cell>
          <cell r="F960" t="str">
            <v xml:space="preserve">KOLASIŃSKI               KAZIMIERZ      </v>
          </cell>
          <cell r="G960" t="str">
            <v>U-2</v>
          </cell>
          <cell r="H960" t="str">
            <v>122</v>
          </cell>
          <cell r="I960" t="str">
            <v>22-42</v>
          </cell>
          <cell r="J960" t="str">
            <v>502</v>
          </cell>
          <cell r="K960" t="str">
            <v>491-03429</v>
          </cell>
          <cell r="L960" t="str">
            <v>266</v>
          </cell>
          <cell r="M960" t="str">
            <v/>
          </cell>
          <cell r="N960" t="str">
            <v>128</v>
          </cell>
        </row>
        <row r="961">
          <cell r="A961" t="str">
            <v>STACJA ROBOCZA</v>
          </cell>
          <cell r="B961" t="str">
            <v>NEC PowerMate VT Destop P III 450</v>
          </cell>
          <cell r="C961" t="str">
            <v>491-3873</v>
          </cell>
          <cell r="D961" t="str">
            <v>0709109</v>
          </cell>
          <cell r="E961" t="str">
            <v>RP2</v>
          </cell>
          <cell r="F961" t="str">
            <v xml:space="preserve">BRUCKA-STEMPKOWSKA       URSZULA        </v>
          </cell>
          <cell r="G961" t="str">
            <v>U-2</v>
          </cell>
          <cell r="H961" t="str">
            <v>125A</v>
          </cell>
          <cell r="I961" t="str">
            <v>23-67</v>
          </cell>
          <cell r="J961" t="str">
            <v>9670</v>
          </cell>
          <cell r="K961" t="str">
            <v>491-03873</v>
          </cell>
          <cell r="L961" t="str">
            <v>450</v>
          </cell>
          <cell r="M961" t="str">
            <v/>
          </cell>
          <cell r="N961" t="str">
            <v>64</v>
          </cell>
        </row>
        <row r="962">
          <cell r="A962" t="str">
            <v>STACJA ROBOCZA</v>
          </cell>
          <cell r="B962" t="str">
            <v>DELL Optiplex GX150</v>
          </cell>
          <cell r="C962" t="str">
            <v>491-4701</v>
          </cell>
          <cell r="D962" t="str">
            <v>GLVX60J</v>
          </cell>
          <cell r="E962" t="str">
            <v>RP2</v>
          </cell>
          <cell r="F962" t="str">
            <v xml:space="preserve">GAWORCZYK                JERZY          </v>
          </cell>
          <cell r="G962" t="str">
            <v>U-12</v>
          </cell>
          <cell r="H962" t="str">
            <v>125</v>
          </cell>
          <cell r="I962" t="str">
            <v>18-47</v>
          </cell>
          <cell r="J962" t="str">
            <v>216</v>
          </cell>
          <cell r="K962" t="str">
            <v>491-04701</v>
          </cell>
          <cell r="L962" t="str">
            <v>1000</v>
          </cell>
          <cell r="M962" t="str">
            <v/>
          </cell>
          <cell r="N962" t="str">
            <v>255</v>
          </cell>
        </row>
        <row r="963">
          <cell r="A963" t="str">
            <v>STACJA ROBOCZA</v>
          </cell>
          <cell r="B963" t="str">
            <v>DELL Optiplex GX150</v>
          </cell>
          <cell r="C963" t="str">
            <v>491-4756</v>
          </cell>
          <cell r="D963" t="str">
            <v>FORX60J</v>
          </cell>
          <cell r="E963" t="str">
            <v>RP2</v>
          </cell>
          <cell r="F963" t="str">
            <v xml:space="preserve">ZARZECZNY                ZDZISŁAW       </v>
          </cell>
          <cell r="G963" t="str">
            <v>U-12</v>
          </cell>
          <cell r="H963" t="str">
            <v>36</v>
          </cell>
          <cell r="I963" t="str">
            <v>15-54</v>
          </cell>
          <cell r="J963" t="str">
            <v>1119</v>
          </cell>
          <cell r="K963" t="str">
            <v>491-04756</v>
          </cell>
          <cell r="L963" t="str">
            <v>1000</v>
          </cell>
          <cell r="M963" t="str">
            <v/>
          </cell>
          <cell r="N963" t="str">
            <v>255</v>
          </cell>
        </row>
        <row r="964">
          <cell r="A964" t="str">
            <v>STACJA ROBOCZA</v>
          </cell>
          <cell r="B964" t="str">
            <v>DELL Optiplex GX1L 266</v>
          </cell>
          <cell r="C964" t="str">
            <v>491-3427</v>
          </cell>
          <cell r="D964" t="str">
            <v>NM1J2</v>
          </cell>
          <cell r="E964" t="str">
            <v>RP2</v>
          </cell>
          <cell r="F964" t="str">
            <v xml:space="preserve">LIŻEWSKI                 MARIAN         </v>
          </cell>
          <cell r="G964" t="str">
            <v>U-2</v>
          </cell>
          <cell r="H964" t="str">
            <v>124B</v>
          </cell>
          <cell r="I964" t="str">
            <v>18-51</v>
          </cell>
          <cell r="J964" t="str">
            <v>506</v>
          </cell>
          <cell r="K964" t="str">
            <v>491-03427</v>
          </cell>
          <cell r="L964" t="str">
            <v>266</v>
          </cell>
          <cell r="M964" t="str">
            <v/>
          </cell>
          <cell r="N964" t="str">
            <v>64</v>
          </cell>
        </row>
        <row r="965">
          <cell r="A965" t="str">
            <v>STACJA ROBOCZA</v>
          </cell>
          <cell r="B965" t="str">
            <v>COMPAQ DESKPRO EXD PIII 733</v>
          </cell>
          <cell r="C965" t="str">
            <v>491-4293</v>
          </cell>
          <cell r="D965" t="str">
            <v>8036FR4ZE426</v>
          </cell>
          <cell r="E965" t="str">
            <v xml:space="preserve">RQ </v>
          </cell>
          <cell r="F965" t="str">
            <v xml:space="preserve">WÓJCIK                   DARIUSZ        </v>
          </cell>
          <cell r="G965" t="str">
            <v>U-12</v>
          </cell>
          <cell r="H965" t="str">
            <v>225</v>
          </cell>
          <cell r="I965" t="str">
            <v>41-23</v>
          </cell>
          <cell r="J965" t="str">
            <v>1109</v>
          </cell>
          <cell r="K965" t="str">
            <v>491-04293</v>
          </cell>
          <cell r="L965" t="str">
            <v>733</v>
          </cell>
          <cell r="M965" t="str">
            <v/>
          </cell>
          <cell r="N965" t="str">
            <v>127</v>
          </cell>
        </row>
        <row r="966">
          <cell r="A966" t="str">
            <v>STACJA ROBOCZA</v>
          </cell>
          <cell r="B966" t="str">
            <v>DELL Optiplex GX260 SD</v>
          </cell>
          <cell r="C966" t="str">
            <v>491-5125</v>
          </cell>
          <cell r="D966" t="str">
            <v>3KYGL0J</v>
          </cell>
          <cell r="E966" t="str">
            <v xml:space="preserve">RQ </v>
          </cell>
          <cell r="F966" t="str">
            <v xml:space="preserve">PEŁKA                    URSZULA        </v>
          </cell>
          <cell r="G966" t="str">
            <v>U-12</v>
          </cell>
          <cell r="H966" t="str">
            <v>225</v>
          </cell>
          <cell r="I966" t="str">
            <v>15-66</v>
          </cell>
          <cell r="J966" t="str">
            <v>768</v>
          </cell>
          <cell r="K966" t="str">
            <v>491-05125</v>
          </cell>
          <cell r="L966" t="str">
            <v>2400</v>
          </cell>
          <cell r="M966" t="str">
            <v/>
          </cell>
          <cell r="N966" t="str">
            <v>254</v>
          </cell>
        </row>
        <row r="967">
          <cell r="A967" t="str">
            <v>STACJA ROBOCZA</v>
          </cell>
          <cell r="B967" t="str">
            <v>DELL Optiplex GX260 SD</v>
          </cell>
          <cell r="C967" t="str">
            <v>491-5126</v>
          </cell>
          <cell r="D967" t="str">
            <v>5LYGL0J</v>
          </cell>
          <cell r="E967" t="str">
            <v xml:space="preserve">RQ </v>
          </cell>
          <cell r="F967" t="str">
            <v xml:space="preserve">MADEJCZYK                IWONA          </v>
          </cell>
          <cell r="G967" t="str">
            <v>U-12</v>
          </cell>
          <cell r="H967" t="str">
            <v>225</v>
          </cell>
          <cell r="I967" t="str">
            <v>15-60</v>
          </cell>
          <cell r="J967" t="str">
            <v>471</v>
          </cell>
          <cell r="K967" t="str">
            <v>491-05126</v>
          </cell>
          <cell r="L967" t="str">
            <v>2400</v>
          </cell>
          <cell r="M967" t="str">
            <v/>
          </cell>
          <cell r="N967" t="str">
            <v>254</v>
          </cell>
        </row>
        <row r="968">
          <cell r="A968" t="str">
            <v>STACJA ROBOCZA</v>
          </cell>
          <cell r="B968" t="str">
            <v>DELL Optiplex GX150</v>
          </cell>
          <cell r="C968" t="str">
            <v>491-4852</v>
          </cell>
          <cell r="D968" t="str">
            <v>JKVX60J</v>
          </cell>
          <cell r="E968" t="str">
            <v xml:space="preserve">RQ </v>
          </cell>
          <cell r="F968" t="str">
            <v xml:space="preserve">BARTCZAK                 GRAŻYNA        </v>
          </cell>
          <cell r="G968" t="str">
            <v>U-2</v>
          </cell>
          <cell r="H968" t="str">
            <v>225</v>
          </cell>
          <cell r="I968" t="str">
            <v>34-50</v>
          </cell>
          <cell r="J968" t="str">
            <v>127</v>
          </cell>
          <cell r="K968" t="str">
            <v>491-04852</v>
          </cell>
          <cell r="L968" t="str">
            <v>1000</v>
          </cell>
          <cell r="M968" t="str">
            <v/>
          </cell>
          <cell r="N968" t="str">
            <v>255</v>
          </cell>
        </row>
        <row r="969">
          <cell r="A969" t="str">
            <v>NOTEBOOK</v>
          </cell>
          <cell r="B969" t="str">
            <v>Dell Latitude CP 233XT</v>
          </cell>
          <cell r="C969" t="str">
            <v>491-3624</v>
          </cell>
          <cell r="D969" t="str">
            <v>ZJTOG</v>
          </cell>
          <cell r="E969" t="str">
            <v xml:space="preserve">RQ </v>
          </cell>
          <cell r="F969" t="str">
            <v xml:space="preserve">WIECZOREK                WŁODZIMIERZ    </v>
          </cell>
          <cell r="G969" t="str">
            <v>U-2</v>
          </cell>
          <cell r="H969" t="str">
            <v>103</v>
          </cell>
          <cell r="I969" t="str">
            <v>11-73</v>
          </cell>
          <cell r="J969" t="str">
            <v>1038</v>
          </cell>
          <cell r="K969" t="str">
            <v>491-03624</v>
          </cell>
          <cell r="L969" t="str">
            <v>233</v>
          </cell>
          <cell r="M969" t="str">
            <v/>
          </cell>
          <cell r="N969" t="str">
            <v>128</v>
          </cell>
        </row>
        <row r="970">
          <cell r="A970" t="str">
            <v>STACJA ROBOCZA</v>
          </cell>
          <cell r="B970" t="str">
            <v>COMPAQ DESKPRO EXD PIII 733</v>
          </cell>
          <cell r="C970" t="str">
            <v>491-4450</v>
          </cell>
          <cell r="D970" t="str">
            <v>8036FR4ZE280</v>
          </cell>
          <cell r="E970" t="str">
            <v xml:space="preserve">RQ </v>
          </cell>
          <cell r="F970" t="str">
            <v xml:space="preserve">ZAŁĘCZNA                 AMELIA         </v>
          </cell>
          <cell r="G970" t="str">
            <v>U-2</v>
          </cell>
          <cell r="H970" t="str">
            <v>113</v>
          </cell>
          <cell r="I970" t="str">
            <v/>
          </cell>
          <cell r="J970" t="str">
            <v>944</v>
          </cell>
          <cell r="K970" t="str">
            <v>491-04450</v>
          </cell>
          <cell r="L970" t="str">
            <v>733</v>
          </cell>
          <cell r="M970" t="str">
            <v/>
          </cell>
          <cell r="N970" t="str">
            <v>127</v>
          </cell>
        </row>
        <row r="971">
          <cell r="A971" t="str">
            <v>STACJA ROBOCZA</v>
          </cell>
          <cell r="B971" t="str">
            <v>DELL Optiplex GX150</v>
          </cell>
          <cell r="C971" t="str">
            <v>491-4836</v>
          </cell>
          <cell r="D971" t="str">
            <v>5WLZ60J</v>
          </cell>
          <cell r="E971" t="str">
            <v xml:space="preserve">RQ </v>
          </cell>
          <cell r="F971" t="str">
            <v xml:space="preserve">WIECZOREK                WŁODZIMIERZ    </v>
          </cell>
          <cell r="G971" t="str">
            <v>U-2</v>
          </cell>
          <cell r="H971" t="str">
            <v>103</v>
          </cell>
          <cell r="I971" t="str">
            <v>11-73</v>
          </cell>
          <cell r="J971" t="str">
            <v>1038</v>
          </cell>
          <cell r="K971" t="str">
            <v>491-04836</v>
          </cell>
          <cell r="L971" t="str">
            <v>1000</v>
          </cell>
          <cell r="M971" t="str">
            <v/>
          </cell>
          <cell r="N971" t="str">
            <v>255</v>
          </cell>
        </row>
        <row r="972">
          <cell r="A972" t="str">
            <v>STACJA ROBOCZA</v>
          </cell>
          <cell r="B972" t="str">
            <v>COMPAQ DESKPRO EXD PIII 733</v>
          </cell>
          <cell r="C972" t="str">
            <v>491-4477</v>
          </cell>
          <cell r="D972" t="str">
            <v>8036FR4ZE517</v>
          </cell>
          <cell r="E972" t="str">
            <v xml:space="preserve">RQ </v>
          </cell>
          <cell r="F972" t="str">
            <v xml:space="preserve">KACZMAREK                RADOSŁAW       </v>
          </cell>
          <cell r="G972" t="str">
            <v>U-2</v>
          </cell>
          <cell r="H972" t="str">
            <v>113</v>
          </cell>
          <cell r="I972" t="str">
            <v>41-37</v>
          </cell>
          <cell r="J972" t="str">
            <v>9365</v>
          </cell>
          <cell r="K972" t="str">
            <v>491-04477</v>
          </cell>
          <cell r="L972" t="str">
            <v>733</v>
          </cell>
          <cell r="M972" t="str">
            <v/>
          </cell>
          <cell r="N972" t="str">
            <v>127</v>
          </cell>
        </row>
        <row r="973">
          <cell r="A973" t="str">
            <v>STACJA ROBOCZA</v>
          </cell>
          <cell r="B973" t="str">
            <v>DELL Optiplex GX1L 266</v>
          </cell>
          <cell r="C973" t="str">
            <v>491-3307</v>
          </cell>
          <cell r="D973" t="str">
            <v>NM14D</v>
          </cell>
          <cell r="E973" t="str">
            <v xml:space="preserve">RQ </v>
          </cell>
          <cell r="F973" t="str">
            <v xml:space="preserve">NICOTA                   JANINA         </v>
          </cell>
          <cell r="G973" t="str">
            <v>U-12</v>
          </cell>
          <cell r="H973" t="str">
            <v>225</v>
          </cell>
          <cell r="I973" t="str">
            <v>15-64</v>
          </cell>
          <cell r="J973" t="str">
            <v>659</v>
          </cell>
          <cell r="K973" t="str">
            <v>491-03307</v>
          </cell>
          <cell r="L973" t="str">
            <v>266</v>
          </cell>
          <cell r="M973" t="str">
            <v>OK56M</v>
          </cell>
          <cell r="N973" t="str">
            <v>96</v>
          </cell>
        </row>
        <row r="974">
          <cell r="A974" t="str">
            <v>STACJA ROBOCZA</v>
          </cell>
          <cell r="B974" t="str">
            <v>KOMPUTER PC/AT</v>
          </cell>
          <cell r="C974" t="str">
            <v>491-1620/1629</v>
          </cell>
          <cell r="D974" t="str">
            <v>71674</v>
          </cell>
          <cell r="E974" t="str">
            <v xml:space="preserve">RR </v>
          </cell>
          <cell r="F974" t="str">
            <v xml:space="preserve">MROCZKOWSKI              GRZEGORZ       </v>
          </cell>
          <cell r="G974" t="str">
            <v>BLOK 9</v>
          </cell>
          <cell r="H974" t="str">
            <v>MASZYN.12M</v>
          </cell>
          <cell r="I974" t="str">
            <v>16-96</v>
          </cell>
          <cell r="J974" t="str">
            <v>3046</v>
          </cell>
          <cell r="K974" t="str">
            <v>491-01620-1629</v>
          </cell>
          <cell r="L974" t="str">
            <v>550</v>
          </cell>
          <cell r="M974" t="str">
            <v/>
          </cell>
          <cell r="N974" t="str">
            <v>128</v>
          </cell>
        </row>
        <row r="975">
          <cell r="A975" t="str">
            <v>STACJA ROBOCZA</v>
          </cell>
          <cell r="B975" t="str">
            <v>KOMPUTER PC/AT</v>
          </cell>
          <cell r="C975" t="str">
            <v>491-1717</v>
          </cell>
          <cell r="D975" t="str">
            <v/>
          </cell>
          <cell r="E975" t="str">
            <v xml:space="preserve">RR </v>
          </cell>
          <cell r="F975" t="str">
            <v xml:space="preserve">BABERT                   LECH           </v>
          </cell>
          <cell r="G975" t="str">
            <v>BLOK 5</v>
          </cell>
          <cell r="H975" t="str">
            <v>MISTRZOWKA</v>
          </cell>
          <cell r="I975" t="str">
            <v>11-18</v>
          </cell>
          <cell r="J975" t="str">
            <v>51</v>
          </cell>
          <cell r="K975" t="str">
            <v>491-01717</v>
          </cell>
          <cell r="L975" t="str">
            <v>366</v>
          </cell>
          <cell r="M975" t="str">
            <v/>
          </cell>
          <cell r="N975" t="str">
            <v>64</v>
          </cell>
        </row>
        <row r="976">
          <cell r="A976" t="str">
            <v>STACJA ROBOCZA</v>
          </cell>
          <cell r="B976" t="str">
            <v>DELL Optiplex GX1L 266</v>
          </cell>
          <cell r="C976" t="str">
            <v>491-3253</v>
          </cell>
          <cell r="D976" t="str">
            <v>NM16N</v>
          </cell>
          <cell r="E976" t="str">
            <v xml:space="preserve">RR </v>
          </cell>
          <cell r="F976" t="str">
            <v xml:space="preserve">PRÓBA                    DARIUSZ        </v>
          </cell>
          <cell r="G976" t="str">
            <v>U-2</v>
          </cell>
          <cell r="H976" t="str">
            <v>104</v>
          </cell>
          <cell r="I976" t="str">
            <v>16-16</v>
          </cell>
          <cell r="J976" t="str">
            <v>745</v>
          </cell>
          <cell r="K976" t="str">
            <v>491-03253</v>
          </cell>
          <cell r="L976" t="str">
            <v>266</v>
          </cell>
          <cell r="M976" t="str">
            <v/>
          </cell>
          <cell r="N976" t="str">
            <v>128</v>
          </cell>
        </row>
        <row r="977">
          <cell r="A977" t="str">
            <v>STACJA ROBOCZA</v>
          </cell>
          <cell r="B977" t="str">
            <v>DELL Optiplex GX260 SD</v>
          </cell>
          <cell r="C977" t="str">
            <v>491-5127</v>
          </cell>
          <cell r="D977" t="str">
            <v>3JYGL0J</v>
          </cell>
          <cell r="E977" t="str">
            <v xml:space="preserve">RR </v>
          </cell>
          <cell r="F977" t="str">
            <v xml:space="preserve">RUCIŃSKI                 WOJCIECH       </v>
          </cell>
          <cell r="G977" t="str">
            <v>U-2</v>
          </cell>
          <cell r="H977" t="str">
            <v>117A</v>
          </cell>
          <cell r="I977" t="str">
            <v>11-72</v>
          </cell>
          <cell r="J977" t="str">
            <v>810</v>
          </cell>
          <cell r="K977" t="str">
            <v>491-05127</v>
          </cell>
          <cell r="L977" t="str">
            <v>2400</v>
          </cell>
          <cell r="M977" t="str">
            <v/>
          </cell>
          <cell r="N977" t="str">
            <v>254</v>
          </cell>
        </row>
        <row r="978">
          <cell r="A978" t="str">
            <v>STACJA ROBOCZA</v>
          </cell>
          <cell r="B978" t="str">
            <v>DELL Optiplex GX150</v>
          </cell>
          <cell r="C978" t="str">
            <v>491-4835</v>
          </cell>
          <cell r="D978" t="str">
            <v>GVLZ60J</v>
          </cell>
          <cell r="E978" t="str">
            <v xml:space="preserve">RR </v>
          </cell>
          <cell r="F978" t="str">
            <v xml:space="preserve">GOŁAWSKI                 JERZY          </v>
          </cell>
          <cell r="G978" t="str">
            <v>T-1</v>
          </cell>
          <cell r="H978" t="str">
            <v>2</v>
          </cell>
          <cell r="I978" t="str">
            <v>16-17</v>
          </cell>
          <cell r="J978" t="str">
            <v>227</v>
          </cell>
          <cell r="K978" t="str">
            <v>491-04835</v>
          </cell>
          <cell r="L978" t="str">
            <v>1000</v>
          </cell>
          <cell r="M978" t="str">
            <v/>
          </cell>
          <cell r="N978" t="str">
            <v>255</v>
          </cell>
        </row>
        <row r="979">
          <cell r="A979" t="str">
            <v>STACJA ROBOCZA</v>
          </cell>
          <cell r="B979" t="str">
            <v>KOMPUTER PC/AT</v>
          </cell>
          <cell r="C979" t="str">
            <v>491-1620/K027</v>
          </cell>
          <cell r="D979" t="str">
            <v>0B23A</v>
          </cell>
          <cell r="E979" t="str">
            <v xml:space="preserve">RR </v>
          </cell>
          <cell r="F979" t="str">
            <v xml:space="preserve">SZCZEPAŃCZYK             STEFAN         </v>
          </cell>
          <cell r="G979" t="str">
            <v>BLOK 4</v>
          </cell>
          <cell r="H979" t="str">
            <v>MISTRZÓWKA</v>
          </cell>
          <cell r="I979" t="str">
            <v>11-18</v>
          </cell>
          <cell r="J979" t="str">
            <v>981</v>
          </cell>
          <cell r="K979" t="str">
            <v>491-01620-K027</v>
          </cell>
          <cell r="L979" t="str">
            <v>500</v>
          </cell>
          <cell r="M979" t="str">
            <v/>
          </cell>
          <cell r="N979" t="str">
            <v>64</v>
          </cell>
        </row>
        <row r="980">
          <cell r="A980" t="str">
            <v>STACJA ROBOCZA</v>
          </cell>
          <cell r="B980" t="str">
            <v>COMPAQ DESKPRO EXD PIII 733</v>
          </cell>
          <cell r="C980" t="str">
            <v>491-4406</v>
          </cell>
          <cell r="D980" t="str">
            <v>8036FR4ZE548</v>
          </cell>
          <cell r="E980" t="str">
            <v xml:space="preserve">RR </v>
          </cell>
          <cell r="F980" t="str">
            <v xml:space="preserve">MISIAK                   MARIA          </v>
          </cell>
          <cell r="G980" t="str">
            <v>U-2</v>
          </cell>
          <cell r="H980" t="str">
            <v>117</v>
          </cell>
          <cell r="I980" t="str">
            <v>11-72</v>
          </cell>
          <cell r="J980" t="str">
            <v>584</v>
          </cell>
          <cell r="K980" t="str">
            <v>491-04406</v>
          </cell>
          <cell r="L980" t="str">
            <v>733</v>
          </cell>
          <cell r="M980" t="str">
            <v/>
          </cell>
          <cell r="N980" t="str">
            <v>127</v>
          </cell>
        </row>
        <row r="981">
          <cell r="A981" t="str">
            <v>STACJA ROBOCZA</v>
          </cell>
          <cell r="B981" t="str">
            <v>NEC PowerMate VT Destop P III 450</v>
          </cell>
          <cell r="C981" t="str">
            <v>491-4014</v>
          </cell>
          <cell r="D981" t="str">
            <v>0204109</v>
          </cell>
          <cell r="E981" t="str">
            <v xml:space="preserve">RR </v>
          </cell>
          <cell r="F981" t="str">
            <v xml:space="preserve">IMIELA                   TOMASZ         </v>
          </cell>
          <cell r="G981" t="str">
            <v>U-2</v>
          </cell>
          <cell r="H981" t="str">
            <v>104</v>
          </cell>
          <cell r="I981" t="str">
            <v>16-16</v>
          </cell>
          <cell r="J981" t="str">
            <v>295</v>
          </cell>
          <cell r="K981" t="str">
            <v>RR_DYSPOZ</v>
          </cell>
          <cell r="L981" t="str">
            <v>450</v>
          </cell>
          <cell r="M981" t="str">
            <v/>
          </cell>
          <cell r="N981" t="str">
            <v/>
          </cell>
        </row>
        <row r="982">
          <cell r="A982" t="str">
            <v>STACJA ROBOCZA</v>
          </cell>
          <cell r="B982" t="str">
            <v>KOMPUTER PC/AT</v>
          </cell>
          <cell r="C982" t="str">
            <v>491-1620/1663</v>
          </cell>
          <cell r="D982" t="str">
            <v>238005</v>
          </cell>
          <cell r="E982" t="str">
            <v xml:space="preserve">RR </v>
          </cell>
          <cell r="F982" t="str">
            <v xml:space="preserve">BANASZCZYK               MAREK          </v>
          </cell>
          <cell r="G982" t="str">
            <v>U-2</v>
          </cell>
          <cell r="H982" t="str">
            <v>104</v>
          </cell>
          <cell r="I982" t="str">
            <v>16-16</v>
          </cell>
          <cell r="J982" t="str">
            <v>83</v>
          </cell>
          <cell r="K982" t="str">
            <v>491-01620-1663</v>
          </cell>
          <cell r="L982" t="str">
            <v>200</v>
          </cell>
          <cell r="M982" t="str">
            <v/>
          </cell>
          <cell r="N982" t="str">
            <v>64</v>
          </cell>
        </row>
        <row r="983">
          <cell r="A983" t="str">
            <v>STACJA ROBOCZA</v>
          </cell>
          <cell r="B983" t="str">
            <v>COMPAQ DESKPRO EXD PIII 733</v>
          </cell>
          <cell r="C983" t="str">
            <v>491-4442</v>
          </cell>
          <cell r="D983" t="str">
            <v>8036FR4Z3870</v>
          </cell>
          <cell r="E983" t="str">
            <v xml:space="preserve">RR </v>
          </cell>
          <cell r="F983" t="str">
            <v xml:space="preserve">KUSZCZAK                 JERZY          </v>
          </cell>
          <cell r="G983" t="str">
            <v>BLOK 9</v>
          </cell>
          <cell r="H983" t="str">
            <v>MASZYN.12M</v>
          </cell>
          <cell r="I983" t="str">
            <v>24-20</v>
          </cell>
          <cell r="J983" t="str">
            <v>2292</v>
          </cell>
          <cell r="K983" t="str">
            <v>491-04442</v>
          </cell>
          <cell r="L983" t="str">
            <v>733</v>
          </cell>
          <cell r="M983" t="str">
            <v/>
          </cell>
          <cell r="N983" t="str">
            <v>127</v>
          </cell>
        </row>
        <row r="984">
          <cell r="A984" t="str">
            <v>STACJA ROBOCZA</v>
          </cell>
          <cell r="B984" t="str">
            <v>NEC Direction Minitower P III 450</v>
          </cell>
          <cell r="C984" t="str">
            <v>491-3761</v>
          </cell>
          <cell r="D984" t="str">
            <v>0148109</v>
          </cell>
          <cell r="E984" t="str">
            <v xml:space="preserve">RR </v>
          </cell>
          <cell r="F984" t="str">
            <v xml:space="preserve">WALCZYŃSKI               STANISŁAW      </v>
          </cell>
          <cell r="G984" t="str">
            <v>BLOK 9</v>
          </cell>
          <cell r="H984" t="str">
            <v>MASZYN.12M</v>
          </cell>
          <cell r="I984" t="str">
            <v>16-16</v>
          </cell>
          <cell r="J984" t="str">
            <v>7867</v>
          </cell>
          <cell r="K984" t="str">
            <v>491-03761</v>
          </cell>
          <cell r="L984" t="str">
            <v>450</v>
          </cell>
          <cell r="M984" t="str">
            <v/>
          </cell>
          <cell r="N984" t="str">
            <v>64</v>
          </cell>
        </row>
        <row r="985">
          <cell r="A985" t="str">
            <v>STACJA ROBOCZA</v>
          </cell>
          <cell r="B985" t="str">
            <v>DELL Optiplex GX1L 266</v>
          </cell>
          <cell r="C985" t="str">
            <v>491-3248</v>
          </cell>
          <cell r="D985" t="str">
            <v>NM168</v>
          </cell>
          <cell r="E985" t="str">
            <v xml:space="preserve">RR </v>
          </cell>
          <cell r="F985" t="str">
            <v xml:space="preserve">FELCZAK                  MAREK          </v>
          </cell>
          <cell r="G985" t="str">
            <v>BLOK 5</v>
          </cell>
          <cell r="H985" t="str">
            <v>MISTRZOWKA</v>
          </cell>
          <cell r="I985" t="str">
            <v>29-30</v>
          </cell>
          <cell r="J985" t="str">
            <v>9181</v>
          </cell>
          <cell r="K985" t="str">
            <v>491-03248</v>
          </cell>
          <cell r="L985" t="str">
            <v>266</v>
          </cell>
          <cell r="M985" t="str">
            <v/>
          </cell>
          <cell r="N985" t="str">
            <v>32</v>
          </cell>
        </row>
        <row r="986">
          <cell r="A986" t="str">
            <v>STACJA ROBOCZA</v>
          </cell>
          <cell r="B986" t="str">
            <v>COMPAQ DESKPRO EXD PIII 733</v>
          </cell>
          <cell r="C986" t="str">
            <v>491-4294</v>
          </cell>
          <cell r="D986" t="str">
            <v>8036FR4ZE290</v>
          </cell>
          <cell r="E986" t="str">
            <v xml:space="preserve">RR </v>
          </cell>
          <cell r="F986" t="str">
            <v xml:space="preserve">KURPIEWSKA               MAŁGORZATA     </v>
          </cell>
          <cell r="G986" t="str">
            <v>U-2</v>
          </cell>
          <cell r="H986" t="str">
            <v>117</v>
          </cell>
          <cell r="I986" t="str">
            <v>11-72</v>
          </cell>
          <cell r="J986" t="str">
            <v>5016</v>
          </cell>
          <cell r="K986" t="str">
            <v>491-04294</v>
          </cell>
          <cell r="L986" t="str">
            <v>733</v>
          </cell>
          <cell r="M986" t="str">
            <v/>
          </cell>
          <cell r="N986" t="str">
            <v>127</v>
          </cell>
        </row>
        <row r="987">
          <cell r="A987" t="str">
            <v>STACJA ROBOCZA</v>
          </cell>
          <cell r="B987" t="str">
            <v>KOMPUTER 386DX</v>
          </cell>
          <cell r="C987" t="str">
            <v>491-2003</v>
          </cell>
          <cell r="D987" t="str">
            <v>3608/043</v>
          </cell>
          <cell r="E987" t="str">
            <v xml:space="preserve">RR </v>
          </cell>
          <cell r="F987" t="str">
            <v xml:space="preserve">JAKIEL                   MIROSŁAW       </v>
          </cell>
          <cell r="G987" t="str">
            <v>U-2</v>
          </cell>
          <cell r="H987" t="str">
            <v>104</v>
          </cell>
          <cell r="I987" t="str">
            <v>16-16</v>
          </cell>
          <cell r="J987" t="str">
            <v>310</v>
          </cell>
          <cell r="K987" t="str">
            <v>491-02003</v>
          </cell>
          <cell r="L987" t="str">
            <v>500</v>
          </cell>
          <cell r="M987" t="str">
            <v/>
          </cell>
          <cell r="N987" t="str">
            <v>128</v>
          </cell>
        </row>
        <row r="988">
          <cell r="A988" t="str">
            <v>STACJA ROBOCZA</v>
          </cell>
          <cell r="B988" t="str">
            <v>KOMPUTER PC/AT</v>
          </cell>
          <cell r="C988" t="str">
            <v>491-1803</v>
          </cell>
          <cell r="D988" t="str">
            <v>1641/256438</v>
          </cell>
          <cell r="E988" t="str">
            <v xml:space="preserve">RT </v>
          </cell>
          <cell r="F988" t="str">
            <v xml:space="preserve">CZERWIŃSKI               WIESŁAW        </v>
          </cell>
          <cell r="G988" t="str">
            <v>PYLON I</v>
          </cell>
          <cell r="H988" t="str">
            <v>+99M</v>
          </cell>
          <cell r="I988" t="str">
            <v>18-70</v>
          </cell>
          <cell r="J988" t="str">
            <v>1290</v>
          </cell>
          <cell r="K988" t="str">
            <v/>
          </cell>
          <cell r="L988" t="str">
            <v>0</v>
          </cell>
          <cell r="M988" t="str">
            <v>OK19M</v>
          </cell>
          <cell r="N988" t="str">
            <v/>
          </cell>
        </row>
        <row r="989">
          <cell r="A989" t="str">
            <v>STACJA ROBOCZA</v>
          </cell>
          <cell r="B989" t="str">
            <v>COMPAQ DESKPRO EXD PIII 733</v>
          </cell>
          <cell r="C989" t="str">
            <v>491-4456</v>
          </cell>
          <cell r="D989" t="str">
            <v>8036FR4ZE488</v>
          </cell>
          <cell r="E989" t="str">
            <v xml:space="preserve">RT </v>
          </cell>
          <cell r="F989" t="str">
            <v xml:space="preserve">MIERZYŃSKI               WOJCIECH       </v>
          </cell>
          <cell r="G989" t="str">
            <v>K12/17M</v>
          </cell>
          <cell r="H989" t="str">
            <v>POZ.+17M</v>
          </cell>
          <cell r="I989" t="str">
            <v>18-65</v>
          </cell>
          <cell r="J989" t="str">
            <v>624</v>
          </cell>
          <cell r="K989" t="str">
            <v>491-04456</v>
          </cell>
          <cell r="L989" t="str">
            <v>733</v>
          </cell>
          <cell r="M989" t="str">
            <v/>
          </cell>
          <cell r="N989" t="str">
            <v>127</v>
          </cell>
        </row>
        <row r="990">
          <cell r="A990" t="str">
            <v>STACJA ROBOCZA</v>
          </cell>
          <cell r="B990" t="str">
            <v>COMPAQ DESKPRO EXD PIII 733</v>
          </cell>
          <cell r="C990" t="str">
            <v>491-4279</v>
          </cell>
          <cell r="D990" t="str">
            <v>8036FR4Z6674</v>
          </cell>
          <cell r="E990" t="str">
            <v xml:space="preserve">RT </v>
          </cell>
          <cell r="F990" t="str">
            <v xml:space="preserve">TATARCZAK                RYSZARD        </v>
          </cell>
          <cell r="G990" t="str">
            <v>T-1</v>
          </cell>
          <cell r="H990" t="str">
            <v>T1</v>
          </cell>
          <cell r="I990" t="str">
            <v>18-69</v>
          </cell>
          <cell r="J990" t="str">
            <v>1020</v>
          </cell>
          <cell r="K990" t="str">
            <v>491-04279</v>
          </cell>
          <cell r="L990" t="str">
            <v>733</v>
          </cell>
          <cell r="M990" t="str">
            <v/>
          </cell>
          <cell r="N990" t="str">
            <v>127</v>
          </cell>
        </row>
        <row r="991">
          <cell r="A991" t="str">
            <v>STACJA ROBOCZA</v>
          </cell>
          <cell r="B991" t="str">
            <v>DELL Optiplex GX150</v>
          </cell>
          <cell r="C991" t="str">
            <v>491-4814</v>
          </cell>
          <cell r="D991" t="str">
            <v>2NVX60J</v>
          </cell>
          <cell r="E991" t="str">
            <v xml:space="preserve">RT </v>
          </cell>
          <cell r="F991" t="str">
            <v xml:space="preserve">KOWALSKI                 LONGIN         </v>
          </cell>
          <cell r="G991" t="str">
            <v>PYLON I</v>
          </cell>
          <cell r="H991" t="str">
            <v>+99M</v>
          </cell>
          <cell r="I991" t="str">
            <v>18-70</v>
          </cell>
          <cell r="J991" t="str">
            <v>435</v>
          </cell>
          <cell r="K991" t="str">
            <v>491-04814</v>
          </cell>
          <cell r="L991" t="str">
            <v>1000</v>
          </cell>
          <cell r="M991" t="str">
            <v/>
          </cell>
          <cell r="N991" t="str">
            <v>255</v>
          </cell>
        </row>
        <row r="992">
          <cell r="A992" t="str">
            <v>STACJA ROBOCZA</v>
          </cell>
          <cell r="B992" t="str">
            <v>DELL Optiplex GX1L 266</v>
          </cell>
          <cell r="C992" t="str">
            <v>491-3259</v>
          </cell>
          <cell r="D992" t="str">
            <v>NM15L</v>
          </cell>
          <cell r="E992" t="str">
            <v xml:space="preserve">RT </v>
          </cell>
          <cell r="F992" t="str">
            <v xml:space="preserve">KACZOROWSKI              MAREK          </v>
          </cell>
          <cell r="G992" t="str">
            <v>T-1</v>
          </cell>
          <cell r="H992" t="str">
            <v>T1</v>
          </cell>
          <cell r="I992" t="str">
            <v>18-69</v>
          </cell>
          <cell r="J992" t="str">
            <v>2437</v>
          </cell>
          <cell r="K992" t="str">
            <v>491-03259</v>
          </cell>
          <cell r="L992" t="str">
            <v>266</v>
          </cell>
          <cell r="M992" t="str">
            <v/>
          </cell>
          <cell r="N992" t="str">
            <v>64</v>
          </cell>
        </row>
        <row r="993">
          <cell r="A993" t="str">
            <v>STACJA ROBOCZA</v>
          </cell>
          <cell r="B993" t="str">
            <v>DELL Optiplex GX150</v>
          </cell>
          <cell r="C993" t="str">
            <v>491-4813</v>
          </cell>
          <cell r="D993" t="str">
            <v>4NVX60J</v>
          </cell>
          <cell r="E993" t="str">
            <v xml:space="preserve">RT </v>
          </cell>
          <cell r="F993" t="str">
            <v xml:space="preserve">MIERZYŃSKA               FLORENTYNA     </v>
          </cell>
          <cell r="G993" t="str">
            <v>U-2</v>
          </cell>
          <cell r="H993" t="str">
            <v>207</v>
          </cell>
          <cell r="I993" t="str">
            <v>18-67</v>
          </cell>
          <cell r="J993" t="str">
            <v>634</v>
          </cell>
          <cell r="K993" t="str">
            <v>491-04813</v>
          </cell>
          <cell r="L993" t="str">
            <v>1000</v>
          </cell>
          <cell r="M993" t="str">
            <v/>
          </cell>
          <cell r="N993" t="str">
            <v>255</v>
          </cell>
        </row>
        <row r="994">
          <cell r="A994" t="str">
            <v>NOTEBOOK</v>
          </cell>
          <cell r="B994" t="str">
            <v>Dell Latitude CP 233XT</v>
          </cell>
          <cell r="C994" t="str">
            <v>491-3626</v>
          </cell>
          <cell r="D994" t="str">
            <v>ZJSZW</v>
          </cell>
          <cell r="E994" t="str">
            <v xml:space="preserve">RT </v>
          </cell>
          <cell r="F994" t="str">
            <v xml:space="preserve">SUTOR                    LESZEK         </v>
          </cell>
          <cell r="G994" t="str">
            <v>U-2</v>
          </cell>
          <cell r="H994" t="str">
            <v>207</v>
          </cell>
          <cell r="I994" t="str">
            <v>18-67</v>
          </cell>
          <cell r="J994" t="str">
            <v>969</v>
          </cell>
          <cell r="K994" t="str">
            <v/>
          </cell>
          <cell r="L994" t="str">
            <v>233</v>
          </cell>
          <cell r="M994" t="str">
            <v/>
          </cell>
          <cell r="N994" t="str">
            <v/>
          </cell>
        </row>
        <row r="995">
          <cell r="A995" t="str">
            <v>STACJA ROBOCZA</v>
          </cell>
          <cell r="B995" t="str">
            <v>NEC PMVT Desktop P III 450</v>
          </cell>
          <cell r="C995" t="str">
            <v>491-3785</v>
          </cell>
          <cell r="D995" t="str">
            <v>0678109</v>
          </cell>
          <cell r="E995" t="str">
            <v xml:space="preserve">RT </v>
          </cell>
          <cell r="F995" t="str">
            <v xml:space="preserve">STĘPIEŃ                  MAREK          </v>
          </cell>
          <cell r="G995" t="str">
            <v>PYLON IX</v>
          </cell>
          <cell r="H995" t="str">
            <v>+99M</v>
          </cell>
          <cell r="I995" t="str">
            <v>20-71</v>
          </cell>
          <cell r="J995" t="str">
            <v>980</v>
          </cell>
          <cell r="K995" t="str">
            <v>491-03785</v>
          </cell>
          <cell r="L995" t="str">
            <v>450</v>
          </cell>
          <cell r="M995" t="str">
            <v/>
          </cell>
          <cell r="N995" t="str">
            <v>64</v>
          </cell>
        </row>
        <row r="996">
          <cell r="A996" t="str">
            <v>STACJA ROBOCZA</v>
          </cell>
          <cell r="B996" t="str">
            <v>DELL Optiplex GX260 SD</v>
          </cell>
          <cell r="C996" t="str">
            <v>491-5045</v>
          </cell>
          <cell r="D996" t="str">
            <v>4L2GL0J</v>
          </cell>
          <cell r="E996" t="str">
            <v xml:space="preserve">RT </v>
          </cell>
          <cell r="F996" t="str">
            <v xml:space="preserve">IGIELSKI                 PIOTR          </v>
          </cell>
          <cell r="G996" t="str">
            <v>U-2</v>
          </cell>
          <cell r="H996" t="str">
            <v>208</v>
          </cell>
          <cell r="I996" t="str">
            <v>16-10</v>
          </cell>
          <cell r="J996" t="str">
            <v>9456</v>
          </cell>
          <cell r="K996" t="str">
            <v>491-05045</v>
          </cell>
          <cell r="L996" t="str">
            <v>2400</v>
          </cell>
          <cell r="M996" t="str">
            <v/>
          </cell>
          <cell r="N996" t="str">
            <v>254</v>
          </cell>
        </row>
        <row r="997">
          <cell r="A997" t="str">
            <v>STACJA ROBOCZA</v>
          </cell>
          <cell r="B997" t="str">
            <v>DELL Optiplex GX1M 350</v>
          </cell>
          <cell r="C997" t="str">
            <v>491-3603</v>
          </cell>
          <cell r="D997" t="str">
            <v>PKGNO</v>
          </cell>
          <cell r="E997" t="str">
            <v xml:space="preserve">RT </v>
          </cell>
          <cell r="F997" t="str">
            <v xml:space="preserve">FOLTYŃSKI                LESZEK         </v>
          </cell>
          <cell r="G997" t="str">
            <v>PYLON IX</v>
          </cell>
          <cell r="H997" t="str">
            <v>+81M</v>
          </cell>
          <cell r="I997" t="str">
            <v>27-92</v>
          </cell>
          <cell r="J997" t="str">
            <v>1832</v>
          </cell>
          <cell r="K997" t="str">
            <v>JANDELL</v>
          </cell>
          <cell r="L997" t="str">
            <v>350</v>
          </cell>
          <cell r="M997" t="str">
            <v>OK19M</v>
          </cell>
          <cell r="N997" t="str">
            <v/>
          </cell>
        </row>
        <row r="998">
          <cell r="A998" t="str">
            <v>STACJA ROBOCZA</v>
          </cell>
          <cell r="B998" t="str">
            <v>DELL Optiplex GX260 SD</v>
          </cell>
          <cell r="C998" t="str">
            <v>491-5154</v>
          </cell>
          <cell r="D998" t="str">
            <v>JJYGL0J</v>
          </cell>
          <cell r="E998" t="str">
            <v xml:space="preserve">RT </v>
          </cell>
          <cell r="F998" t="str">
            <v xml:space="preserve">SUTOR                    LESZEK         </v>
          </cell>
          <cell r="G998" t="str">
            <v>U-2</v>
          </cell>
          <cell r="H998" t="str">
            <v>207</v>
          </cell>
          <cell r="I998" t="str">
            <v>18-67</v>
          </cell>
          <cell r="J998" t="str">
            <v>969</v>
          </cell>
          <cell r="K998" t="str">
            <v>491-05154</v>
          </cell>
          <cell r="L998" t="str">
            <v>2400</v>
          </cell>
          <cell r="M998" t="str">
            <v/>
          </cell>
          <cell r="N998" t="str">
            <v>254</v>
          </cell>
        </row>
        <row r="999">
          <cell r="A999" t="str">
            <v>STACJA ROBOCZA</v>
          </cell>
          <cell r="B999" t="str">
            <v>DELL Optiplex GX1L 266</v>
          </cell>
          <cell r="C999" t="str">
            <v>491-3224</v>
          </cell>
          <cell r="D999" t="str">
            <v>NM14V</v>
          </cell>
          <cell r="E999" t="str">
            <v xml:space="preserve">RT </v>
          </cell>
          <cell r="F999" t="str">
            <v xml:space="preserve">WĘDZONKA                 JERZY          </v>
          </cell>
          <cell r="G999" t="str">
            <v>K12/17M</v>
          </cell>
          <cell r="H999" t="str">
            <v>POZ.+17M</v>
          </cell>
          <cell r="I999" t="str">
            <v>18-65</v>
          </cell>
          <cell r="J999" t="str">
            <v>1526</v>
          </cell>
          <cell r="K999" t="str">
            <v>491-03224</v>
          </cell>
          <cell r="L999" t="str">
            <v>266</v>
          </cell>
          <cell r="M999" t="str">
            <v>OK19M</v>
          </cell>
          <cell r="N999" t="str">
            <v>64</v>
          </cell>
        </row>
        <row r="1000">
          <cell r="A1000" t="str">
            <v>STACJA ROBOCZA</v>
          </cell>
          <cell r="B1000" t="str">
            <v>NEC Direction Minitower P III 450</v>
          </cell>
          <cell r="C1000" t="str">
            <v>491-3747</v>
          </cell>
          <cell r="D1000" t="str">
            <v>0144109</v>
          </cell>
          <cell r="E1000" t="str">
            <v xml:space="preserve">RT </v>
          </cell>
          <cell r="F1000" t="str">
            <v xml:space="preserve">SZCZEPANEK               TOMASZ         </v>
          </cell>
          <cell r="G1000" t="str">
            <v>U-2</v>
          </cell>
          <cell r="H1000" t="str">
            <v>208</v>
          </cell>
          <cell r="I1000" t="str">
            <v>16-10</v>
          </cell>
          <cell r="J1000" t="str">
            <v>3770</v>
          </cell>
          <cell r="K1000" t="str">
            <v>491-03747</v>
          </cell>
          <cell r="L1000" t="str">
            <v>450</v>
          </cell>
          <cell r="M1000" t="str">
            <v/>
          </cell>
          <cell r="N1000" t="str">
            <v>192</v>
          </cell>
        </row>
        <row r="1001">
          <cell r="A1001" t="str">
            <v>STACJA ROBOCZA</v>
          </cell>
          <cell r="B1001" t="str">
            <v>DELL Optiplex GX1L 350</v>
          </cell>
          <cell r="C1001" t="str">
            <v>491-3584</v>
          </cell>
          <cell r="D1001" t="str">
            <v>PKGPB</v>
          </cell>
          <cell r="E1001" t="str">
            <v>RU1</v>
          </cell>
          <cell r="F1001" t="str">
            <v xml:space="preserve">SZLENK                   STANISŁAW      </v>
          </cell>
          <cell r="G1001" t="str">
            <v>U-2</v>
          </cell>
          <cell r="H1001" t="str">
            <v>61</v>
          </cell>
          <cell r="I1001" t="str">
            <v>26-85</v>
          </cell>
          <cell r="J1001" t="str">
            <v>9240</v>
          </cell>
          <cell r="K1001" t="str">
            <v>491-03584</v>
          </cell>
          <cell r="L1001" t="str">
            <v>350</v>
          </cell>
          <cell r="M1001" t="str">
            <v/>
          </cell>
          <cell r="N1001" t="str">
            <v>128</v>
          </cell>
        </row>
        <row r="1002">
          <cell r="A1002" t="str">
            <v>STACJA ROBOCZA</v>
          </cell>
          <cell r="B1002" t="str">
            <v>DELL Optiplex GX1L 266</v>
          </cell>
          <cell r="C1002" t="str">
            <v>491-3327</v>
          </cell>
          <cell r="D1002" t="str">
            <v>NM1HF</v>
          </cell>
          <cell r="E1002" t="str">
            <v>RU1</v>
          </cell>
          <cell r="F1002" t="str">
            <v xml:space="preserve">SIEWIOR                  MIROSŁAW       </v>
          </cell>
          <cell r="G1002" t="str">
            <v>U-4/1</v>
          </cell>
          <cell r="H1002" t="str">
            <v>10</v>
          </cell>
          <cell r="I1002" t="str">
            <v>26-85</v>
          </cell>
          <cell r="J1002" t="str">
            <v>9234</v>
          </cell>
          <cell r="K1002" t="str">
            <v>491-03327</v>
          </cell>
          <cell r="L1002" t="str">
            <v>266</v>
          </cell>
          <cell r="M1002" t="str">
            <v/>
          </cell>
          <cell r="N1002" t="str">
            <v>192</v>
          </cell>
        </row>
        <row r="1003">
          <cell r="A1003" t="str">
            <v>STACJA ROBOCZA</v>
          </cell>
          <cell r="B1003" t="str">
            <v>COMPAQ DESKPRO EXD PIII 733</v>
          </cell>
          <cell r="C1003" t="str">
            <v>491-4310</v>
          </cell>
          <cell r="D1003" t="str">
            <v>8036FR4Z3892</v>
          </cell>
          <cell r="E1003" t="str">
            <v>RU1</v>
          </cell>
          <cell r="F1003" t="str">
            <v xml:space="preserve">WALAS                    ANDRZEJ        </v>
          </cell>
          <cell r="G1003" t="str">
            <v>U-2</v>
          </cell>
          <cell r="H1003" t="str">
            <v>101 C</v>
          </cell>
          <cell r="I1003" t="str">
            <v>18-36</v>
          </cell>
          <cell r="J1003" t="str">
            <v>7862</v>
          </cell>
          <cell r="K1003" t="str">
            <v>491-04310</v>
          </cell>
          <cell r="L1003" t="str">
            <v>733</v>
          </cell>
          <cell r="M1003" t="str">
            <v/>
          </cell>
          <cell r="N1003" t="str">
            <v>127</v>
          </cell>
        </row>
        <row r="1004">
          <cell r="A1004" t="str">
            <v>STACJA ROBOCZA</v>
          </cell>
          <cell r="B1004" t="str">
            <v>NEC Direction Minitower P III 450</v>
          </cell>
          <cell r="C1004" t="str">
            <v>491-3955</v>
          </cell>
          <cell r="D1004" t="str">
            <v>0172109</v>
          </cell>
          <cell r="E1004" t="str">
            <v>RU1</v>
          </cell>
          <cell r="F1004" t="str">
            <v xml:space="preserve">STASIAK                  ZBIGNIEW       </v>
          </cell>
          <cell r="G1004" t="str">
            <v>U-48</v>
          </cell>
          <cell r="H1004" t="str">
            <v>18</v>
          </cell>
          <cell r="I1004" t="str">
            <v>15-32</v>
          </cell>
          <cell r="J1004" t="str">
            <v>984</v>
          </cell>
          <cell r="K1004" t="str">
            <v>491-03955</v>
          </cell>
          <cell r="L1004" t="str">
            <v>450</v>
          </cell>
          <cell r="M1004" t="str">
            <v/>
          </cell>
          <cell r="N1004" t="str">
            <v>256</v>
          </cell>
        </row>
        <row r="1005">
          <cell r="A1005" t="str">
            <v>STACJA ROBOCZA</v>
          </cell>
          <cell r="B1005" t="str">
            <v>DELL Optiplex GX1L 350</v>
          </cell>
          <cell r="C1005" t="str">
            <v>491-3594</v>
          </cell>
          <cell r="D1005" t="str">
            <v>PKGPM</v>
          </cell>
          <cell r="E1005" t="str">
            <v>RU1</v>
          </cell>
          <cell r="F1005" t="str">
            <v xml:space="preserve">CECOTKA                  MARIA          </v>
          </cell>
          <cell r="G1005" t="str">
            <v>U-2</v>
          </cell>
          <cell r="H1005" t="str">
            <v>102 A</v>
          </cell>
          <cell r="I1005" t="str">
            <v>15-17</v>
          </cell>
          <cell r="J1005" t="str">
            <v>1022</v>
          </cell>
          <cell r="K1005" t="str">
            <v>491-03594</v>
          </cell>
          <cell r="L1005" t="str">
            <v>350</v>
          </cell>
          <cell r="M1005" t="str">
            <v/>
          </cell>
          <cell r="N1005" t="str">
            <v>192</v>
          </cell>
        </row>
        <row r="1006">
          <cell r="A1006" t="str">
            <v>STACJA ROBOCZA</v>
          </cell>
          <cell r="B1006" t="str">
            <v>COMPAQ DESKPRO EXD PIII 733</v>
          </cell>
          <cell r="C1006" t="str">
            <v>491-4425</v>
          </cell>
          <cell r="D1006" t="str">
            <v>8036FR4ZE537</v>
          </cell>
          <cell r="E1006" t="str">
            <v>RU1</v>
          </cell>
          <cell r="F1006" t="str">
            <v xml:space="preserve">WARZECHA                 JERZY          </v>
          </cell>
          <cell r="G1006" t="str">
            <v>U-2</v>
          </cell>
          <cell r="H1006" t="str">
            <v>PRZYBUDÓWK</v>
          </cell>
          <cell r="I1006" t="str">
            <v>26-86</v>
          </cell>
          <cell r="J1006" t="str">
            <v>1092</v>
          </cell>
          <cell r="K1006" t="str">
            <v>491-04425</v>
          </cell>
          <cell r="L1006" t="str">
            <v>733</v>
          </cell>
          <cell r="M1006" t="str">
            <v/>
          </cell>
          <cell r="N1006" t="str">
            <v>127</v>
          </cell>
        </row>
        <row r="1007">
          <cell r="A1007" t="str">
            <v>STACJA ROBOCZA</v>
          </cell>
          <cell r="B1007" t="str">
            <v>DELL Optiplex GX260 SD</v>
          </cell>
          <cell r="C1007" t="str">
            <v>491-5043</v>
          </cell>
          <cell r="D1007" t="str">
            <v>3K2GL0J</v>
          </cell>
          <cell r="E1007" t="str">
            <v>RU1</v>
          </cell>
          <cell r="F1007" t="str">
            <v xml:space="preserve">DĄBROWSKI                JAN            </v>
          </cell>
          <cell r="G1007" t="str">
            <v>U-2</v>
          </cell>
          <cell r="H1007" t="str">
            <v>62</v>
          </cell>
          <cell r="I1007" t="str">
            <v>26-85</v>
          </cell>
          <cell r="J1007" t="str">
            <v>9849</v>
          </cell>
          <cell r="K1007" t="str">
            <v>491-05043</v>
          </cell>
          <cell r="L1007" t="str">
            <v>2400</v>
          </cell>
          <cell r="M1007" t="str">
            <v/>
          </cell>
          <cell r="N1007" t="str">
            <v>254</v>
          </cell>
        </row>
        <row r="1008">
          <cell r="A1008" t="str">
            <v>STACJA ROBOCZA</v>
          </cell>
          <cell r="B1008" t="str">
            <v>OPTIMUS PENTIUM 100</v>
          </cell>
          <cell r="C1008" t="str">
            <v>491-2863</v>
          </cell>
          <cell r="D1008" t="str">
            <v>060.078.216</v>
          </cell>
          <cell r="E1008" t="str">
            <v>RU1</v>
          </cell>
          <cell r="F1008" t="str">
            <v xml:space="preserve">SOCHACKA                 ELŻBIETA       </v>
          </cell>
          <cell r="G1008" t="str">
            <v>U-2</v>
          </cell>
          <cell r="H1008" t="str">
            <v>102</v>
          </cell>
          <cell r="I1008" t="str">
            <v>26-98</v>
          </cell>
          <cell r="J1008" t="str">
            <v>954</v>
          </cell>
          <cell r="K1008" t="str">
            <v>491-02863</v>
          </cell>
          <cell r="L1008" t="str">
            <v>1200</v>
          </cell>
          <cell r="M1008" t="str">
            <v/>
          </cell>
          <cell r="N1008" t="str">
            <v>256</v>
          </cell>
        </row>
        <row r="1009">
          <cell r="A1009" t="str">
            <v>STACJA ROBOCZA</v>
          </cell>
          <cell r="B1009" t="str">
            <v>COMPAQ DESKPRO EXD PIII 733</v>
          </cell>
          <cell r="C1009" t="str">
            <v>491-4419</v>
          </cell>
          <cell r="D1009" t="str">
            <v>8036FR4ZE444</v>
          </cell>
          <cell r="E1009" t="str">
            <v>RU1</v>
          </cell>
          <cell r="F1009" t="str">
            <v xml:space="preserve">SZWECH                   TADEUSZ        </v>
          </cell>
          <cell r="G1009" t="str">
            <v>U-2</v>
          </cell>
          <cell r="H1009" t="str">
            <v>60</v>
          </cell>
          <cell r="I1009" t="str">
            <v>27-29</v>
          </cell>
          <cell r="J1009" t="str">
            <v>1968</v>
          </cell>
          <cell r="K1009" t="str">
            <v>491-04419</v>
          </cell>
          <cell r="L1009" t="str">
            <v>733</v>
          </cell>
          <cell r="M1009" t="str">
            <v/>
          </cell>
          <cell r="N1009" t="str">
            <v>127</v>
          </cell>
        </row>
        <row r="1010">
          <cell r="A1010" t="str">
            <v>STACJA ROBOCZA</v>
          </cell>
          <cell r="B1010" t="str">
            <v>ZENITH Z STATION P200</v>
          </cell>
          <cell r="C1010" t="str">
            <v>491-3041</v>
          </cell>
          <cell r="D1010" t="str">
            <v>GVDD72905416</v>
          </cell>
          <cell r="E1010" t="str">
            <v>RU1</v>
          </cell>
          <cell r="F1010" t="str">
            <v xml:space="preserve">CIESIELSKI               ZDZISŁAW       </v>
          </cell>
          <cell r="G1010" t="str">
            <v>U-4/1</v>
          </cell>
          <cell r="H1010" t="str">
            <v>3</v>
          </cell>
          <cell r="I1010" t="str">
            <v>17-71</v>
          </cell>
          <cell r="J1010" t="str">
            <v>105</v>
          </cell>
          <cell r="K1010" t="str">
            <v>491-03041</v>
          </cell>
          <cell r="L1010" t="str">
            <v>200</v>
          </cell>
          <cell r="M1010" t="str">
            <v/>
          </cell>
          <cell r="N1010" t="str">
            <v>64</v>
          </cell>
        </row>
        <row r="1011">
          <cell r="A1011" t="str">
            <v>STACJA ROBOCZA</v>
          </cell>
          <cell r="B1011" t="str">
            <v>DELL Optiplex GX150</v>
          </cell>
          <cell r="C1011" t="str">
            <v>491-4857</v>
          </cell>
          <cell r="D1011" t="str">
            <v>61RX60J</v>
          </cell>
          <cell r="E1011" t="str">
            <v>RU1</v>
          </cell>
          <cell r="F1011" t="str">
            <v xml:space="preserve">LIGĘZA                   ARTUR          </v>
          </cell>
          <cell r="G1011" t="str">
            <v>U-2</v>
          </cell>
          <cell r="H1011" t="str">
            <v>62 A</v>
          </cell>
          <cell r="I1011" t="str">
            <v>22-34</v>
          </cell>
          <cell r="J1011" t="str">
            <v>9605</v>
          </cell>
          <cell r="K1011" t="str">
            <v>491-04857</v>
          </cell>
          <cell r="L1011" t="str">
            <v>1000</v>
          </cell>
          <cell r="M1011" t="str">
            <v/>
          </cell>
          <cell r="N1011" t="str">
            <v>255</v>
          </cell>
        </row>
        <row r="1012">
          <cell r="A1012" t="str">
            <v>STACJA ROBOCZA</v>
          </cell>
          <cell r="B1012" t="str">
            <v>KOMPUTER 386DX</v>
          </cell>
          <cell r="C1012" t="str">
            <v>491-2015</v>
          </cell>
          <cell r="D1012" t="str">
            <v>3626/043</v>
          </cell>
          <cell r="E1012" t="str">
            <v>RU1</v>
          </cell>
          <cell r="F1012" t="str">
            <v xml:space="preserve">MIELCAREK                DANUTA         </v>
          </cell>
          <cell r="G1012" t="str">
            <v>U-2</v>
          </cell>
          <cell r="H1012" t="str">
            <v>PRZYBUDÓWK</v>
          </cell>
          <cell r="I1012" t="str">
            <v>27-04</v>
          </cell>
          <cell r="J1012" t="str">
            <v>983</v>
          </cell>
          <cell r="K1012" t="str">
            <v>491-02015</v>
          </cell>
          <cell r="L1012" t="str">
            <v>400</v>
          </cell>
          <cell r="M1012" t="str">
            <v/>
          </cell>
          <cell r="N1012" t="str">
            <v>128</v>
          </cell>
        </row>
        <row r="1013">
          <cell r="A1013" t="str">
            <v>STACJA ROBOCZA</v>
          </cell>
          <cell r="B1013" t="str">
            <v>COMPAQ DESKPRO EXD PIII 733</v>
          </cell>
          <cell r="C1013" t="str">
            <v>491-4334</v>
          </cell>
          <cell r="D1013" t="str">
            <v>8036FR4ZE394</v>
          </cell>
          <cell r="E1013" t="str">
            <v>RU1</v>
          </cell>
          <cell r="F1013" t="str">
            <v xml:space="preserve">WNUK                     MARIUSZ        </v>
          </cell>
          <cell r="G1013" t="str">
            <v>U-2</v>
          </cell>
          <cell r="H1013" t="str">
            <v>62</v>
          </cell>
          <cell r="I1013" t="str">
            <v>26-85</v>
          </cell>
          <cell r="J1013" t="str">
            <v>9466</v>
          </cell>
          <cell r="K1013" t="str">
            <v>491-04334</v>
          </cell>
          <cell r="L1013" t="str">
            <v>733</v>
          </cell>
          <cell r="M1013" t="str">
            <v/>
          </cell>
          <cell r="N1013" t="str">
            <v>255</v>
          </cell>
        </row>
        <row r="1014">
          <cell r="A1014" t="str">
            <v>STACJA ROBOCZA</v>
          </cell>
          <cell r="B1014" t="str">
            <v>DELL Optiplex GX150</v>
          </cell>
          <cell r="C1014" t="str">
            <v>491-4855</v>
          </cell>
          <cell r="D1014" t="str">
            <v>41RX60J</v>
          </cell>
          <cell r="E1014" t="str">
            <v>RU1</v>
          </cell>
          <cell r="F1014" t="str">
            <v xml:space="preserve">BALCERZYK                MAREK          </v>
          </cell>
          <cell r="G1014" t="str">
            <v>U-4/1</v>
          </cell>
          <cell r="H1014" t="str">
            <v>17</v>
          </cell>
          <cell r="I1014" t="str">
            <v>27-41</v>
          </cell>
          <cell r="J1014" t="str">
            <v>9732</v>
          </cell>
          <cell r="K1014" t="str">
            <v>491-04855</v>
          </cell>
          <cell r="L1014" t="str">
            <v>1000</v>
          </cell>
          <cell r="M1014" t="str">
            <v/>
          </cell>
          <cell r="N1014" t="str">
            <v>255</v>
          </cell>
        </row>
        <row r="1015">
          <cell r="A1015" t="str">
            <v>STACJA ROBOCZA</v>
          </cell>
          <cell r="B1015" t="str">
            <v>DELL Optiplex GX260 SD</v>
          </cell>
          <cell r="C1015" t="str">
            <v>491-5042</v>
          </cell>
          <cell r="D1015" t="str">
            <v>2L2GL0J</v>
          </cell>
          <cell r="E1015" t="str">
            <v>RU1</v>
          </cell>
          <cell r="F1015" t="str">
            <v xml:space="preserve">KOŚCIN                   SŁAWOMIR       </v>
          </cell>
          <cell r="G1015" t="str">
            <v>U-4</v>
          </cell>
          <cell r="H1015" t="str">
            <v>10</v>
          </cell>
          <cell r="I1015" t="str">
            <v>28-32</v>
          </cell>
          <cell r="J1015" t="str">
            <v>481</v>
          </cell>
          <cell r="K1015" t="str">
            <v>491-05042</v>
          </cell>
          <cell r="L1015" t="str">
            <v>2400</v>
          </cell>
          <cell r="M1015" t="str">
            <v/>
          </cell>
          <cell r="N1015" t="str">
            <v>254</v>
          </cell>
        </row>
        <row r="1016">
          <cell r="A1016" t="str">
            <v>STACJA ROBOCZA</v>
          </cell>
          <cell r="B1016" t="str">
            <v>DELL Optiplex GX150</v>
          </cell>
          <cell r="C1016" t="str">
            <v>491-4792</v>
          </cell>
          <cell r="D1016" t="str">
            <v>JLVX60J</v>
          </cell>
          <cell r="E1016" t="str">
            <v>RU1</v>
          </cell>
          <cell r="F1016" t="str">
            <v xml:space="preserve">TYREK                    KRYSTYNA       </v>
          </cell>
          <cell r="G1016" t="str">
            <v>U-2</v>
          </cell>
          <cell r="H1016" t="str">
            <v>PRZYBUDÓWK</v>
          </cell>
          <cell r="I1016" t="str">
            <v>26-99</v>
          </cell>
          <cell r="J1016" t="str">
            <v>1013</v>
          </cell>
          <cell r="K1016" t="str">
            <v>491-04792</v>
          </cell>
          <cell r="L1016" t="str">
            <v>1000</v>
          </cell>
          <cell r="M1016" t="str">
            <v/>
          </cell>
          <cell r="N1016" t="str">
            <v>255</v>
          </cell>
        </row>
        <row r="1017">
          <cell r="A1017" t="str">
            <v>STACJA ROBOCZA</v>
          </cell>
          <cell r="B1017" t="str">
            <v>DELL Optiplex GX1L 266</v>
          </cell>
          <cell r="C1017" t="str">
            <v>491-3365</v>
          </cell>
          <cell r="D1017" t="str">
            <v>NM1BP</v>
          </cell>
          <cell r="E1017" t="str">
            <v>RU1</v>
          </cell>
          <cell r="F1017" t="str">
            <v xml:space="preserve">PAWLIK                   GRZEGORZ       </v>
          </cell>
          <cell r="G1017" t="str">
            <v>U-2</v>
          </cell>
          <cell r="H1017" t="str">
            <v>62 A</v>
          </cell>
          <cell r="I1017" t="str">
            <v>26-97</v>
          </cell>
          <cell r="J1017" t="str">
            <v>4338</v>
          </cell>
          <cell r="K1017" t="str">
            <v>491-03365</v>
          </cell>
          <cell r="L1017" t="str">
            <v>266</v>
          </cell>
          <cell r="M1017" t="str">
            <v>OK55J</v>
          </cell>
          <cell r="N1017" t="str">
            <v>96</v>
          </cell>
        </row>
        <row r="1018">
          <cell r="A1018" t="str">
            <v>STACJA ROBOCZA</v>
          </cell>
          <cell r="B1018" t="str">
            <v>KOMPUTER PC/AT</v>
          </cell>
          <cell r="C1018" t="str">
            <v>491-1620/1679</v>
          </cell>
          <cell r="D1018" t="str">
            <v>235849</v>
          </cell>
          <cell r="E1018" t="str">
            <v>RU1</v>
          </cell>
          <cell r="F1018" t="str">
            <v xml:space="preserve">GIEŁAŻYS                 WALDEMAR       </v>
          </cell>
          <cell r="G1018" t="str">
            <v>U-2</v>
          </cell>
          <cell r="H1018" t="str">
            <v>PRZYBUDÓWK</v>
          </cell>
          <cell r="I1018" t="str">
            <v>27-04</v>
          </cell>
          <cell r="J1018" t="str">
            <v>266</v>
          </cell>
          <cell r="K1018" t="str">
            <v>491-01620-1679</v>
          </cell>
          <cell r="L1018" t="str">
            <v>366</v>
          </cell>
          <cell r="M1018" t="str">
            <v/>
          </cell>
          <cell r="N1018" t="str">
            <v>64</v>
          </cell>
        </row>
        <row r="1019">
          <cell r="A1019" t="str">
            <v>STACJA ROBOCZA</v>
          </cell>
          <cell r="B1019" t="str">
            <v>COMPAQ DESKPRO EXD PIII 733</v>
          </cell>
          <cell r="C1019" t="str">
            <v>491-4382</v>
          </cell>
          <cell r="D1019" t="str">
            <v>8036FR4ZE566</v>
          </cell>
          <cell r="E1019" t="str">
            <v>RU1</v>
          </cell>
          <cell r="F1019" t="str">
            <v xml:space="preserve">ANTCZAK                  ROBERT         </v>
          </cell>
          <cell r="G1019" t="str">
            <v>U-2</v>
          </cell>
          <cell r="H1019" t="str">
            <v>III NAWA</v>
          </cell>
          <cell r="I1019" t="str">
            <v>17-23</v>
          </cell>
          <cell r="J1019" t="str">
            <v>9723</v>
          </cell>
          <cell r="K1019" t="str">
            <v>491-04382</v>
          </cell>
          <cell r="L1019" t="str">
            <v>733</v>
          </cell>
          <cell r="M1019" t="str">
            <v/>
          </cell>
          <cell r="N1019" t="str">
            <v>127</v>
          </cell>
        </row>
        <row r="1020">
          <cell r="A1020" t="str">
            <v>STACJA ROBOCZA</v>
          </cell>
          <cell r="B1020" t="str">
            <v>KOMPUTER PC/AT</v>
          </cell>
          <cell r="C1020" t="str">
            <v>491-1620/K004</v>
          </cell>
          <cell r="D1020" t="str">
            <v>0B23A</v>
          </cell>
          <cell r="E1020" t="str">
            <v>RU1</v>
          </cell>
          <cell r="F1020" t="str">
            <v xml:space="preserve">HYŻAK                    EUGENIUSZ      </v>
          </cell>
          <cell r="G1020" t="str">
            <v>U-2</v>
          </cell>
          <cell r="H1020" t="str">
            <v>PRZYBUDÓWK</v>
          </cell>
          <cell r="I1020" t="str">
            <v>22-72</v>
          </cell>
          <cell r="J1020" t="str">
            <v>1421</v>
          </cell>
          <cell r="K1020" t="str">
            <v>491-01620-K004</v>
          </cell>
          <cell r="L1020" t="str">
            <v>266</v>
          </cell>
          <cell r="M1020" t="str">
            <v/>
          </cell>
          <cell r="N1020" t="str">
            <v>64</v>
          </cell>
        </row>
        <row r="1021">
          <cell r="A1021" t="str">
            <v>STACJA ROBOCZA</v>
          </cell>
          <cell r="B1021" t="str">
            <v>COMPAQ DESKPRO 2000 DT 5120 M1080</v>
          </cell>
          <cell r="C1021" t="str">
            <v>491-2770</v>
          </cell>
          <cell r="D1021" t="str">
            <v>8651HVS50606</v>
          </cell>
          <cell r="E1021" t="str">
            <v>RU1</v>
          </cell>
          <cell r="F1021" t="str">
            <v xml:space="preserve">CHYCIŃSKI                MIROSŁAW       </v>
          </cell>
          <cell r="G1021" t="str">
            <v>U-2</v>
          </cell>
          <cell r="H1021" t="str">
            <v>62</v>
          </cell>
          <cell r="I1021" t="str">
            <v>25-75</v>
          </cell>
          <cell r="J1021" t="str">
            <v>104</v>
          </cell>
          <cell r="K1021" t="str">
            <v>491-02770</v>
          </cell>
          <cell r="L1021" t="str">
            <v>120</v>
          </cell>
          <cell r="M1021" t="str">
            <v>OK55J</v>
          </cell>
          <cell r="N1021" t="str">
            <v>32</v>
          </cell>
        </row>
        <row r="1022">
          <cell r="A1022" t="str">
            <v>STACJA ROBOCZA</v>
          </cell>
          <cell r="B1022" t="str">
            <v>DELL Optiplex GX1L 266</v>
          </cell>
          <cell r="C1022" t="str">
            <v>491-3379</v>
          </cell>
          <cell r="D1022" t="str">
            <v>NM1CL</v>
          </cell>
          <cell r="E1022" t="str">
            <v>RU1</v>
          </cell>
          <cell r="F1022" t="str">
            <v xml:space="preserve">KACZMAREK                RAFAŁ          </v>
          </cell>
          <cell r="G1022" t="str">
            <v>U-2</v>
          </cell>
          <cell r="H1022" t="str">
            <v>102</v>
          </cell>
          <cell r="I1022" t="str">
            <v>40-76</v>
          </cell>
          <cell r="J1022" t="str">
            <v>9360</v>
          </cell>
          <cell r="K1022" t="str">
            <v>491-03379</v>
          </cell>
          <cell r="L1022" t="str">
            <v>266</v>
          </cell>
          <cell r="M1022" t="str">
            <v/>
          </cell>
          <cell r="N1022" t="str">
            <v>64</v>
          </cell>
        </row>
        <row r="1023">
          <cell r="A1023" t="str">
            <v>STACJA ROBOCZA</v>
          </cell>
          <cell r="B1023" t="str">
            <v>KOMPUTER PC/AT</v>
          </cell>
          <cell r="C1023" t="str">
            <v>491-1620/K035</v>
          </cell>
          <cell r="D1023" t="str">
            <v>0B23A</v>
          </cell>
          <cell r="E1023" t="str">
            <v>RU1</v>
          </cell>
          <cell r="F1023" t="str">
            <v xml:space="preserve">HARLEJCZYK               KRZYSZTOF      </v>
          </cell>
          <cell r="G1023" t="str">
            <v>U-2</v>
          </cell>
          <cell r="H1023" t="str">
            <v>60</v>
          </cell>
          <cell r="I1023" t="str">
            <v>27-29</v>
          </cell>
          <cell r="J1023" t="str">
            <v>1735</v>
          </cell>
          <cell r="K1023" t="str">
            <v>491-01620-K035</v>
          </cell>
          <cell r="L1023" t="str">
            <v>400</v>
          </cell>
          <cell r="M1023" t="str">
            <v>OK51J</v>
          </cell>
          <cell r="N1023" t="str">
            <v>64</v>
          </cell>
        </row>
        <row r="1024">
          <cell r="A1024" t="str">
            <v>STACJA ROBOCZA</v>
          </cell>
          <cell r="B1024" t="str">
            <v>DELL Optiplex GX1L 266</v>
          </cell>
          <cell r="C1024" t="str">
            <v>491-3241</v>
          </cell>
          <cell r="D1024" t="str">
            <v>NM19P</v>
          </cell>
          <cell r="E1024" t="str">
            <v>RU1</v>
          </cell>
          <cell r="F1024" t="str">
            <v xml:space="preserve">WRÓBLEWSKI               PIOTR          </v>
          </cell>
          <cell r="G1024" t="str">
            <v>U-2</v>
          </cell>
          <cell r="H1024" t="str">
            <v>62</v>
          </cell>
          <cell r="I1024" t="str">
            <v>26-85</v>
          </cell>
          <cell r="J1024" t="str">
            <v>4996</v>
          </cell>
          <cell r="K1024" t="str">
            <v>491-03241</v>
          </cell>
          <cell r="L1024" t="str">
            <v>266</v>
          </cell>
          <cell r="M1024" t="str">
            <v/>
          </cell>
          <cell r="N1024" t="str">
            <v>128</v>
          </cell>
        </row>
        <row r="1025">
          <cell r="A1025" t="str">
            <v>STACJA ROBOCZA</v>
          </cell>
          <cell r="B1025" t="str">
            <v>NEC PowerMate VT Destop P III 450</v>
          </cell>
          <cell r="C1025" t="str">
            <v>491-4021</v>
          </cell>
          <cell r="D1025" t="str">
            <v>0193109</v>
          </cell>
          <cell r="E1025" t="str">
            <v>RU1</v>
          </cell>
          <cell r="F1025" t="str">
            <v xml:space="preserve">WDOWIAK                  MAŁGORZATA     </v>
          </cell>
          <cell r="G1025" t="str">
            <v>U-2</v>
          </cell>
          <cell r="H1025" t="str">
            <v>61</v>
          </cell>
          <cell r="I1025" t="str">
            <v>22-34</v>
          </cell>
          <cell r="J1025" t="str">
            <v>1099</v>
          </cell>
          <cell r="K1025" t="str">
            <v>491-04021</v>
          </cell>
          <cell r="L1025" t="str">
            <v>450</v>
          </cell>
          <cell r="M1025" t="str">
            <v/>
          </cell>
          <cell r="N1025" t="str">
            <v>64</v>
          </cell>
        </row>
        <row r="1026">
          <cell r="A1026" t="str">
            <v>STACJA ROBOCZA</v>
          </cell>
          <cell r="B1026" t="str">
            <v>NEC Direction Minitower P III 450</v>
          </cell>
          <cell r="C1026" t="str">
            <v>491-3752</v>
          </cell>
          <cell r="D1026" t="str">
            <v>0147109</v>
          </cell>
          <cell r="E1026" t="str">
            <v>RU1</v>
          </cell>
          <cell r="F1026" t="str">
            <v xml:space="preserve">BŁASZCZYK                GRAŻYNA        </v>
          </cell>
          <cell r="G1026" t="str">
            <v>U-2</v>
          </cell>
          <cell r="H1026" t="str">
            <v>61</v>
          </cell>
          <cell r="I1026" t="str">
            <v>26-97</v>
          </cell>
          <cell r="J1026" t="str">
            <v>36</v>
          </cell>
          <cell r="K1026" t="str">
            <v>491-03752</v>
          </cell>
          <cell r="L1026" t="str">
            <v>450</v>
          </cell>
          <cell r="M1026" t="str">
            <v/>
          </cell>
          <cell r="N1026" t="str">
            <v>64</v>
          </cell>
        </row>
        <row r="1027">
          <cell r="A1027" t="str">
            <v>STACJA ROBOCZA</v>
          </cell>
          <cell r="B1027" t="str">
            <v>NEC PowerMate VT Destop P III 450</v>
          </cell>
          <cell r="C1027" t="str">
            <v>491-4033</v>
          </cell>
          <cell r="D1027" t="str">
            <v>0710109</v>
          </cell>
          <cell r="E1027" t="str">
            <v>RU2</v>
          </cell>
          <cell r="F1027" t="str">
            <v xml:space="preserve">DĘBSKI                   MARIAN         </v>
          </cell>
          <cell r="G1027" t="str">
            <v>U-4</v>
          </cell>
          <cell r="H1027" t="str">
            <v>9</v>
          </cell>
          <cell r="I1027" t="str">
            <v>27-38</v>
          </cell>
          <cell r="J1027" t="str">
            <v>177</v>
          </cell>
          <cell r="K1027" t="str">
            <v>491-04033</v>
          </cell>
          <cell r="L1027" t="str">
            <v>450</v>
          </cell>
          <cell r="M1027" t="str">
            <v/>
          </cell>
          <cell r="N1027" t="str">
            <v>64</v>
          </cell>
        </row>
        <row r="1028">
          <cell r="A1028" t="str">
            <v>STACJA ROBOCZA</v>
          </cell>
          <cell r="B1028" t="str">
            <v>COMPAQ DESKPRO EXD PIII 733</v>
          </cell>
          <cell r="C1028" t="str">
            <v>491-4444</v>
          </cell>
          <cell r="D1028" t="str">
            <v>8036FR4Z6578</v>
          </cell>
          <cell r="E1028" t="str">
            <v>RU2</v>
          </cell>
          <cell r="F1028" t="str">
            <v xml:space="preserve">ANTCZAK                  ZDZISŁAW       </v>
          </cell>
          <cell r="G1028" t="str">
            <v>U-2</v>
          </cell>
          <cell r="H1028" t="str">
            <v>I NAWA</v>
          </cell>
          <cell r="I1028" t="str">
            <v>13-49</v>
          </cell>
          <cell r="J1028" t="str">
            <v>11</v>
          </cell>
          <cell r="K1028" t="str">
            <v>491-04444</v>
          </cell>
          <cell r="L1028" t="str">
            <v>733</v>
          </cell>
          <cell r="M1028" t="str">
            <v/>
          </cell>
          <cell r="N1028" t="str">
            <v>127</v>
          </cell>
        </row>
        <row r="1029">
          <cell r="A1029" t="str">
            <v>STACJA ROBOCZA</v>
          </cell>
          <cell r="B1029" t="str">
            <v>COMPAQ DESKPRO EXD PIII 733</v>
          </cell>
          <cell r="C1029" t="str">
            <v>491-4420</v>
          </cell>
          <cell r="D1029" t="str">
            <v>8036FR4ZE296</v>
          </cell>
          <cell r="E1029" t="str">
            <v>RU2</v>
          </cell>
          <cell r="F1029" t="str">
            <v xml:space="preserve">JARUGA                   MAREK          </v>
          </cell>
          <cell r="G1029" t="str">
            <v>U-2</v>
          </cell>
          <cell r="H1029" t="str">
            <v>I NAWA</v>
          </cell>
          <cell r="I1029" t="str">
            <v>27-25</v>
          </cell>
          <cell r="J1029" t="str">
            <v>1633</v>
          </cell>
          <cell r="K1029" t="str">
            <v>491-04420</v>
          </cell>
          <cell r="L1029" t="str">
            <v>733</v>
          </cell>
          <cell r="M1029" t="str">
            <v/>
          </cell>
          <cell r="N1029" t="str">
            <v>127</v>
          </cell>
        </row>
        <row r="1030">
          <cell r="A1030" t="str">
            <v>STACJA ROBOCZA</v>
          </cell>
          <cell r="B1030" t="str">
            <v>DELL Optiplex GX260 SD</v>
          </cell>
          <cell r="C1030" t="str">
            <v>491-5128</v>
          </cell>
          <cell r="D1030" t="str">
            <v>7JYGL0J</v>
          </cell>
          <cell r="E1030" t="str">
            <v>RU2</v>
          </cell>
          <cell r="F1030" t="str">
            <v xml:space="preserve">GÓRSKI                   ZBIGNIEW       </v>
          </cell>
          <cell r="G1030" t="str">
            <v>U-4</v>
          </cell>
          <cell r="H1030" t="str">
            <v>MISTRZÓWKA</v>
          </cell>
          <cell r="I1030" t="str">
            <v>17-26</v>
          </cell>
          <cell r="J1030" t="str">
            <v>263</v>
          </cell>
          <cell r="K1030" t="str">
            <v>491-05128</v>
          </cell>
          <cell r="L1030" t="str">
            <v>2400</v>
          </cell>
          <cell r="M1030" t="str">
            <v/>
          </cell>
          <cell r="N1030" t="str">
            <v>254</v>
          </cell>
        </row>
        <row r="1031">
          <cell r="A1031" t="str">
            <v>STACJA ROBOCZA</v>
          </cell>
          <cell r="B1031" t="str">
            <v>NEC PowerMate VT Destop P III 450</v>
          </cell>
          <cell r="C1031" t="str">
            <v>491-4018</v>
          </cell>
          <cell r="D1031" t="str">
            <v>0198109</v>
          </cell>
          <cell r="E1031" t="str">
            <v>RU2</v>
          </cell>
          <cell r="F1031" t="str">
            <v xml:space="preserve">GAJDA                    KATARZYNA      </v>
          </cell>
          <cell r="G1031" t="str">
            <v>U-2</v>
          </cell>
          <cell r="H1031" t="str">
            <v>MISTRZOWKA</v>
          </cell>
          <cell r="I1031" t="str">
            <v>13-49</v>
          </cell>
          <cell r="J1031" t="str">
            <v>4664</v>
          </cell>
          <cell r="K1031" t="str">
            <v>491-04018</v>
          </cell>
          <cell r="L1031" t="str">
            <v>450</v>
          </cell>
          <cell r="M1031" t="str">
            <v/>
          </cell>
          <cell r="N1031" t="str">
            <v>64</v>
          </cell>
        </row>
        <row r="1032">
          <cell r="A1032" t="str">
            <v>STACJA ROBOCZA</v>
          </cell>
          <cell r="B1032" t="str">
            <v>KOMPUTER 486DX</v>
          </cell>
          <cell r="C1032" t="str">
            <v>491-1620/11327</v>
          </cell>
          <cell r="D1032" t="str">
            <v>11327/075</v>
          </cell>
          <cell r="E1032" t="str">
            <v>RU2</v>
          </cell>
          <cell r="F1032" t="str">
            <v xml:space="preserve">BOŁAZ                    JERZY          </v>
          </cell>
          <cell r="G1032" t="str">
            <v>U-2</v>
          </cell>
          <cell r="H1032" t="str">
            <v>I NAWA</v>
          </cell>
          <cell r="I1032" t="str">
            <v>27-95</v>
          </cell>
          <cell r="J1032" t="str">
            <v>3977</v>
          </cell>
          <cell r="K1032" t="str">
            <v>RU2-MAREKF</v>
          </cell>
          <cell r="L1032" t="str">
            <v>300</v>
          </cell>
          <cell r="M1032" t="str">
            <v>OK55J</v>
          </cell>
          <cell r="N1032" t="str">
            <v/>
          </cell>
        </row>
        <row r="1033">
          <cell r="A1033" t="str">
            <v>STACJA ROBOCZA</v>
          </cell>
          <cell r="B1033" t="str">
            <v>COMPAQ DESKPRO EXD PIII 733</v>
          </cell>
          <cell r="C1033" t="str">
            <v>491-4505</v>
          </cell>
          <cell r="D1033" t="str">
            <v>8036FR4ZE232</v>
          </cell>
          <cell r="E1033" t="str">
            <v>RU2</v>
          </cell>
          <cell r="F1033" t="str">
            <v xml:space="preserve">PARAS                    JAN            </v>
          </cell>
          <cell r="G1033" t="str">
            <v>U-2</v>
          </cell>
          <cell r="H1033" t="str">
            <v>I NAWA</v>
          </cell>
          <cell r="I1033" t="str">
            <v>40-99</v>
          </cell>
          <cell r="J1033" t="str">
            <v>1259</v>
          </cell>
          <cell r="K1033" t="str">
            <v>491-04505</v>
          </cell>
          <cell r="L1033" t="str">
            <v>733</v>
          </cell>
          <cell r="M1033" t="str">
            <v>OK55J</v>
          </cell>
          <cell r="N1033" t="str">
            <v>127</v>
          </cell>
        </row>
        <row r="1034">
          <cell r="A1034" t="str">
            <v>STACJA ROBOCZA</v>
          </cell>
          <cell r="B1034" t="str">
            <v>DELL Optiplex GX1L 266</v>
          </cell>
          <cell r="C1034" t="str">
            <v>491-3382</v>
          </cell>
          <cell r="D1034" t="str">
            <v>NM1B8</v>
          </cell>
          <cell r="E1034" t="str">
            <v>RU2</v>
          </cell>
          <cell r="F1034" t="str">
            <v xml:space="preserve">GUDAJCZYK                DARIUSZ        </v>
          </cell>
          <cell r="G1034" t="str">
            <v>U-2</v>
          </cell>
          <cell r="H1034" t="str">
            <v>I NAWA</v>
          </cell>
          <cell r="I1034" t="str">
            <v>17-25</v>
          </cell>
          <cell r="J1034" t="str">
            <v>3733</v>
          </cell>
          <cell r="K1034" t="str">
            <v>491-03382</v>
          </cell>
          <cell r="L1034" t="str">
            <v>266</v>
          </cell>
          <cell r="M1034" t="str">
            <v/>
          </cell>
          <cell r="N1034" t="str">
            <v>96</v>
          </cell>
        </row>
        <row r="1035">
          <cell r="A1035" t="str">
            <v>STACJA ROBOCZA</v>
          </cell>
          <cell r="B1035" t="str">
            <v>DELL Optiplex GX150</v>
          </cell>
          <cell r="C1035" t="str">
            <v>491-4796</v>
          </cell>
          <cell r="D1035" t="str">
            <v>6NRX60J</v>
          </cell>
          <cell r="E1035" t="str">
            <v>RU2</v>
          </cell>
          <cell r="F1035" t="str">
            <v xml:space="preserve">KRÓL                     ZBIGNIEW       </v>
          </cell>
          <cell r="G1035" t="str">
            <v>U-2</v>
          </cell>
          <cell r="H1035" t="str">
            <v>I NAWA</v>
          </cell>
          <cell r="I1035" t="str">
            <v>17-25</v>
          </cell>
          <cell r="J1035" t="str">
            <v>405</v>
          </cell>
          <cell r="K1035" t="str">
            <v>491-04796</v>
          </cell>
          <cell r="L1035" t="str">
            <v>1000</v>
          </cell>
          <cell r="M1035" t="str">
            <v/>
          </cell>
          <cell r="N1035" t="str">
            <v>255</v>
          </cell>
        </row>
        <row r="1036">
          <cell r="A1036" t="str">
            <v>STACJA ROBOCZA</v>
          </cell>
          <cell r="B1036" t="str">
            <v>NEC PMVT Desktop P III 450</v>
          </cell>
          <cell r="C1036" t="str">
            <v>491-3795</v>
          </cell>
          <cell r="D1036" t="str">
            <v>0695109</v>
          </cell>
          <cell r="E1036" t="str">
            <v>RU2</v>
          </cell>
          <cell r="F1036" t="str">
            <v xml:space="preserve">FIT                      MAREK          </v>
          </cell>
          <cell r="G1036" t="str">
            <v>U-2</v>
          </cell>
          <cell r="H1036" t="str">
            <v>I NAWA</v>
          </cell>
          <cell r="I1036" t="str">
            <v>41-01</v>
          </cell>
          <cell r="J1036" t="str">
            <v>197</v>
          </cell>
          <cell r="K1036" t="str">
            <v>491-03795</v>
          </cell>
          <cell r="L1036" t="str">
            <v>450</v>
          </cell>
          <cell r="M1036" t="str">
            <v/>
          </cell>
          <cell r="N1036" t="str">
            <v>64</v>
          </cell>
        </row>
        <row r="1037">
          <cell r="A1037" t="str">
            <v>STACJA ROBOCZA</v>
          </cell>
          <cell r="B1037" t="str">
            <v>NEC PowerMate VT Destop P III 450</v>
          </cell>
          <cell r="C1037" t="str">
            <v>491-4047</v>
          </cell>
          <cell r="D1037" t="str">
            <v>0722109</v>
          </cell>
          <cell r="E1037" t="str">
            <v>RU2</v>
          </cell>
          <cell r="F1037" t="str">
            <v xml:space="preserve">SZEWC                    GRZEGORZ       </v>
          </cell>
          <cell r="G1037" t="str">
            <v>U-2</v>
          </cell>
          <cell r="H1037" t="str">
            <v>104</v>
          </cell>
          <cell r="I1037" t="str">
            <v>13-49</v>
          </cell>
          <cell r="J1037" t="str">
            <v>1002</v>
          </cell>
          <cell r="K1037" t="str">
            <v>RU2_GRZEGORZS</v>
          </cell>
          <cell r="L1037" t="str">
            <v>450</v>
          </cell>
          <cell r="M1037" t="str">
            <v/>
          </cell>
          <cell r="N1037" t="str">
            <v/>
          </cell>
        </row>
        <row r="1038">
          <cell r="A1038" t="str">
            <v>STACJA ROBOCZA</v>
          </cell>
          <cell r="B1038" t="str">
            <v>NEC POWER MATE PIII 450</v>
          </cell>
          <cell r="C1038" t="str">
            <v>491-3965</v>
          </cell>
          <cell r="D1038" t="str">
            <v>Z0015109</v>
          </cell>
          <cell r="E1038" t="str">
            <v>RU2</v>
          </cell>
          <cell r="F1038" t="str">
            <v xml:space="preserve">WIECZOREK                ZBIGNIEW       </v>
          </cell>
          <cell r="G1038" t="str">
            <v>U-2</v>
          </cell>
          <cell r="H1038" t="str">
            <v>I NAWA</v>
          </cell>
          <cell r="I1038" t="str">
            <v>41-01</v>
          </cell>
          <cell r="J1038" t="str">
            <v>1093</v>
          </cell>
          <cell r="K1038" t="str">
            <v>491-03965</v>
          </cell>
          <cell r="L1038" t="str">
            <v>450</v>
          </cell>
          <cell r="M1038" t="str">
            <v/>
          </cell>
          <cell r="N1038" t="str">
            <v>64</v>
          </cell>
        </row>
        <row r="1039">
          <cell r="A1039" t="str">
            <v>STACJA ROBOCZA</v>
          </cell>
          <cell r="B1039" t="str">
            <v>COMPAQ DESKPRO 2000 DT 5120 M1080</v>
          </cell>
          <cell r="C1039" t="str">
            <v>491-2740</v>
          </cell>
          <cell r="D1039" t="str">
            <v>8651HVS51685</v>
          </cell>
          <cell r="E1039" t="str">
            <v>RU3</v>
          </cell>
          <cell r="F1039" t="str">
            <v xml:space="preserve">KOWALCZYK                KAZIMIERZ      </v>
          </cell>
          <cell r="G1039" t="str">
            <v>U-2</v>
          </cell>
          <cell r="H1039" t="str">
            <v>III NAWA</v>
          </cell>
          <cell r="I1039" t="str">
            <v>27-56</v>
          </cell>
          <cell r="J1039" t="str">
            <v>447</v>
          </cell>
          <cell r="K1039" t="str">
            <v>491-02740</v>
          </cell>
          <cell r="L1039" t="str">
            <v>120</v>
          </cell>
          <cell r="M1039" t="str">
            <v/>
          </cell>
          <cell r="N1039" t="str">
            <v>64</v>
          </cell>
        </row>
        <row r="1040">
          <cell r="A1040" t="str">
            <v>STACJA ROBOCZA</v>
          </cell>
          <cell r="B1040" t="str">
            <v>ZENITH Z STATION P200</v>
          </cell>
          <cell r="C1040" t="str">
            <v>491-3044</v>
          </cell>
          <cell r="D1040" t="str">
            <v>GVDD72905430</v>
          </cell>
          <cell r="E1040" t="str">
            <v>RU3</v>
          </cell>
          <cell r="F1040" t="str">
            <v xml:space="preserve">DYRKS                    ZBIGNIEW       </v>
          </cell>
          <cell r="G1040" t="str">
            <v>U-2</v>
          </cell>
          <cell r="H1040" t="str">
            <v>III NAWA</v>
          </cell>
          <cell r="I1040" t="str">
            <v>27-56</v>
          </cell>
          <cell r="J1040" t="str">
            <v>176</v>
          </cell>
          <cell r="K1040" t="str">
            <v>491-03044</v>
          </cell>
          <cell r="L1040" t="str">
            <v>200</v>
          </cell>
          <cell r="M1040" t="str">
            <v>OK55J</v>
          </cell>
          <cell r="N1040" t="str">
            <v>64</v>
          </cell>
        </row>
        <row r="1041">
          <cell r="A1041" t="str">
            <v>STACJA ROBOCZA</v>
          </cell>
          <cell r="B1041" t="str">
            <v>COMPAQ DESKPRO EXD PIII 733</v>
          </cell>
          <cell r="C1041" t="str">
            <v>491-4426</v>
          </cell>
          <cell r="D1041" t="str">
            <v>8037FR4Z2729</v>
          </cell>
          <cell r="E1041" t="str">
            <v>RU3</v>
          </cell>
          <cell r="F1041" t="str">
            <v xml:space="preserve">SAKTURA-MAJZNER          LUCYNA         </v>
          </cell>
          <cell r="G1041" t="str">
            <v>U-2</v>
          </cell>
          <cell r="H1041" t="str">
            <v>CENTR-NARZ</v>
          </cell>
          <cell r="I1041" t="str">
            <v>27-54</v>
          </cell>
          <cell r="J1041" t="str">
            <v>3684</v>
          </cell>
          <cell r="K1041" t="str">
            <v>491-04426</v>
          </cell>
          <cell r="L1041" t="str">
            <v>733</v>
          </cell>
          <cell r="M1041" t="str">
            <v/>
          </cell>
          <cell r="N1041" t="str">
            <v>127</v>
          </cell>
        </row>
        <row r="1042">
          <cell r="A1042" t="str">
            <v>STACJA ROBOCZA</v>
          </cell>
          <cell r="B1042" t="str">
            <v>COMPAQ DESKPRO EXD PIII 733</v>
          </cell>
          <cell r="C1042" t="str">
            <v>491-4496</v>
          </cell>
          <cell r="D1042" t="str">
            <v>8036FR4ZE237</v>
          </cell>
          <cell r="E1042" t="str">
            <v>RU3</v>
          </cell>
          <cell r="F1042" t="str">
            <v xml:space="preserve">KLIMCZYK                 PAWEŁ          </v>
          </cell>
          <cell r="G1042" t="str">
            <v>U-2</v>
          </cell>
          <cell r="H1042" t="str">
            <v>105</v>
          </cell>
          <cell r="I1042" t="str">
            <v>17-22</v>
          </cell>
          <cell r="J1042" t="str">
            <v>1455</v>
          </cell>
          <cell r="K1042" t="str">
            <v>491-04496</v>
          </cell>
          <cell r="L1042" t="str">
            <v>733</v>
          </cell>
          <cell r="M1042" t="str">
            <v>OK55J</v>
          </cell>
          <cell r="N1042" t="str">
            <v>127</v>
          </cell>
        </row>
        <row r="1043">
          <cell r="A1043" t="str">
            <v>STACJA ROBOCZA</v>
          </cell>
          <cell r="B1043" t="str">
            <v>DELL Optiplex GX150</v>
          </cell>
          <cell r="C1043" t="str">
            <v>491-4795</v>
          </cell>
          <cell r="D1043" t="str">
            <v>7SRX60J</v>
          </cell>
          <cell r="E1043" t="str">
            <v>RU3</v>
          </cell>
          <cell r="F1043" t="str">
            <v xml:space="preserve">KACZMAREK                WALDEMAR       </v>
          </cell>
          <cell r="G1043" t="str">
            <v>U-2</v>
          </cell>
          <cell r="H1043" t="str">
            <v>102 A</v>
          </cell>
          <cell r="I1043" t="str">
            <v>15-17</v>
          </cell>
          <cell r="J1043" t="str">
            <v>1513</v>
          </cell>
          <cell r="K1043" t="str">
            <v>491-04795</v>
          </cell>
          <cell r="L1043" t="str">
            <v>1000</v>
          </cell>
          <cell r="M1043" t="str">
            <v/>
          </cell>
          <cell r="N1043" t="str">
            <v>255</v>
          </cell>
        </row>
        <row r="1044">
          <cell r="A1044" t="str">
            <v>STACJA ROBOCZA</v>
          </cell>
          <cell r="B1044" t="str">
            <v>KOMPUTER PC/AT</v>
          </cell>
          <cell r="C1044" t="str">
            <v>491-1620/1631</v>
          </cell>
          <cell r="D1044" t="str">
            <v>563/07/91</v>
          </cell>
          <cell r="E1044" t="str">
            <v>RU3</v>
          </cell>
          <cell r="F1044" t="str">
            <v xml:space="preserve">ŚLUSARCZYK               DANUTA         </v>
          </cell>
          <cell r="G1044" t="str">
            <v>U-2</v>
          </cell>
          <cell r="H1044" t="str">
            <v>CENTR-NARZ</v>
          </cell>
          <cell r="I1044" t="str">
            <v>27-54</v>
          </cell>
          <cell r="J1044" t="str">
            <v>1297</v>
          </cell>
          <cell r="K1044" t="str">
            <v>491-01620-1631</v>
          </cell>
          <cell r="L1044" t="str">
            <v>333</v>
          </cell>
          <cell r="M1044" t="str">
            <v/>
          </cell>
          <cell r="N1044" t="str">
            <v>64</v>
          </cell>
        </row>
        <row r="1045">
          <cell r="A1045" t="str">
            <v>STACJA ROBOCZA</v>
          </cell>
          <cell r="B1045" t="str">
            <v>ZENITH Z STATION P166</v>
          </cell>
          <cell r="C1045" t="str">
            <v>491-3112</v>
          </cell>
          <cell r="D1045" t="str">
            <v>1520087</v>
          </cell>
          <cell r="E1045" t="str">
            <v>RU3</v>
          </cell>
          <cell r="F1045" t="str">
            <v xml:space="preserve">DĘBOWSKA                 BOŻENA         </v>
          </cell>
          <cell r="G1045" t="str">
            <v>U-2</v>
          </cell>
          <cell r="H1045" t="str">
            <v>CENTR-NARZ</v>
          </cell>
          <cell r="I1045" t="str">
            <v>27-54</v>
          </cell>
          <cell r="J1045" t="str">
            <v>2577</v>
          </cell>
          <cell r="K1045" t="str">
            <v>491-03112</v>
          </cell>
          <cell r="L1045" t="str">
            <v>166</v>
          </cell>
          <cell r="M1045" t="str">
            <v/>
          </cell>
          <cell r="N1045" t="str">
            <v>64</v>
          </cell>
        </row>
        <row r="1046">
          <cell r="A1046" t="str">
            <v>STACJA ROBOCZA</v>
          </cell>
          <cell r="B1046" t="str">
            <v>DELL Optiplex GX1L 266</v>
          </cell>
          <cell r="C1046" t="str">
            <v>491-3326</v>
          </cell>
          <cell r="D1046" t="str">
            <v>NM1HN</v>
          </cell>
          <cell r="E1046" t="str">
            <v>RU3</v>
          </cell>
          <cell r="F1046" t="str">
            <v xml:space="preserve">PYTLIŃSKI                DARIUSZ        </v>
          </cell>
          <cell r="G1046" t="str">
            <v>U-2</v>
          </cell>
          <cell r="H1046" t="str">
            <v>I NAWA</v>
          </cell>
          <cell r="I1046" t="str">
            <v>17-22</v>
          </cell>
          <cell r="J1046" t="str">
            <v>792</v>
          </cell>
          <cell r="K1046" t="str">
            <v>491-03326</v>
          </cell>
          <cell r="L1046" t="str">
            <v>266</v>
          </cell>
          <cell r="M1046" t="str">
            <v/>
          </cell>
          <cell r="N1046" t="str">
            <v>64</v>
          </cell>
        </row>
        <row r="1047">
          <cell r="A1047" t="str">
            <v>STACJA ROBOCZA</v>
          </cell>
          <cell r="B1047" t="str">
            <v>OPTIMUS 386DX</v>
          </cell>
          <cell r="C1047" t="str">
            <v>491-2039</v>
          </cell>
          <cell r="D1047" t="str">
            <v>AMI457902</v>
          </cell>
          <cell r="E1047" t="str">
            <v>RU3</v>
          </cell>
          <cell r="F1047" t="str">
            <v xml:space="preserve">KAMIŃSKI                 KAZIMIERZ      </v>
          </cell>
          <cell r="G1047" t="str">
            <v>U-2</v>
          </cell>
          <cell r="H1047" t="str">
            <v>I NAWA</v>
          </cell>
          <cell r="I1047" t="str">
            <v>17-24</v>
          </cell>
          <cell r="J1047" t="str">
            <v>456</v>
          </cell>
          <cell r="K1047" t="str">
            <v>491-02039</v>
          </cell>
          <cell r="L1047" t="str">
            <v>366</v>
          </cell>
          <cell r="M1047" t="str">
            <v/>
          </cell>
          <cell r="N1047" t="str">
            <v>64</v>
          </cell>
        </row>
        <row r="1048">
          <cell r="A1048" t="str">
            <v>STACJA ROBOCZA</v>
          </cell>
          <cell r="B1048" t="str">
            <v>ZENITH Z STATION P166</v>
          </cell>
          <cell r="C1048" t="str">
            <v>491-2994</v>
          </cell>
          <cell r="D1048" t="str">
            <v>GVDD72904635</v>
          </cell>
          <cell r="E1048" t="str">
            <v>RU3</v>
          </cell>
          <cell r="F1048" t="str">
            <v xml:space="preserve">SIDEK                    JAN            </v>
          </cell>
          <cell r="G1048" t="str">
            <v>U-2</v>
          </cell>
          <cell r="H1048" t="str">
            <v>CENTR-NARZ</v>
          </cell>
          <cell r="I1048" t="str">
            <v>27-52</v>
          </cell>
          <cell r="J1048" t="str">
            <v>1771</v>
          </cell>
          <cell r="K1048" t="str">
            <v>491-02994</v>
          </cell>
          <cell r="L1048" t="str">
            <v>166</v>
          </cell>
          <cell r="M1048" t="str">
            <v/>
          </cell>
          <cell r="N1048" t="str">
            <v>64</v>
          </cell>
        </row>
        <row r="1049">
          <cell r="A1049" t="str">
            <v>STACJA ROBOCZA</v>
          </cell>
          <cell r="B1049" t="str">
            <v>NEC PowerMate VT Destop P III 450</v>
          </cell>
          <cell r="C1049" t="str">
            <v>491-3858</v>
          </cell>
          <cell r="D1049" t="str">
            <v>0674109</v>
          </cell>
          <cell r="E1049" t="str">
            <v>RU3</v>
          </cell>
          <cell r="F1049" t="str">
            <v xml:space="preserve">MOTYL                    BOGDAN         </v>
          </cell>
          <cell r="G1049" t="str">
            <v>U-2</v>
          </cell>
          <cell r="H1049" t="str">
            <v>63</v>
          </cell>
          <cell r="I1049" t="str">
            <v>21-68</v>
          </cell>
          <cell r="J1049" t="str">
            <v>4339</v>
          </cell>
          <cell r="K1049" t="str">
            <v>491-03858</v>
          </cell>
          <cell r="L1049" t="str">
            <v>450</v>
          </cell>
          <cell r="M1049" t="str">
            <v/>
          </cell>
          <cell r="N1049" t="str">
            <v>64</v>
          </cell>
        </row>
        <row r="1050">
          <cell r="A1050" t="str">
            <v>STACJA ROBOCZA</v>
          </cell>
          <cell r="B1050" t="str">
            <v>COMPAQ DESKPRO EXD PIII 733</v>
          </cell>
          <cell r="C1050" t="str">
            <v>491-4242</v>
          </cell>
          <cell r="D1050" t="str">
            <v>8036FR4ZE287</v>
          </cell>
          <cell r="E1050" t="str">
            <v>RU3</v>
          </cell>
          <cell r="F1050" t="str">
            <v xml:space="preserve">ADAMUS                   MAREK          </v>
          </cell>
          <cell r="G1050" t="str">
            <v>U-2</v>
          </cell>
          <cell r="H1050" t="str">
            <v>III NAWA</v>
          </cell>
          <cell r="I1050" t="str">
            <v>22-95</v>
          </cell>
          <cell r="J1050" t="str">
            <v>9147</v>
          </cell>
          <cell r="K1050" t="str">
            <v>491-04242</v>
          </cell>
          <cell r="L1050" t="str">
            <v>733</v>
          </cell>
          <cell r="M1050" t="str">
            <v/>
          </cell>
          <cell r="N1050" t="str">
            <v>127</v>
          </cell>
        </row>
        <row r="1051">
          <cell r="A1051" t="str">
            <v>STACJA ROBOCZA</v>
          </cell>
          <cell r="B1051" t="str">
            <v>DELL Optiplex GX150</v>
          </cell>
          <cell r="C1051" t="str">
            <v>491-4856</v>
          </cell>
          <cell r="D1051" t="str">
            <v>H0RX60J</v>
          </cell>
          <cell r="E1051" t="str">
            <v>RU3</v>
          </cell>
          <cell r="F1051" t="str">
            <v xml:space="preserve">RĄCZKIEWICZ              DANUTA         </v>
          </cell>
          <cell r="G1051" t="str">
            <v>U-2</v>
          </cell>
          <cell r="H1051" t="str">
            <v>III NAWA</v>
          </cell>
          <cell r="I1051" t="str">
            <v>17-23</v>
          </cell>
          <cell r="J1051" t="str">
            <v>9666</v>
          </cell>
          <cell r="K1051" t="str">
            <v>491-04856</v>
          </cell>
          <cell r="L1051" t="str">
            <v>1000</v>
          </cell>
          <cell r="M1051" t="str">
            <v/>
          </cell>
          <cell r="N1051" t="str">
            <v>255</v>
          </cell>
        </row>
        <row r="1052">
          <cell r="A1052" t="str">
            <v>STACJA ROBOCZA</v>
          </cell>
          <cell r="B1052" t="str">
            <v>DELL Optiplex GX150</v>
          </cell>
          <cell r="C1052" t="str">
            <v>491-4794</v>
          </cell>
          <cell r="D1052" t="str">
            <v>JQRX60J</v>
          </cell>
          <cell r="E1052" t="str">
            <v>RU3</v>
          </cell>
          <cell r="F1052" t="str">
            <v xml:space="preserve">KABZIŃSKI                MARIUSZ        </v>
          </cell>
          <cell r="G1052" t="str">
            <v>U-2</v>
          </cell>
          <cell r="H1052" t="str">
            <v>101B</v>
          </cell>
          <cell r="I1052" t="str">
            <v>10-50</v>
          </cell>
          <cell r="J1052" t="str">
            <v>8988</v>
          </cell>
          <cell r="K1052" t="str">
            <v>491-04794</v>
          </cell>
          <cell r="L1052" t="str">
            <v>1000</v>
          </cell>
          <cell r="M1052" t="str">
            <v/>
          </cell>
          <cell r="N1052" t="str">
            <v>255</v>
          </cell>
        </row>
        <row r="1053">
          <cell r="A1053" t="str">
            <v>STACJA ROBOCZA</v>
          </cell>
          <cell r="B1053" t="str">
            <v>DELL Optiplex GX260 SD</v>
          </cell>
          <cell r="C1053" t="str">
            <v>491-5129</v>
          </cell>
          <cell r="D1053" t="str">
            <v>6JYGL0J</v>
          </cell>
          <cell r="E1053" t="str">
            <v>RU3</v>
          </cell>
          <cell r="F1053" t="str">
            <v xml:space="preserve">DĘBOWSKA                 BOŻENA         </v>
          </cell>
          <cell r="G1053" t="str">
            <v>U-2</v>
          </cell>
          <cell r="H1053" t="str">
            <v>CENTR-NARZ</v>
          </cell>
          <cell r="I1053" t="str">
            <v>27-54</v>
          </cell>
          <cell r="J1053" t="str">
            <v>2577</v>
          </cell>
          <cell r="K1053" t="str">
            <v>491-05129</v>
          </cell>
          <cell r="L1053" t="str">
            <v>2400</v>
          </cell>
          <cell r="M1053" t="str">
            <v/>
          </cell>
          <cell r="N1053" t="str">
            <v>254</v>
          </cell>
        </row>
        <row r="1054">
          <cell r="A1054" t="str">
            <v>STACJA ROBOCZA</v>
          </cell>
          <cell r="B1054" t="str">
            <v>NEC PowerMate VT Destop P III 450</v>
          </cell>
          <cell r="C1054" t="str">
            <v>491-4037</v>
          </cell>
          <cell r="D1054" t="str">
            <v>0741109</v>
          </cell>
          <cell r="E1054" t="str">
            <v>RU4</v>
          </cell>
          <cell r="F1054" t="str">
            <v xml:space="preserve">PARUZEL                  JAN            </v>
          </cell>
          <cell r="G1054" t="str">
            <v>U-2</v>
          </cell>
          <cell r="H1054" t="str">
            <v>PRZYBUDÓWK</v>
          </cell>
          <cell r="I1054" t="str">
            <v>17-20</v>
          </cell>
          <cell r="J1054" t="str">
            <v>786</v>
          </cell>
          <cell r="K1054" t="str">
            <v>491-04037</v>
          </cell>
          <cell r="L1054" t="str">
            <v>450</v>
          </cell>
          <cell r="M1054" t="str">
            <v/>
          </cell>
          <cell r="N1054" t="str">
            <v>64</v>
          </cell>
        </row>
        <row r="1055">
          <cell r="A1055" t="str">
            <v>STACJA ROBOCZA</v>
          </cell>
          <cell r="B1055" t="str">
            <v>COMPAQ DESKPRO 2000 DT 5120 M1080</v>
          </cell>
          <cell r="C1055" t="str">
            <v>491-2749</v>
          </cell>
          <cell r="D1055" t="str">
            <v>8651HVS51696</v>
          </cell>
          <cell r="E1055" t="str">
            <v>RU4</v>
          </cell>
          <cell r="F1055" t="str">
            <v xml:space="preserve">MYSŁOWSKI                DARIUSZ        </v>
          </cell>
          <cell r="G1055" t="str">
            <v>U-2</v>
          </cell>
          <cell r="H1055" t="str">
            <v>III NAWA</v>
          </cell>
          <cell r="I1055" t="str">
            <v>34-56</v>
          </cell>
          <cell r="J1055" t="str">
            <v>4720</v>
          </cell>
          <cell r="K1055" t="str">
            <v>491-02749</v>
          </cell>
          <cell r="L1055" t="str">
            <v>120</v>
          </cell>
          <cell r="M1055" t="str">
            <v/>
          </cell>
          <cell r="N1055" t="str">
            <v>64</v>
          </cell>
        </row>
        <row r="1056">
          <cell r="A1056" t="str">
            <v>STACJA ROBOCZA</v>
          </cell>
          <cell r="B1056" t="str">
            <v>KOMPUTER 386DX</v>
          </cell>
          <cell r="C1056" t="str">
            <v>491-2075</v>
          </cell>
          <cell r="D1056" t="str">
            <v>3578/043</v>
          </cell>
          <cell r="E1056" t="str">
            <v>RU4</v>
          </cell>
          <cell r="F1056" t="str">
            <v xml:space="preserve">JUSZCZYK                 STEFAN         </v>
          </cell>
          <cell r="G1056" t="str">
            <v>U-2</v>
          </cell>
          <cell r="H1056" t="str">
            <v>PRZYBUDÓWK</v>
          </cell>
          <cell r="I1056" t="str">
            <v>34-56</v>
          </cell>
          <cell r="J1056" t="str">
            <v>316</v>
          </cell>
          <cell r="K1056" t="str">
            <v>491-02075</v>
          </cell>
          <cell r="L1056" t="str">
            <v>550</v>
          </cell>
          <cell r="M1056" t="str">
            <v/>
          </cell>
          <cell r="N1056" t="str">
            <v>128</v>
          </cell>
        </row>
        <row r="1057">
          <cell r="A1057" t="str">
            <v>STACJA ROBOCZA</v>
          </cell>
          <cell r="B1057" t="str">
            <v>COMPAQ DESKPRO EXD PIII 733</v>
          </cell>
          <cell r="C1057" t="str">
            <v>491-4249</v>
          </cell>
          <cell r="D1057" t="str">
            <v>8036FR4ZE550</v>
          </cell>
          <cell r="E1057" t="str">
            <v>RU4</v>
          </cell>
          <cell r="F1057" t="str">
            <v xml:space="preserve">TKACZYŃSKI               ZENON          </v>
          </cell>
          <cell r="G1057" t="str">
            <v>U-48</v>
          </cell>
          <cell r="H1057" t="str">
            <v>18</v>
          </cell>
          <cell r="I1057" t="str">
            <v>11-76</v>
          </cell>
          <cell r="J1057" t="str">
            <v>1026</v>
          </cell>
          <cell r="K1057" t="str">
            <v>491-04249</v>
          </cell>
          <cell r="L1057" t="str">
            <v>733</v>
          </cell>
          <cell r="M1057" t="str">
            <v/>
          </cell>
          <cell r="N1057" t="str">
            <v>255</v>
          </cell>
        </row>
        <row r="1058">
          <cell r="A1058" t="str">
            <v>STACJA ROBOCZA</v>
          </cell>
          <cell r="B1058" t="str">
            <v>KOMPUTER 486DX</v>
          </cell>
          <cell r="C1058" t="str">
            <v>491-1620/8819</v>
          </cell>
          <cell r="D1058" t="str">
            <v>8819/114</v>
          </cell>
          <cell r="E1058" t="str">
            <v>RU4</v>
          </cell>
          <cell r="F1058" t="str">
            <v xml:space="preserve">MASAPUST                 MAREK          </v>
          </cell>
          <cell r="G1058" t="str">
            <v>U-48</v>
          </cell>
          <cell r="H1058" t="str">
            <v>18</v>
          </cell>
          <cell r="I1058" t="str">
            <v>11-76</v>
          </cell>
          <cell r="J1058" t="str">
            <v>3383</v>
          </cell>
          <cell r="K1058" t="str">
            <v>491-01620-8819</v>
          </cell>
          <cell r="L1058" t="str">
            <v>800</v>
          </cell>
          <cell r="M1058" t="str">
            <v/>
          </cell>
          <cell r="N1058" t="str">
            <v>256</v>
          </cell>
        </row>
        <row r="1059">
          <cell r="A1059" t="str">
            <v>STACJA ROBOCZA</v>
          </cell>
          <cell r="B1059" t="str">
            <v>COMPAQ DESKPRO EXD PIII 733</v>
          </cell>
          <cell r="C1059" t="str">
            <v>491-4431</v>
          </cell>
          <cell r="D1059" t="str">
            <v>8036FR4ZE240</v>
          </cell>
          <cell r="E1059" t="str">
            <v>RU4</v>
          </cell>
          <cell r="F1059" t="str">
            <v xml:space="preserve">MASTERNAK                HENRYK         </v>
          </cell>
          <cell r="G1059" t="str">
            <v>U-2</v>
          </cell>
          <cell r="H1059" t="str">
            <v>PRZYBUDÓWK</v>
          </cell>
          <cell r="I1059" t="str">
            <v>23-78</v>
          </cell>
          <cell r="J1059" t="str">
            <v>625</v>
          </cell>
          <cell r="K1059" t="str">
            <v>491-04431</v>
          </cell>
          <cell r="L1059" t="str">
            <v>733</v>
          </cell>
          <cell r="M1059" t="str">
            <v/>
          </cell>
          <cell r="N1059" t="str">
            <v>127</v>
          </cell>
        </row>
        <row r="1060">
          <cell r="A1060" t="str">
            <v>STACJA ROBOCZA</v>
          </cell>
          <cell r="B1060" t="str">
            <v>KOMPUTER PC/AT</v>
          </cell>
          <cell r="C1060" t="str">
            <v>491-1620/K031</v>
          </cell>
          <cell r="D1060" t="str">
            <v>0B23A</v>
          </cell>
          <cell r="E1060" t="str">
            <v>RU4</v>
          </cell>
          <cell r="F1060" t="str">
            <v xml:space="preserve">MADZIARSKI               TADEUSZ        </v>
          </cell>
          <cell r="G1060" t="str">
            <v>U-2</v>
          </cell>
          <cell r="H1060" t="str">
            <v>PRZYBUDÓWK</v>
          </cell>
          <cell r="I1060" t="str">
            <v>23-45</v>
          </cell>
          <cell r="J1060" t="str">
            <v>636</v>
          </cell>
          <cell r="K1060" t="str">
            <v>491-01620-K031</v>
          </cell>
          <cell r="L1060" t="str">
            <v>366</v>
          </cell>
          <cell r="M1060" t="str">
            <v/>
          </cell>
          <cell r="N1060" t="str">
            <v>192</v>
          </cell>
        </row>
        <row r="1061">
          <cell r="A1061" t="str">
            <v>STACJA ROBOCZA</v>
          </cell>
          <cell r="B1061" t="str">
            <v>KOMPUTER 386DX</v>
          </cell>
          <cell r="C1061" t="str">
            <v>491-2022</v>
          </cell>
          <cell r="D1061" t="str">
            <v>3645</v>
          </cell>
          <cell r="E1061" t="str">
            <v xml:space="preserve">RW </v>
          </cell>
          <cell r="F1061" t="str">
            <v xml:space="preserve">RYBAK                    KRZYSZTOF      </v>
          </cell>
          <cell r="G1061" t="str">
            <v>U-50</v>
          </cell>
          <cell r="H1061" t="str">
            <v>102</v>
          </cell>
          <cell r="I1061" t="str">
            <v>23-62</v>
          </cell>
          <cell r="J1061" t="str">
            <v>847</v>
          </cell>
          <cell r="K1061" t="str">
            <v>491-02022</v>
          </cell>
          <cell r="L1061" t="str">
            <v>366</v>
          </cell>
          <cell r="M1061" t="str">
            <v/>
          </cell>
          <cell r="N1061" t="str">
            <v>64</v>
          </cell>
        </row>
        <row r="1062">
          <cell r="A1062" t="str">
            <v>STACJA ROBOCZA</v>
          </cell>
          <cell r="B1062" t="str">
            <v>COMPAQ DESKPRO EXD PIII 733</v>
          </cell>
          <cell r="C1062" t="str">
            <v>491-4405</v>
          </cell>
          <cell r="D1062" t="str">
            <v>8036FR4ZE572</v>
          </cell>
          <cell r="E1062" t="str">
            <v xml:space="preserve">RW </v>
          </cell>
          <cell r="F1062" t="str">
            <v xml:space="preserve">KOŁODZIEJSKA             ALINA          </v>
          </cell>
          <cell r="G1062" t="str">
            <v>U-50</v>
          </cell>
          <cell r="H1062" t="str">
            <v>105A</v>
          </cell>
          <cell r="I1062" t="str">
            <v>12-30</v>
          </cell>
          <cell r="J1062" t="str">
            <v>125</v>
          </cell>
          <cell r="K1062" t="str">
            <v>491-04405</v>
          </cell>
          <cell r="L1062" t="str">
            <v>733</v>
          </cell>
          <cell r="M1062" t="str">
            <v/>
          </cell>
          <cell r="N1062" t="str">
            <v>127</v>
          </cell>
        </row>
        <row r="1063">
          <cell r="A1063" t="str">
            <v>STACJA ROBOCZA</v>
          </cell>
          <cell r="B1063" t="str">
            <v>DELL Optiplex GX1L 266</v>
          </cell>
          <cell r="C1063" t="str">
            <v>491-3421</v>
          </cell>
          <cell r="D1063" t="str">
            <v>NM1FR</v>
          </cell>
          <cell r="E1063" t="str">
            <v xml:space="preserve">RW </v>
          </cell>
          <cell r="F1063" t="str">
            <v xml:space="preserve">WARACH                   SŁAWOMIR       </v>
          </cell>
          <cell r="G1063" t="str">
            <v>U-50</v>
          </cell>
          <cell r="H1063" t="str">
            <v>101</v>
          </cell>
          <cell r="I1063" t="str">
            <v>14-67</v>
          </cell>
          <cell r="J1063" t="str">
            <v>1094</v>
          </cell>
          <cell r="K1063" t="str">
            <v>491-03421</v>
          </cell>
          <cell r="L1063" t="str">
            <v>266</v>
          </cell>
          <cell r="M1063" t="str">
            <v/>
          </cell>
          <cell r="N1063" t="str">
            <v>96</v>
          </cell>
        </row>
        <row r="1064">
          <cell r="A1064" t="str">
            <v>STACJA ROBOCZA</v>
          </cell>
          <cell r="B1064" t="str">
            <v>DELL Optiplex GX1L 266</v>
          </cell>
          <cell r="C1064" t="str">
            <v>491-3310</v>
          </cell>
          <cell r="D1064" t="str">
            <v>NM14K</v>
          </cell>
          <cell r="E1064" t="str">
            <v xml:space="preserve">RW </v>
          </cell>
          <cell r="F1064" t="str">
            <v xml:space="preserve">WARACH                   SŁAWOMIR       </v>
          </cell>
          <cell r="G1064" t="str">
            <v>U-50</v>
          </cell>
          <cell r="H1064" t="str">
            <v>101</v>
          </cell>
          <cell r="I1064" t="str">
            <v>14-67</v>
          </cell>
          <cell r="J1064" t="str">
            <v>1094</v>
          </cell>
          <cell r="K1064" t="str">
            <v>491-03310</v>
          </cell>
          <cell r="L1064" t="str">
            <v>266</v>
          </cell>
          <cell r="M1064" t="str">
            <v/>
          </cell>
          <cell r="N1064" t="str">
            <v>160</v>
          </cell>
        </row>
        <row r="1065">
          <cell r="A1065" t="str">
            <v>STACJA ROBOCZA</v>
          </cell>
          <cell r="B1065" t="str">
            <v>COMPAQ DESKPRO EXD PIII 733</v>
          </cell>
          <cell r="C1065" t="str">
            <v>491-4424</v>
          </cell>
          <cell r="D1065" t="str">
            <v>8036FR4ZE283</v>
          </cell>
          <cell r="E1065" t="str">
            <v xml:space="preserve">RW </v>
          </cell>
          <cell r="F1065" t="str">
            <v xml:space="preserve">KEMNITZ                  WITOLD         </v>
          </cell>
          <cell r="G1065" t="str">
            <v>U-50</v>
          </cell>
          <cell r="H1065" t="str">
            <v>101</v>
          </cell>
          <cell r="I1065" t="str">
            <v>14-67</v>
          </cell>
          <cell r="J1065" t="str">
            <v>398</v>
          </cell>
          <cell r="K1065" t="str">
            <v>491-04424</v>
          </cell>
          <cell r="L1065" t="str">
            <v>733</v>
          </cell>
          <cell r="M1065" t="str">
            <v/>
          </cell>
          <cell r="N1065" t="str">
            <v>127</v>
          </cell>
        </row>
        <row r="1066">
          <cell r="A1066" t="str">
            <v>STACJA ROBOCZA</v>
          </cell>
          <cell r="B1066" t="str">
            <v>NEC PMVT Desktop P III 450</v>
          </cell>
          <cell r="C1066" t="str">
            <v>491-3825</v>
          </cell>
          <cell r="D1066" t="str">
            <v>0694109</v>
          </cell>
          <cell r="E1066" t="str">
            <v xml:space="preserve">RW </v>
          </cell>
          <cell r="F1066" t="str">
            <v xml:space="preserve">WACH                     MARIAN         </v>
          </cell>
          <cell r="G1066" t="str">
            <v>U20/2</v>
          </cell>
          <cell r="H1066" t="str">
            <v>7</v>
          </cell>
          <cell r="I1066" t="str">
            <v>23-46</v>
          </cell>
          <cell r="J1066" t="str">
            <v>1087</v>
          </cell>
          <cell r="K1066" t="str">
            <v/>
          </cell>
          <cell r="L1066" t="str">
            <v>450</v>
          </cell>
          <cell r="M1066" t="str">
            <v/>
          </cell>
          <cell r="N1066" t="str">
            <v/>
          </cell>
        </row>
        <row r="1067">
          <cell r="A1067" t="str">
            <v>STACJA ROBOCZA</v>
          </cell>
          <cell r="B1067" t="str">
            <v>NEC PMVT Desktop P III 450</v>
          </cell>
          <cell r="C1067" t="str">
            <v>491-3783</v>
          </cell>
          <cell r="D1067" t="str">
            <v>0689109</v>
          </cell>
          <cell r="E1067" t="str">
            <v xml:space="preserve">RW </v>
          </cell>
          <cell r="F1067" t="str">
            <v xml:space="preserve">REJNIAK                  KRZYSZTOF      </v>
          </cell>
          <cell r="G1067" t="str">
            <v>U-50</v>
          </cell>
          <cell r="H1067" t="str">
            <v>19</v>
          </cell>
          <cell r="I1067" t="str">
            <v>23-74</v>
          </cell>
          <cell r="J1067" t="str">
            <v>830</v>
          </cell>
          <cell r="K1067" t="str">
            <v>491-03783</v>
          </cell>
          <cell r="L1067" t="str">
            <v>450</v>
          </cell>
          <cell r="M1067" t="str">
            <v/>
          </cell>
          <cell r="N1067" t="str">
            <v>128</v>
          </cell>
        </row>
        <row r="1068">
          <cell r="A1068" t="str">
            <v>STACJA ROBOCZA</v>
          </cell>
          <cell r="B1068" t="str">
            <v>KOMPUTER 386DX</v>
          </cell>
          <cell r="C1068" t="str">
            <v>491-2023</v>
          </cell>
          <cell r="D1068" t="str">
            <v>3649/043</v>
          </cell>
          <cell r="E1068" t="str">
            <v xml:space="preserve">RW </v>
          </cell>
          <cell r="F1068" t="str">
            <v xml:space="preserve">ŻUREK                    JAN            </v>
          </cell>
          <cell r="G1068" t="str">
            <v>U-50</v>
          </cell>
          <cell r="H1068" t="str">
            <v>27A</v>
          </cell>
          <cell r="I1068" t="str">
            <v>23-50</v>
          </cell>
          <cell r="J1068" t="str">
            <v>1140</v>
          </cell>
          <cell r="K1068" t="str">
            <v>491-02023</v>
          </cell>
          <cell r="L1068" t="str">
            <v>366</v>
          </cell>
          <cell r="M1068" t="str">
            <v/>
          </cell>
          <cell r="N1068" t="str">
            <v>128</v>
          </cell>
        </row>
        <row r="1069">
          <cell r="A1069" t="str">
            <v>STACJA ROBOCZA</v>
          </cell>
          <cell r="B1069" t="str">
            <v>COMPAQ DESKPRO EXD PIII 733</v>
          </cell>
          <cell r="C1069" t="str">
            <v>491-4447</v>
          </cell>
          <cell r="D1069" t="str">
            <v>8036FR4Z6579</v>
          </cell>
          <cell r="E1069" t="str">
            <v xml:space="preserve">RW </v>
          </cell>
          <cell r="F1069" t="str">
            <v xml:space="preserve">MARKOWIAK                DOROTA         </v>
          </cell>
          <cell r="G1069" t="str">
            <v>U-50</v>
          </cell>
          <cell r="H1069" t="str">
            <v>105</v>
          </cell>
          <cell r="I1069" t="str">
            <v>21-28</v>
          </cell>
          <cell r="J1069" t="str">
            <v>3604</v>
          </cell>
          <cell r="K1069" t="str">
            <v>491-04447</v>
          </cell>
          <cell r="L1069" t="str">
            <v>733</v>
          </cell>
          <cell r="M1069" t="str">
            <v/>
          </cell>
          <cell r="N1069" t="str">
            <v>127</v>
          </cell>
        </row>
        <row r="1070">
          <cell r="A1070" t="str">
            <v>STACJA ROBOCZA</v>
          </cell>
          <cell r="B1070" t="str">
            <v>DELL Optiplex GX1L 266</v>
          </cell>
          <cell r="C1070" t="str">
            <v>491-3219</v>
          </cell>
          <cell r="D1070" t="str">
            <v>NM14T</v>
          </cell>
          <cell r="E1070" t="str">
            <v xml:space="preserve">RW </v>
          </cell>
          <cell r="F1070" t="str">
            <v xml:space="preserve">MAJDA                    JERZY          </v>
          </cell>
          <cell r="G1070" t="str">
            <v>U-50</v>
          </cell>
          <cell r="H1070" t="str">
            <v>105</v>
          </cell>
          <cell r="I1070" t="str">
            <v/>
          </cell>
          <cell r="J1070" t="str">
            <v>9284</v>
          </cell>
          <cell r="K1070" t="str">
            <v>491-03219</v>
          </cell>
          <cell r="L1070" t="str">
            <v>266</v>
          </cell>
          <cell r="M1070" t="str">
            <v/>
          </cell>
          <cell r="N1070" t="str">
            <v>160</v>
          </cell>
        </row>
        <row r="1071">
          <cell r="A1071" t="str">
            <v>STACJA ROBOCZA</v>
          </cell>
          <cell r="B1071" t="str">
            <v>DELL Optiplex GX260 SD</v>
          </cell>
          <cell r="C1071" t="str">
            <v>491-5110</v>
          </cell>
          <cell r="D1071" t="str">
            <v>1JYGL0J</v>
          </cell>
          <cell r="E1071" t="str">
            <v xml:space="preserve">RW </v>
          </cell>
          <cell r="F1071" t="str">
            <v xml:space="preserve">JAKIELARZ                WIESŁAW        </v>
          </cell>
          <cell r="G1071" t="str">
            <v>U-50</v>
          </cell>
          <cell r="H1071" t="str">
            <v>101</v>
          </cell>
          <cell r="I1071" t="str">
            <v>14-67</v>
          </cell>
          <cell r="J1071" t="str">
            <v>332</v>
          </cell>
          <cell r="K1071" t="str">
            <v>491-05110</v>
          </cell>
          <cell r="L1071" t="str">
            <v>2400</v>
          </cell>
          <cell r="M1071" t="str">
            <v/>
          </cell>
          <cell r="N1071" t="str">
            <v>254</v>
          </cell>
        </row>
        <row r="1072">
          <cell r="A1072" t="str">
            <v>STACJA ROBOCZA</v>
          </cell>
          <cell r="B1072" t="str">
            <v>ZENITH Z STATION P166</v>
          </cell>
          <cell r="C1072" t="str">
            <v>491-3102</v>
          </cell>
          <cell r="D1072" t="str">
            <v>GVDD72905582</v>
          </cell>
          <cell r="E1072" t="str">
            <v xml:space="preserve">RW </v>
          </cell>
          <cell r="F1072" t="str">
            <v xml:space="preserve">BRZOZOWSKI               WŁADYSŁAW      </v>
          </cell>
          <cell r="G1072" t="str">
            <v>U-50</v>
          </cell>
          <cell r="H1072" t="str">
            <v>17</v>
          </cell>
          <cell r="I1072" t="str">
            <v>23-48</v>
          </cell>
          <cell r="J1072" t="str">
            <v>2169</v>
          </cell>
          <cell r="K1072" t="str">
            <v>491-03102</v>
          </cell>
          <cell r="L1072" t="str">
            <v>166</v>
          </cell>
          <cell r="M1072" t="str">
            <v/>
          </cell>
          <cell r="N1072" t="str">
            <v>80</v>
          </cell>
        </row>
        <row r="1073">
          <cell r="A1073" t="str">
            <v>STACJA ROBOCZA</v>
          </cell>
          <cell r="B1073" t="str">
            <v>DELL Optiplex GX260 SD</v>
          </cell>
          <cell r="C1073" t="str">
            <v>491-5054</v>
          </cell>
          <cell r="D1073" t="str">
            <v>CK2GL0J</v>
          </cell>
          <cell r="E1073" t="str">
            <v xml:space="preserve">RW </v>
          </cell>
          <cell r="F1073" t="str">
            <v xml:space="preserve">RAŚ                      TADEUSZ        </v>
          </cell>
          <cell r="G1073" t="str">
            <v>U-50</v>
          </cell>
          <cell r="H1073" t="str">
            <v>105A</v>
          </cell>
          <cell r="I1073" t="str">
            <v>12-30</v>
          </cell>
          <cell r="J1073" t="str">
            <v>828</v>
          </cell>
          <cell r="K1073" t="str">
            <v>491-05054</v>
          </cell>
          <cell r="L1073" t="str">
            <v>2400</v>
          </cell>
          <cell r="M1073" t="str">
            <v/>
          </cell>
          <cell r="N1073" t="str">
            <v>254</v>
          </cell>
        </row>
        <row r="1074">
          <cell r="A1074" t="str">
            <v>STACJA ROBOCZA</v>
          </cell>
          <cell r="B1074" t="str">
            <v>COMPAQ DESKPRO EXD PIII 733</v>
          </cell>
          <cell r="C1074" t="str">
            <v>491-4270</v>
          </cell>
          <cell r="D1074" t="str">
            <v>8036FR4Z6670</v>
          </cell>
          <cell r="E1074" t="str">
            <v>RZP</v>
          </cell>
          <cell r="F1074" t="str">
            <v xml:space="preserve">KNAŚ                     KRZYSZTOF      </v>
          </cell>
          <cell r="G1074" t="str">
            <v>U-2</v>
          </cell>
          <cell r="H1074" t="str">
            <v>207</v>
          </cell>
          <cell r="I1074" t="str">
            <v>24-88</v>
          </cell>
          <cell r="J1074" t="str">
            <v>350</v>
          </cell>
          <cell r="K1074" t="str">
            <v>491-04270</v>
          </cell>
          <cell r="L1074" t="str">
            <v>733</v>
          </cell>
          <cell r="M1074" t="str">
            <v/>
          </cell>
          <cell r="N1074" t="str">
            <v>127</v>
          </cell>
        </row>
        <row r="1075">
          <cell r="A1075" t="str">
            <v>STACJA ROBOCZA</v>
          </cell>
          <cell r="B1075" t="str">
            <v>KOMPUTER 386DX</v>
          </cell>
          <cell r="C1075" t="str">
            <v>491-2018</v>
          </cell>
          <cell r="D1075" t="str">
            <v>3639/043</v>
          </cell>
          <cell r="E1075" t="str">
            <v>RZU</v>
          </cell>
          <cell r="F1075" t="str">
            <v xml:space="preserve">STAŃCZYK                 WALDEMAR       </v>
          </cell>
          <cell r="G1075" t="str">
            <v>U-2</v>
          </cell>
          <cell r="H1075" t="str">
            <v>MISTRZOWKA</v>
          </cell>
          <cell r="I1075" t="str">
            <v>27-95</v>
          </cell>
          <cell r="J1075" t="str">
            <v>9375</v>
          </cell>
          <cell r="K1075" t="str">
            <v>491-02018</v>
          </cell>
          <cell r="L1075" t="str">
            <v>400</v>
          </cell>
          <cell r="M1075" t="str">
            <v/>
          </cell>
          <cell r="N1075" t="str">
            <v>64</v>
          </cell>
        </row>
        <row r="1076">
          <cell r="A1076" t="str">
            <v>STACJA ROBOCZA</v>
          </cell>
          <cell r="B1076" t="str">
            <v>OPTIMUS PENTIUM 100</v>
          </cell>
          <cell r="C1076" t="str">
            <v>491-2861</v>
          </cell>
          <cell r="D1076" t="str">
            <v>060.078.195</v>
          </cell>
          <cell r="E1076" t="str">
            <v>RZU</v>
          </cell>
          <cell r="F1076" t="str">
            <v xml:space="preserve">ENGIEL                   HALINA         </v>
          </cell>
          <cell r="G1076" t="str">
            <v>U-2</v>
          </cell>
          <cell r="H1076" t="str">
            <v>64</v>
          </cell>
          <cell r="I1076" t="str">
            <v>17-30</v>
          </cell>
          <cell r="J1076" t="str">
            <v>979</v>
          </cell>
          <cell r="K1076" t="str">
            <v>491-02861</v>
          </cell>
          <cell r="L1076" t="str">
            <v>550</v>
          </cell>
          <cell r="M1076" t="str">
            <v/>
          </cell>
          <cell r="N1076" t="str">
            <v>64</v>
          </cell>
        </row>
        <row r="1077">
          <cell r="A1077" t="str">
            <v>STACJA ROBOCZA</v>
          </cell>
          <cell r="B1077" t="str">
            <v>DELL Optiplex GX150</v>
          </cell>
          <cell r="C1077" t="str">
            <v>491-4793</v>
          </cell>
          <cell r="D1077" t="str">
            <v>GNRX60J</v>
          </cell>
          <cell r="E1077" t="str">
            <v>RZU</v>
          </cell>
          <cell r="F1077" t="str">
            <v xml:space="preserve">SKOWRON                  JAN            </v>
          </cell>
          <cell r="G1077" t="str">
            <v>U-2</v>
          </cell>
          <cell r="H1077" t="str">
            <v>101</v>
          </cell>
          <cell r="I1077" t="str">
            <v>16-05</v>
          </cell>
          <cell r="J1077" t="str">
            <v>928</v>
          </cell>
          <cell r="K1077" t="str">
            <v>491-04793</v>
          </cell>
          <cell r="L1077" t="str">
            <v>1000</v>
          </cell>
          <cell r="M1077" t="str">
            <v/>
          </cell>
          <cell r="N1077" t="str">
            <v>255</v>
          </cell>
        </row>
        <row r="1078">
          <cell r="A1078" t="str">
            <v>STACJA ROBOCZA</v>
          </cell>
          <cell r="B1078" t="str">
            <v>NEC Direction Minitower P III 450</v>
          </cell>
          <cell r="C1078" t="str">
            <v>491-3884</v>
          </cell>
          <cell r="D1078" t="str">
            <v>0992099</v>
          </cell>
          <cell r="E1078" t="str">
            <v>RZU</v>
          </cell>
          <cell r="F1078" t="str">
            <v xml:space="preserve">KURPET                   DOROTA         </v>
          </cell>
          <cell r="G1078" t="str">
            <v>U-2</v>
          </cell>
          <cell r="H1078" t="str">
            <v>102</v>
          </cell>
          <cell r="I1078" t="str">
            <v>26-98</v>
          </cell>
          <cell r="J1078" t="str">
            <v>614</v>
          </cell>
          <cell r="K1078" t="str">
            <v>491-03884</v>
          </cell>
          <cell r="L1078" t="str">
            <v>450</v>
          </cell>
          <cell r="M1078" t="str">
            <v/>
          </cell>
          <cell r="N1078" t="str">
            <v>64</v>
          </cell>
        </row>
        <row r="1079">
          <cell r="A1079" t="str">
            <v>STACJA ROBOCZA</v>
          </cell>
          <cell r="B1079" t="str">
            <v>DELL Optiplex GX1L 350</v>
          </cell>
          <cell r="C1079" t="str">
            <v>491-3585</v>
          </cell>
          <cell r="D1079" t="str">
            <v>PKGPC</v>
          </cell>
          <cell r="E1079" t="str">
            <v>RZU</v>
          </cell>
          <cell r="F1079" t="str">
            <v xml:space="preserve">GAWLIK                   HENRYKA        </v>
          </cell>
          <cell r="G1079" t="str">
            <v>U-2</v>
          </cell>
          <cell r="H1079" t="str">
            <v>101A</v>
          </cell>
          <cell r="I1079" t="str">
            <v>27-00</v>
          </cell>
          <cell r="J1079" t="str">
            <v>232</v>
          </cell>
          <cell r="K1079" t="str">
            <v>491-03585</v>
          </cell>
          <cell r="L1079" t="str">
            <v>350</v>
          </cell>
          <cell r="M1079" t="str">
            <v/>
          </cell>
          <cell r="N1079" t="str">
            <v>64</v>
          </cell>
        </row>
        <row r="1080">
          <cell r="A1080" t="str">
            <v>STACJA ROBOCZA</v>
          </cell>
          <cell r="B1080" t="str">
            <v>KOMPUTER PC/AT</v>
          </cell>
          <cell r="C1080" t="str">
            <v>491-1620/1694</v>
          </cell>
          <cell r="D1080" t="str">
            <v>238004</v>
          </cell>
          <cell r="E1080" t="str">
            <v xml:space="preserve">TE </v>
          </cell>
          <cell r="F1080" t="str">
            <v xml:space="preserve">CEGLAREK                 WALDEMAR       </v>
          </cell>
          <cell r="G1080" t="str">
            <v>U-3</v>
          </cell>
          <cell r="H1080" t="str">
            <v>310</v>
          </cell>
          <cell r="I1080" t="str">
            <v>30-47</v>
          </cell>
          <cell r="J1080" t="str">
            <v>94</v>
          </cell>
          <cell r="K1080" t="str">
            <v>491-01620-1694</v>
          </cell>
          <cell r="L1080" t="str">
            <v>500</v>
          </cell>
          <cell r="M1080" t="str">
            <v/>
          </cell>
          <cell r="N1080" t="str">
            <v>256</v>
          </cell>
        </row>
        <row r="1081">
          <cell r="A1081" t="str">
            <v>STACJA ROBOCZA</v>
          </cell>
          <cell r="B1081" t="str">
            <v>NEC PowerMate VT Destop P III 450</v>
          </cell>
          <cell r="C1081" t="str">
            <v>491-3897</v>
          </cell>
          <cell r="D1081" t="str">
            <v>0242109</v>
          </cell>
          <cell r="E1081" t="str">
            <v xml:space="preserve">TK </v>
          </cell>
          <cell r="F1081" t="str">
            <v xml:space="preserve">GIERAS                   MIROSŁAW       </v>
          </cell>
          <cell r="G1081" t="str">
            <v>U-11</v>
          </cell>
          <cell r="H1081" t="str">
            <v>709</v>
          </cell>
          <cell r="I1081" t="str">
            <v>10-15</v>
          </cell>
          <cell r="J1081" t="str">
            <v>212</v>
          </cell>
          <cell r="K1081" t="str">
            <v>491-03897</v>
          </cell>
          <cell r="L1081" t="str">
            <v>450</v>
          </cell>
          <cell r="M1081" t="str">
            <v/>
          </cell>
          <cell r="N1081" t="str">
            <v>64</v>
          </cell>
        </row>
        <row r="1082">
          <cell r="A1082" t="str">
            <v>STACJA ROBOCZA</v>
          </cell>
          <cell r="B1082" t="str">
            <v>NEC PowerMate VT Destop P III 450</v>
          </cell>
          <cell r="C1082" t="str">
            <v>491-3992</v>
          </cell>
          <cell r="D1082" t="str">
            <v>0743109</v>
          </cell>
          <cell r="E1082" t="str">
            <v xml:space="preserve">TK </v>
          </cell>
          <cell r="F1082" t="str">
            <v xml:space="preserve">KOTUSIEWICZ              TADEUSZ        </v>
          </cell>
          <cell r="G1082" t="str">
            <v>U-11</v>
          </cell>
          <cell r="H1082" t="str">
            <v>707</v>
          </cell>
          <cell r="I1082" t="str">
            <v/>
          </cell>
          <cell r="J1082" t="str">
            <v>440</v>
          </cell>
          <cell r="K1082" t="str">
            <v>491-03992</v>
          </cell>
          <cell r="L1082" t="str">
            <v>450</v>
          </cell>
          <cell r="M1082" t="str">
            <v/>
          </cell>
          <cell r="N1082" t="str">
            <v>64</v>
          </cell>
        </row>
        <row r="1083">
          <cell r="A1083" t="str">
            <v>STACJA ROBOCZA</v>
          </cell>
          <cell r="B1083" t="str">
            <v>DELL Optiplex GX150</v>
          </cell>
          <cell r="C1083" t="str">
            <v>491-4718</v>
          </cell>
          <cell r="D1083" t="str">
            <v>DLVX60J</v>
          </cell>
          <cell r="E1083" t="str">
            <v xml:space="preserve">TK </v>
          </cell>
          <cell r="F1083" t="str">
            <v xml:space="preserve">KOTUSIEWICZ              TADEUSZ        </v>
          </cell>
          <cell r="G1083" t="str">
            <v>U-11</v>
          </cell>
          <cell r="H1083" t="str">
            <v>707</v>
          </cell>
          <cell r="I1083" t="str">
            <v/>
          </cell>
          <cell r="J1083" t="str">
            <v>440</v>
          </cell>
          <cell r="K1083" t="str">
            <v>491-04718</v>
          </cell>
          <cell r="L1083" t="str">
            <v>1000</v>
          </cell>
          <cell r="M1083" t="str">
            <v/>
          </cell>
          <cell r="N1083" t="str">
            <v>255</v>
          </cell>
        </row>
        <row r="1084">
          <cell r="A1084" t="str">
            <v>STACJA ROBOCZA</v>
          </cell>
          <cell r="B1084" t="str">
            <v>COMPAQ DESKPRO EXD PIII 733</v>
          </cell>
          <cell r="C1084" t="str">
            <v>491-4397</v>
          </cell>
          <cell r="D1084" t="str">
            <v>8036FR4ZE413</v>
          </cell>
          <cell r="E1084" t="str">
            <v xml:space="preserve">TK </v>
          </cell>
          <cell r="F1084" t="str">
            <v xml:space="preserve">DĄBROWSKA                BOGUMIŁA       </v>
          </cell>
          <cell r="G1084" t="str">
            <v>U-11</v>
          </cell>
          <cell r="H1084" t="str">
            <v>709A</v>
          </cell>
          <cell r="I1084" t="str">
            <v>10-17</v>
          </cell>
          <cell r="J1084" t="str">
            <v>159</v>
          </cell>
          <cell r="K1084" t="str">
            <v>491-04397</v>
          </cell>
          <cell r="L1084" t="str">
            <v>733</v>
          </cell>
          <cell r="M1084" t="str">
            <v/>
          </cell>
          <cell r="N1084" t="str">
            <v>127</v>
          </cell>
        </row>
        <row r="1085">
          <cell r="A1085" t="str">
            <v>STACJA ROBOCZA</v>
          </cell>
          <cell r="B1085" t="str">
            <v>DELL Optiplex GX150</v>
          </cell>
          <cell r="C1085" t="str">
            <v>491-4719</v>
          </cell>
          <cell r="D1085" t="str">
            <v>6LVX60J</v>
          </cell>
          <cell r="E1085" t="str">
            <v xml:space="preserve">TK </v>
          </cell>
          <cell r="F1085" t="str">
            <v xml:space="preserve">GIERAS                   MIROSŁAW       </v>
          </cell>
          <cell r="G1085" t="str">
            <v>U-11</v>
          </cell>
          <cell r="H1085" t="str">
            <v>709</v>
          </cell>
          <cell r="I1085" t="str">
            <v>10-15</v>
          </cell>
          <cell r="J1085" t="str">
            <v>212</v>
          </cell>
          <cell r="K1085" t="str">
            <v>491-04719</v>
          </cell>
          <cell r="L1085" t="str">
            <v>1000</v>
          </cell>
          <cell r="M1085" t="str">
            <v/>
          </cell>
          <cell r="N1085" t="str">
            <v>255</v>
          </cell>
        </row>
        <row r="1086">
          <cell r="A1086" t="str">
            <v>STACJA ROBOCZA</v>
          </cell>
          <cell r="B1086" t="str">
            <v>COMPAQ DESKPRO EXD PIII 733</v>
          </cell>
          <cell r="C1086" t="str">
            <v>491-4504</v>
          </cell>
          <cell r="D1086" t="str">
            <v>8036FR4ZE534</v>
          </cell>
          <cell r="E1086" t="str">
            <v xml:space="preserve">TK </v>
          </cell>
          <cell r="F1086" t="str">
            <v xml:space="preserve">OWCZAREK                 WIOLETTA       </v>
          </cell>
          <cell r="G1086" t="str">
            <v>U-11</v>
          </cell>
          <cell r="H1086" t="str">
            <v>709A</v>
          </cell>
          <cell r="I1086" t="str">
            <v/>
          </cell>
          <cell r="J1086" t="str">
            <v>680</v>
          </cell>
          <cell r="K1086" t="str">
            <v>491-04504</v>
          </cell>
          <cell r="L1086" t="str">
            <v>733</v>
          </cell>
          <cell r="M1086" t="str">
            <v/>
          </cell>
          <cell r="N1086" t="str">
            <v>127</v>
          </cell>
        </row>
        <row r="1087">
          <cell r="A1087" t="str">
            <v>STACJA ROBOCZA</v>
          </cell>
          <cell r="B1087" t="str">
            <v>DELL Optiplex GX150</v>
          </cell>
          <cell r="C1087" t="str">
            <v>491-4720</v>
          </cell>
          <cell r="D1087" t="str">
            <v>2LVX60J</v>
          </cell>
          <cell r="E1087" t="str">
            <v xml:space="preserve">TK </v>
          </cell>
          <cell r="F1087" t="str">
            <v xml:space="preserve">BIEDNY                   ZBIGNIEW       </v>
          </cell>
          <cell r="G1087" t="str">
            <v>U-11</v>
          </cell>
          <cell r="H1087" t="str">
            <v>707</v>
          </cell>
          <cell r="I1087" t="str">
            <v>10-16</v>
          </cell>
          <cell r="J1087" t="str">
            <v>24</v>
          </cell>
          <cell r="K1087" t="str">
            <v>491-04720</v>
          </cell>
          <cell r="L1087" t="str">
            <v>1000</v>
          </cell>
          <cell r="M1087" t="str">
            <v/>
          </cell>
          <cell r="N1087" t="str">
            <v>255</v>
          </cell>
        </row>
        <row r="1088">
          <cell r="A1088" t="str">
            <v>STACJA ROBOCZA</v>
          </cell>
          <cell r="B1088" t="str">
            <v>COMPAQ DESKPRO EXD PIII 733</v>
          </cell>
          <cell r="C1088" t="str">
            <v>491-4319</v>
          </cell>
          <cell r="D1088" t="str">
            <v>8036FR4ZE519</v>
          </cell>
          <cell r="E1088" t="str">
            <v xml:space="preserve">TP </v>
          </cell>
          <cell r="F1088" t="str">
            <v xml:space="preserve">KUŚMIEREK                MAREK          </v>
          </cell>
          <cell r="G1088" t="str">
            <v>U-62</v>
          </cell>
          <cell r="H1088" t="str">
            <v>6</v>
          </cell>
          <cell r="I1088" t="str">
            <v>10-21</v>
          </cell>
          <cell r="J1088" t="str">
            <v>4812</v>
          </cell>
          <cell r="K1088" t="str">
            <v>491-04319</v>
          </cell>
          <cell r="L1088" t="str">
            <v>733</v>
          </cell>
          <cell r="M1088" t="str">
            <v/>
          </cell>
          <cell r="N1088" t="str">
            <v>127</v>
          </cell>
        </row>
        <row r="1089">
          <cell r="A1089" t="str">
            <v>STACJA ROBOCZA</v>
          </cell>
          <cell r="B1089" t="str">
            <v>DELL Optiplex GX1L 350</v>
          </cell>
          <cell r="C1089" t="str">
            <v>491-3582</v>
          </cell>
          <cell r="D1089" t="str">
            <v>PKGZR</v>
          </cell>
          <cell r="E1089" t="str">
            <v xml:space="preserve">TP </v>
          </cell>
          <cell r="F1089" t="str">
            <v xml:space="preserve">ANTOSZCZYK               JAN            </v>
          </cell>
          <cell r="G1089" t="str">
            <v>U-62</v>
          </cell>
          <cell r="H1089" t="str">
            <v>4</v>
          </cell>
          <cell r="I1089" t="str">
            <v>10-20</v>
          </cell>
          <cell r="J1089" t="str">
            <v>4</v>
          </cell>
          <cell r="K1089" t="str">
            <v>EWUNIA-DELL450</v>
          </cell>
          <cell r="L1089" t="str">
            <v>350</v>
          </cell>
          <cell r="M1089" t="str">
            <v/>
          </cell>
          <cell r="N1089" t="str">
            <v/>
          </cell>
        </row>
        <row r="1090">
          <cell r="A1090" t="str">
            <v>STACJA ROBOCZA</v>
          </cell>
          <cell r="B1090" t="str">
            <v>DELL Optiplex GX1L 350</v>
          </cell>
          <cell r="C1090" t="str">
            <v>491-3596</v>
          </cell>
          <cell r="D1090" t="str">
            <v>PKGP5</v>
          </cell>
          <cell r="E1090" t="str">
            <v xml:space="preserve">TP </v>
          </cell>
          <cell r="F1090" t="str">
            <v xml:space="preserve">ANTOSZCZYK               JAN            </v>
          </cell>
          <cell r="G1090" t="str">
            <v>U-62</v>
          </cell>
          <cell r="H1090" t="str">
            <v>4</v>
          </cell>
          <cell r="I1090" t="str">
            <v>10-20</v>
          </cell>
          <cell r="J1090" t="str">
            <v>4</v>
          </cell>
          <cell r="K1090" t="str">
            <v>491-03596</v>
          </cell>
          <cell r="L1090" t="str">
            <v>350</v>
          </cell>
          <cell r="M1090" t="str">
            <v/>
          </cell>
          <cell r="N1090" t="str">
            <v>64</v>
          </cell>
        </row>
        <row r="1091">
          <cell r="A1091" t="str">
            <v>STACJA ROBOCZA</v>
          </cell>
          <cell r="B1091" t="str">
            <v>ZENITH Z STATION P166</v>
          </cell>
          <cell r="C1091" t="str">
            <v>491-3013</v>
          </cell>
          <cell r="D1091" t="str">
            <v>GVDD72904591</v>
          </cell>
          <cell r="E1091" t="str">
            <v xml:space="preserve">TP </v>
          </cell>
          <cell r="F1091" t="str">
            <v xml:space="preserve">ANTOSZCZYK               JAN            </v>
          </cell>
          <cell r="G1091" t="str">
            <v>U-62</v>
          </cell>
          <cell r="H1091" t="str">
            <v>4</v>
          </cell>
          <cell r="I1091" t="str">
            <v>10-20</v>
          </cell>
          <cell r="J1091" t="str">
            <v>4</v>
          </cell>
          <cell r="K1091" t="str">
            <v/>
          </cell>
          <cell r="L1091" t="str">
            <v>166</v>
          </cell>
          <cell r="M1091" t="str">
            <v>OK56J</v>
          </cell>
          <cell r="N1091" t="str">
            <v/>
          </cell>
        </row>
        <row r="1092">
          <cell r="A1092" t="str">
            <v>STACJA ROBOCZA</v>
          </cell>
          <cell r="B1092" t="str">
            <v>DELL Optiplex GX150</v>
          </cell>
          <cell r="C1092" t="str">
            <v>491-4850</v>
          </cell>
          <cell r="D1092" t="str">
            <v>1QRX60J</v>
          </cell>
          <cell r="E1092" t="str">
            <v xml:space="preserve">TP </v>
          </cell>
          <cell r="F1092" t="str">
            <v xml:space="preserve">CZERWIŃSKI               ZDZISŁAW       </v>
          </cell>
          <cell r="G1092" t="str">
            <v>U-62</v>
          </cell>
          <cell r="H1092" t="str">
            <v>5</v>
          </cell>
          <cell r="I1092" t="str">
            <v>10-20</v>
          </cell>
          <cell r="J1092" t="str">
            <v>96</v>
          </cell>
          <cell r="K1092" t="str">
            <v>491-04850</v>
          </cell>
          <cell r="L1092" t="str">
            <v>1000</v>
          </cell>
          <cell r="M1092" t="str">
            <v/>
          </cell>
          <cell r="N1092" t="str">
            <v>255</v>
          </cell>
        </row>
        <row r="1093">
          <cell r="A1093" t="str">
            <v>STACJA ROBOCZA</v>
          </cell>
          <cell r="B1093" t="str">
            <v>NEC PowerMate VT Destop P III 450</v>
          </cell>
          <cell r="C1093" t="str">
            <v>491-3931</v>
          </cell>
          <cell r="D1093" t="str">
            <v>0251109</v>
          </cell>
          <cell r="E1093" t="str">
            <v xml:space="preserve">TP </v>
          </cell>
          <cell r="F1093" t="str">
            <v xml:space="preserve">ANTOSZCZYK               JAN            </v>
          </cell>
          <cell r="G1093" t="str">
            <v>U-62</v>
          </cell>
          <cell r="H1093" t="str">
            <v>4</v>
          </cell>
          <cell r="I1093" t="str">
            <v>10-20</v>
          </cell>
          <cell r="J1093" t="str">
            <v>4</v>
          </cell>
          <cell r="K1093" t="str">
            <v>491-03931</v>
          </cell>
          <cell r="L1093" t="str">
            <v>450</v>
          </cell>
          <cell r="M1093" t="str">
            <v>OK56J</v>
          </cell>
          <cell r="N1093" t="str">
            <v>64</v>
          </cell>
        </row>
        <row r="1094">
          <cell r="A1094" t="str">
            <v>STACJA ROBOCZA</v>
          </cell>
          <cell r="B1094" t="str">
            <v>OPTIMUS 486DX</v>
          </cell>
          <cell r="C1094" t="str">
            <v>491-2436</v>
          </cell>
          <cell r="D1094" t="str">
            <v>050.009.423  /K76607878</v>
          </cell>
          <cell r="E1094" t="str">
            <v xml:space="preserve">TS </v>
          </cell>
          <cell r="F1094" t="str">
            <v xml:space="preserve">OPORSKI                  TADEUSZ        </v>
          </cell>
          <cell r="G1094" t="str">
            <v>U-13</v>
          </cell>
          <cell r="H1094" t="str">
            <v>304</v>
          </cell>
          <cell r="I1094" t="str">
            <v>40-05</v>
          </cell>
          <cell r="J1094" t="str">
            <v>5350</v>
          </cell>
          <cell r="K1094" t="str">
            <v>491-02436</v>
          </cell>
          <cell r="L1094" t="str">
            <v>366</v>
          </cell>
          <cell r="M1094" t="str">
            <v/>
          </cell>
          <cell r="N1094" t="str">
            <v>128</v>
          </cell>
        </row>
        <row r="1095">
          <cell r="A1095" t="str">
            <v>STACJA ROBOCZA</v>
          </cell>
          <cell r="B1095" t="str">
            <v>DELL Optiplex GX1L 266</v>
          </cell>
          <cell r="C1095" t="str">
            <v>491-3229</v>
          </cell>
          <cell r="D1095" t="str">
            <v>NM174</v>
          </cell>
          <cell r="E1095" t="str">
            <v xml:space="preserve">TS </v>
          </cell>
          <cell r="F1095" t="str">
            <v xml:space="preserve">BILKOWSKA                SŁAWOMIRA      </v>
          </cell>
          <cell r="G1095" t="str">
            <v>U-11</v>
          </cell>
          <cell r="H1095" t="str">
            <v>712</v>
          </cell>
          <cell r="I1095" t="str">
            <v>10-94</v>
          </cell>
          <cell r="J1095" t="str">
            <v>17</v>
          </cell>
          <cell r="K1095" t="str">
            <v>491-03229</v>
          </cell>
          <cell r="L1095" t="str">
            <v>266</v>
          </cell>
          <cell r="M1095" t="str">
            <v>OK55M</v>
          </cell>
          <cell r="N1095" t="str">
            <v>96</v>
          </cell>
        </row>
        <row r="1096">
          <cell r="A1096" t="str">
            <v>STACJA ROBOCZA</v>
          </cell>
          <cell r="B1096" t="str">
            <v>DELL Optiplex GX150</v>
          </cell>
          <cell r="C1096" t="str">
            <v>491-4717</v>
          </cell>
          <cell r="D1096" t="str">
            <v>9LVX60J</v>
          </cell>
          <cell r="E1096" t="str">
            <v xml:space="preserve">TS </v>
          </cell>
          <cell r="F1096" t="str">
            <v xml:space="preserve">DUŻYŃSKA                 EWA            </v>
          </cell>
          <cell r="G1096" t="str">
            <v>Przychodnia-Rogowiec</v>
          </cell>
          <cell r="H1096" t="str">
            <v>114</v>
          </cell>
          <cell r="I1096" t="str">
            <v>10-95</v>
          </cell>
          <cell r="J1096" t="str">
            <v>143</v>
          </cell>
          <cell r="K1096" t="str">
            <v>491-04717</v>
          </cell>
          <cell r="L1096" t="str">
            <v>1000</v>
          </cell>
          <cell r="M1096" t="str">
            <v/>
          </cell>
          <cell r="N1096" t="str">
            <v>255</v>
          </cell>
        </row>
        <row r="1097">
          <cell r="A1097" t="str">
            <v>STACJA ROBOCZA</v>
          </cell>
          <cell r="B1097" t="str">
            <v>KOMPUTER 386DX</v>
          </cell>
          <cell r="C1097" t="str">
            <v>491-2027</v>
          </cell>
          <cell r="D1097" t="str">
            <v>3793/053</v>
          </cell>
          <cell r="E1097" t="str">
            <v xml:space="preserve">TS </v>
          </cell>
          <cell r="F1097" t="str">
            <v xml:space="preserve">KĘPA                     GRAŻYNA        </v>
          </cell>
          <cell r="G1097" t="str">
            <v>Przychodnia-Rogowiec</v>
          </cell>
          <cell r="H1097" t="str">
            <v>114</v>
          </cell>
          <cell r="I1097" t="str">
            <v>10-95</v>
          </cell>
          <cell r="J1097" t="str">
            <v>394</v>
          </cell>
          <cell r="K1097" t="str">
            <v/>
          </cell>
          <cell r="L1097" t="str">
            <v>0</v>
          </cell>
          <cell r="M1097" t="str">
            <v/>
          </cell>
          <cell r="N1097" t="str">
            <v/>
          </cell>
        </row>
        <row r="1098">
          <cell r="A1098" t="str">
            <v>STACJA ROBOCZA</v>
          </cell>
          <cell r="B1098" t="str">
            <v>NEC PowerMate VT Destop P III 450</v>
          </cell>
          <cell r="C1098" t="str">
            <v>491-3899</v>
          </cell>
          <cell r="D1098" t="str">
            <v>0278109</v>
          </cell>
          <cell r="E1098" t="str">
            <v xml:space="preserve">TS </v>
          </cell>
          <cell r="F1098" t="str">
            <v xml:space="preserve">GAJEWSKI                 WITOLD         </v>
          </cell>
          <cell r="G1098" t="str">
            <v>U-13</v>
          </cell>
          <cell r="H1098" t="str">
            <v>407A</v>
          </cell>
          <cell r="I1098" t="str">
            <v>10-27</v>
          </cell>
          <cell r="J1098" t="str">
            <v>252</v>
          </cell>
          <cell r="K1098" t="str">
            <v>491-03899</v>
          </cell>
          <cell r="L1098" t="str">
            <v>450</v>
          </cell>
          <cell r="M1098" t="str">
            <v/>
          </cell>
          <cell r="N1098" t="str">
            <v>64</v>
          </cell>
        </row>
        <row r="1099">
          <cell r="A1099" t="str">
            <v>STACJA ROBOCZA</v>
          </cell>
          <cell r="B1099" t="str">
            <v>ZENITH Z STATION P166</v>
          </cell>
          <cell r="C1099" t="str">
            <v>491-3121</v>
          </cell>
          <cell r="D1099" t="str">
            <v>GVDD72905395</v>
          </cell>
          <cell r="E1099" t="str">
            <v xml:space="preserve">TS </v>
          </cell>
          <cell r="F1099" t="str">
            <v xml:space="preserve">POMYKAŁA                 WŁODZIMIERZ    </v>
          </cell>
          <cell r="G1099" t="str">
            <v>U-11</v>
          </cell>
          <cell r="H1099" t="str">
            <v>712</v>
          </cell>
          <cell r="I1099" t="str">
            <v>10-96</v>
          </cell>
          <cell r="J1099" t="str">
            <v>751</v>
          </cell>
          <cell r="K1099" t="str">
            <v>RC_17M</v>
          </cell>
          <cell r="L1099" t="str">
            <v>166</v>
          </cell>
          <cell r="M1099" t="str">
            <v/>
          </cell>
          <cell r="N1099" t="str">
            <v/>
          </cell>
        </row>
        <row r="1100">
          <cell r="A1100" t="str">
            <v>STACJA ROBOCZA</v>
          </cell>
          <cell r="B1100" t="str">
            <v>ZENITH Z STATION P166</v>
          </cell>
          <cell r="C1100" t="str">
            <v>491-3117</v>
          </cell>
          <cell r="D1100" t="str">
            <v>GVDD72905583</v>
          </cell>
          <cell r="E1100" t="str">
            <v xml:space="preserve">TS </v>
          </cell>
          <cell r="F1100" t="str">
            <v xml:space="preserve">POMYKAŁA                 WŁODZIMIERZ    </v>
          </cell>
          <cell r="G1100" t="str">
            <v>U-11</v>
          </cell>
          <cell r="H1100" t="str">
            <v>712</v>
          </cell>
          <cell r="I1100" t="str">
            <v>10-96</v>
          </cell>
          <cell r="J1100" t="str">
            <v>751</v>
          </cell>
          <cell r="K1100" t="str">
            <v>CU_ALICJAR</v>
          </cell>
          <cell r="L1100" t="str">
            <v>166</v>
          </cell>
          <cell r="M1100" t="str">
            <v>Będą zdawać (JMAS)</v>
          </cell>
          <cell r="N1100" t="str">
            <v/>
          </cell>
        </row>
        <row r="1101">
          <cell r="A1101" t="str">
            <v>STACJA ROBOCZA</v>
          </cell>
          <cell r="B1101" t="str">
            <v>DELL Optiplex GX150</v>
          </cell>
          <cell r="C1101" t="str">
            <v>491-4716</v>
          </cell>
          <cell r="D1101" t="str">
            <v>GKVX60J</v>
          </cell>
          <cell r="E1101" t="str">
            <v xml:space="preserve">TS </v>
          </cell>
          <cell r="F1101" t="str">
            <v xml:space="preserve">RUTKOWSKI                ELIGIUSZ       </v>
          </cell>
          <cell r="G1101" t="str">
            <v>U-13</v>
          </cell>
          <cell r="H1101" t="str">
            <v>407</v>
          </cell>
          <cell r="I1101" t="str">
            <v>20-91</v>
          </cell>
          <cell r="J1101" t="str">
            <v>852</v>
          </cell>
          <cell r="K1101" t="str">
            <v>491-04716</v>
          </cell>
          <cell r="L1101" t="str">
            <v>1000</v>
          </cell>
          <cell r="M1101" t="str">
            <v/>
          </cell>
          <cell r="N1101" t="str">
            <v>255</v>
          </cell>
        </row>
        <row r="1102">
          <cell r="A1102" t="str">
            <v>STACJA ROBOCZA</v>
          </cell>
          <cell r="B1102" t="str">
            <v>COMPAQ DESKPRO EXD PIII 733</v>
          </cell>
          <cell r="C1102" t="str">
            <v>491-4332</v>
          </cell>
          <cell r="D1102" t="str">
            <v>8036FR4ZE486</v>
          </cell>
          <cell r="E1102" t="str">
            <v xml:space="preserve">TS </v>
          </cell>
          <cell r="F1102" t="str">
            <v xml:space="preserve">POMYKAŁA                 WŁODZIMIERZ    </v>
          </cell>
          <cell r="G1102" t="str">
            <v>U-11</v>
          </cell>
          <cell r="H1102" t="str">
            <v>712</v>
          </cell>
          <cell r="I1102" t="str">
            <v>10-96</v>
          </cell>
          <cell r="J1102" t="str">
            <v>751</v>
          </cell>
          <cell r="K1102" t="str">
            <v>491-04332</v>
          </cell>
          <cell r="L1102" t="str">
            <v>733</v>
          </cell>
          <cell r="M1102" t="str">
            <v/>
          </cell>
          <cell r="N1102" t="str">
            <v>127</v>
          </cell>
        </row>
        <row r="1103">
          <cell r="A1103" t="str">
            <v>STACJA ROBOCZA</v>
          </cell>
          <cell r="B1103" t="str">
            <v>DELL Optiplex GX1L 266</v>
          </cell>
          <cell r="C1103" t="str">
            <v>491-3384</v>
          </cell>
          <cell r="D1103" t="str">
            <v>NM1BK</v>
          </cell>
          <cell r="E1103" t="str">
            <v xml:space="preserve">TS </v>
          </cell>
          <cell r="F1103" t="str">
            <v xml:space="preserve">DASZKOWSKA               ZDZISŁAWA      </v>
          </cell>
          <cell r="G1103" t="str">
            <v>Przychodnia-Rogowiec</v>
          </cell>
          <cell r="H1103" t="str">
            <v>111</v>
          </cell>
          <cell r="I1103" t="str">
            <v>17-88</v>
          </cell>
          <cell r="J1103" t="str">
            <v>4598</v>
          </cell>
          <cell r="K1103" t="str">
            <v>491-03384</v>
          </cell>
          <cell r="L1103" t="str">
            <v>266</v>
          </cell>
          <cell r="M1103" t="str">
            <v/>
          </cell>
          <cell r="N1103" t="str">
            <v>64</v>
          </cell>
        </row>
        <row r="1104">
          <cell r="A1104" t="str">
            <v>STACJA ROBOCZA</v>
          </cell>
          <cell r="B1104" t="str">
            <v>DELL Optiplex GX270 SD</v>
          </cell>
          <cell r="C1104" t="str">
            <v>491-</v>
          </cell>
          <cell r="D1104" t="str">
            <v>60TNS0J</v>
          </cell>
          <cell r="E1104" t="str">
            <v>TZG</v>
          </cell>
          <cell r="F1104" t="str">
            <v xml:space="preserve">POLAK                    ALINA          </v>
          </cell>
          <cell r="G1104" t="str">
            <v>U-11</v>
          </cell>
          <cell r="H1104" t="str">
            <v>709</v>
          </cell>
          <cell r="I1104" t="str">
            <v>10-25</v>
          </cell>
          <cell r="J1104" t="str">
            <v>743</v>
          </cell>
          <cell r="K1104" t="str">
            <v>491-0ALINAPTZG</v>
          </cell>
          <cell r="L1104" t="str">
            <v/>
          </cell>
          <cell r="M1104" t="str">
            <v/>
          </cell>
          <cell r="N1104" t="str">
            <v/>
          </cell>
        </row>
        <row r="1105">
          <cell r="A1105" t="str">
            <v>STACJA ROBOCZA</v>
          </cell>
          <cell r="B1105" t="str">
            <v>DELL Optiplex GX150</v>
          </cell>
          <cell r="C1105" t="str">
            <v>491-4903</v>
          </cell>
          <cell r="D1105" t="str">
            <v>4K3Y60J</v>
          </cell>
          <cell r="E1105" t="str">
            <v>TZG</v>
          </cell>
          <cell r="F1105" t="str">
            <v xml:space="preserve">KOSICKI                  TADEUSZ        </v>
          </cell>
          <cell r="G1105" t="str">
            <v>U-11</v>
          </cell>
          <cell r="H1105" t="str">
            <v>710</v>
          </cell>
          <cell r="I1105" t="str">
            <v>10-25</v>
          </cell>
          <cell r="J1105" t="str">
            <v>353</v>
          </cell>
          <cell r="K1105" t="str">
            <v/>
          </cell>
          <cell r="L1105" t="str">
            <v>1000</v>
          </cell>
          <cell r="M1105" t="str">
            <v>siec wydzielona OHT</v>
          </cell>
          <cell r="N1105" t="str">
            <v/>
          </cell>
        </row>
        <row r="1106">
          <cell r="A1106" t="str">
            <v>STACJA ROBOCZA</v>
          </cell>
          <cell r="B1106" t="str">
            <v>HP BRIO MICRO TOWER C 500</v>
          </cell>
          <cell r="C1106" t="str">
            <v>491-4415/3</v>
          </cell>
          <cell r="D1106" t="str">
            <v>NL02211163</v>
          </cell>
          <cell r="E1106" t="str">
            <v>TZG</v>
          </cell>
          <cell r="F1106" t="str">
            <v xml:space="preserve">KOSICKI                  TADEUSZ        </v>
          </cell>
          <cell r="G1106" t="str">
            <v>U-11</v>
          </cell>
          <cell r="H1106" t="str">
            <v>710</v>
          </cell>
          <cell r="I1106" t="str">
            <v>10-25</v>
          </cell>
          <cell r="J1106" t="str">
            <v>353</v>
          </cell>
          <cell r="K1106" t="str">
            <v>491-04415</v>
          </cell>
          <cell r="L1106" t="str">
            <v>500</v>
          </cell>
          <cell r="M1106" t="str">
            <v/>
          </cell>
          <cell r="N1106" t="str">
            <v/>
          </cell>
        </row>
        <row r="1107">
          <cell r="A1107" t="str">
            <v>NOTEBOOK</v>
          </cell>
          <cell r="B1107" t="str">
            <v>ZENITH Z STAR 900 150MMX</v>
          </cell>
          <cell r="C1107" t="str">
            <v>491-3090</v>
          </cell>
          <cell r="D1107" t="str">
            <v>6929300008</v>
          </cell>
          <cell r="E1107" t="str">
            <v>TZG</v>
          </cell>
          <cell r="F1107" t="str">
            <v xml:space="preserve">KOSICKI                  TADEUSZ        </v>
          </cell>
          <cell r="G1107" t="str">
            <v>U-11</v>
          </cell>
          <cell r="H1107" t="str">
            <v>710</v>
          </cell>
          <cell r="I1107" t="str">
            <v>10-25</v>
          </cell>
          <cell r="J1107" t="str">
            <v>353</v>
          </cell>
          <cell r="K1107" t="str">
            <v/>
          </cell>
          <cell r="L1107" t="str">
            <v>150</v>
          </cell>
          <cell r="M1107" t="str">
            <v>JMAS: uszkodzony</v>
          </cell>
          <cell r="N1107" t="str">
            <v/>
          </cell>
        </row>
        <row r="1108">
          <cell r="A1108" t="str">
            <v>NOTEBOOK</v>
          </cell>
          <cell r="B1108" t="str">
            <v>COMPAQ ARMADA E500  PIII 600</v>
          </cell>
          <cell r="C1108" t="str">
            <v>491-4355</v>
          </cell>
          <cell r="D1108" t="str">
            <v>7J0ADN98Y01H</v>
          </cell>
          <cell r="E1108" t="str">
            <v>TZM</v>
          </cell>
          <cell r="F1108" t="str">
            <v xml:space="preserve">CIRKOS                   BOLESŁAW       </v>
          </cell>
          <cell r="G1108" t="str">
            <v>U-72</v>
          </cell>
          <cell r="H1108" t="str">
            <v>121</v>
          </cell>
          <cell r="I1108" t="str">
            <v>12-49</v>
          </cell>
          <cell r="J1108" t="str">
            <v>6002</v>
          </cell>
          <cell r="K1108" t="str">
            <v>BOLESLAWC</v>
          </cell>
          <cell r="L1108" t="str">
            <v>600</v>
          </cell>
          <cell r="M1108" t="str">
            <v/>
          </cell>
          <cell r="N1108" t="str">
            <v>128</v>
          </cell>
        </row>
        <row r="1109">
          <cell r="A1109" t="str">
            <v>STACJA ROBOCZA</v>
          </cell>
          <cell r="B1109" t="str">
            <v>DELL Optiplex GX260 SD</v>
          </cell>
          <cell r="C1109" t="str">
            <v>491-5044</v>
          </cell>
          <cell r="D1109" t="str">
            <v>4K2GL0J</v>
          </cell>
          <cell r="E1109" t="str">
            <v>TZM</v>
          </cell>
          <cell r="F1109" t="str">
            <v xml:space="preserve">PTASZEK                  IWONA          </v>
          </cell>
          <cell r="G1109" t="str">
            <v>U-72</v>
          </cell>
          <cell r="H1109" t="str">
            <v>121</v>
          </cell>
          <cell r="I1109" t="str">
            <v>12-49</v>
          </cell>
          <cell r="J1109" t="str">
            <v>2780</v>
          </cell>
          <cell r="K1109" t="str">
            <v>491-05044</v>
          </cell>
          <cell r="L1109" t="str">
            <v>2400</v>
          </cell>
          <cell r="M1109" t="str">
            <v/>
          </cell>
          <cell r="N1109" t="str">
            <v>254</v>
          </cell>
        </row>
        <row r="1110">
          <cell r="A1110" t="str">
            <v>STACJA ROBOCZA</v>
          </cell>
          <cell r="B1110" t="str">
            <v>COMPAQ DESKPRO EXD PIII 733</v>
          </cell>
          <cell r="C1110" t="str">
            <v>491-4508</v>
          </cell>
          <cell r="D1110" t="str">
            <v>8036FR4Z6087</v>
          </cell>
          <cell r="E1110" t="str">
            <v>TZM</v>
          </cell>
          <cell r="F1110" t="str">
            <v xml:space="preserve">CIRKOS                   BOLESŁAW       </v>
          </cell>
          <cell r="G1110" t="str">
            <v>U-72</v>
          </cell>
          <cell r="H1110" t="str">
            <v>121</v>
          </cell>
          <cell r="I1110" t="str">
            <v>12-49</v>
          </cell>
          <cell r="J1110" t="str">
            <v>6002</v>
          </cell>
          <cell r="K1110" t="str">
            <v>491-04508</v>
          </cell>
          <cell r="L1110" t="str">
            <v>733</v>
          </cell>
          <cell r="M1110" t="str">
            <v/>
          </cell>
          <cell r="N1110" t="str">
            <v>127</v>
          </cell>
        </row>
        <row r="1111">
          <cell r="A1111" t="str">
            <v>STACJA ROBOCZA</v>
          </cell>
          <cell r="B1111" t="str">
            <v>DELL Optiplex GX1L 266</v>
          </cell>
          <cell r="C1111" t="str">
            <v>491-3398</v>
          </cell>
          <cell r="D1111" t="str">
            <v>NM1CX</v>
          </cell>
          <cell r="E1111" t="str">
            <v xml:space="preserve">WA </v>
          </cell>
          <cell r="F1111" t="str">
            <v xml:space="preserve">URBANIAK                 ZBIGNIEW       </v>
          </cell>
          <cell r="G1111" t="str">
            <v>U-2/3</v>
          </cell>
          <cell r="H1111" t="str">
            <v>315</v>
          </cell>
          <cell r="I1111" t="str">
            <v>11-40</v>
          </cell>
          <cell r="J1111" t="str">
            <v>1033</v>
          </cell>
          <cell r="K1111" t="str">
            <v/>
          </cell>
          <cell r="L1111" t="str">
            <v>266</v>
          </cell>
          <cell r="M1111" t="str">
            <v>OK19M</v>
          </cell>
          <cell r="N1111" t="str">
            <v/>
          </cell>
        </row>
        <row r="1112">
          <cell r="A1112" t="str">
            <v>STACJA ROBOCZA</v>
          </cell>
          <cell r="B1112" t="str">
            <v>KOMPUTER PC/AT</v>
          </cell>
          <cell r="C1112" t="str">
            <v>491-1620/1752</v>
          </cell>
          <cell r="D1112" t="str">
            <v>238008</v>
          </cell>
          <cell r="E1112" t="str">
            <v xml:space="preserve">WA </v>
          </cell>
          <cell r="F1112" t="str">
            <v xml:space="preserve">PRZYSTAŚ                 WIESŁAW        </v>
          </cell>
          <cell r="G1112" t="str">
            <v>U-12</v>
          </cell>
          <cell r="H1112" t="str">
            <v>346</v>
          </cell>
          <cell r="I1112" t="str">
            <v>29-80</v>
          </cell>
          <cell r="J1112" t="str">
            <v>723</v>
          </cell>
          <cell r="K1112" t="str">
            <v>491-01620-1752</v>
          </cell>
          <cell r="L1112" t="str">
            <v>366</v>
          </cell>
          <cell r="M1112" t="str">
            <v/>
          </cell>
          <cell r="N1112" t="str">
            <v>256</v>
          </cell>
        </row>
        <row r="1113">
          <cell r="A1113" t="str">
            <v>STACJA ROBOCZA</v>
          </cell>
          <cell r="B1113" t="str">
            <v>KOMPUTER PC/AT</v>
          </cell>
          <cell r="C1113" t="str">
            <v>491-1620/1682</v>
          </cell>
          <cell r="D1113" t="str">
            <v>238007</v>
          </cell>
          <cell r="E1113" t="str">
            <v xml:space="preserve">WA </v>
          </cell>
          <cell r="F1113" t="str">
            <v xml:space="preserve">RATKOWSKI                HUBERT         </v>
          </cell>
          <cell r="G1113" t="str">
            <v>BUE 7/8</v>
          </cell>
          <cell r="H1113" t="str">
            <v>22</v>
          </cell>
          <cell r="I1113" t="str">
            <v>11-45</v>
          </cell>
          <cell r="J1113" t="str">
            <v>858</v>
          </cell>
          <cell r="K1113" t="str">
            <v>491-01620-1682</v>
          </cell>
          <cell r="L1113" t="str">
            <v>400</v>
          </cell>
          <cell r="M1113" t="str">
            <v/>
          </cell>
          <cell r="N1113" t="str">
            <v>256</v>
          </cell>
        </row>
        <row r="1114">
          <cell r="A1114" t="str">
            <v>STACJA ROBOCZA</v>
          </cell>
          <cell r="B1114" t="str">
            <v>NEC PMVT Desktop P III 450</v>
          </cell>
          <cell r="C1114" t="str">
            <v>491-3818</v>
          </cell>
          <cell r="D1114" t="str">
            <v>0724109</v>
          </cell>
          <cell r="E1114" t="str">
            <v xml:space="preserve">WA </v>
          </cell>
          <cell r="F1114" t="str">
            <v xml:space="preserve">TARKA                    EWA            </v>
          </cell>
          <cell r="G1114" t="str">
            <v>U-12</v>
          </cell>
          <cell r="H1114" t="str">
            <v>343A</v>
          </cell>
          <cell r="I1114" t="str">
            <v>22-73</v>
          </cell>
          <cell r="J1114" t="str">
            <v>1027</v>
          </cell>
          <cell r="K1114" t="str">
            <v>491-03818</v>
          </cell>
          <cell r="L1114" t="str">
            <v>450</v>
          </cell>
          <cell r="M1114" t="str">
            <v/>
          </cell>
          <cell r="N1114" t="str">
            <v>192</v>
          </cell>
        </row>
        <row r="1115">
          <cell r="A1115" t="str">
            <v>NOTEBOOK</v>
          </cell>
          <cell r="B1115" t="str">
            <v>NEC VERSA SX PII 366 14.1" XGA TFT</v>
          </cell>
          <cell r="C1115" t="str">
            <v>491-3733</v>
          </cell>
          <cell r="D1115" t="str">
            <v>G697700008</v>
          </cell>
          <cell r="E1115" t="str">
            <v xml:space="preserve">WA </v>
          </cell>
          <cell r="F1115" t="str">
            <v xml:space="preserve">PRZYSTAŚ                 WIESŁAW        </v>
          </cell>
          <cell r="G1115" t="str">
            <v>U-12</v>
          </cell>
          <cell r="H1115" t="str">
            <v>346</v>
          </cell>
          <cell r="I1115" t="str">
            <v>29-80</v>
          </cell>
          <cell r="J1115" t="str">
            <v>723</v>
          </cell>
          <cell r="K1115" t="str">
            <v>WIESLAWP-LAP</v>
          </cell>
          <cell r="L1115" t="str">
            <v>366</v>
          </cell>
          <cell r="M1115" t="str">
            <v/>
          </cell>
          <cell r="N1115" t="str">
            <v/>
          </cell>
        </row>
        <row r="1116">
          <cell r="A1116" t="str">
            <v>STACJA ROBOCZA</v>
          </cell>
          <cell r="B1116" t="str">
            <v>KOMPUTER PC/AT</v>
          </cell>
          <cell r="C1116" t="str">
            <v>491-1620/1537</v>
          </cell>
          <cell r="D1116" t="str">
            <v>935931</v>
          </cell>
          <cell r="E1116" t="str">
            <v xml:space="preserve">WA </v>
          </cell>
          <cell r="F1116" t="str">
            <v xml:space="preserve">PRZYSTAŚ                 WIESŁAW        </v>
          </cell>
          <cell r="G1116" t="str">
            <v>U-12</v>
          </cell>
          <cell r="H1116" t="str">
            <v>346</v>
          </cell>
          <cell r="I1116" t="str">
            <v>29-80</v>
          </cell>
          <cell r="J1116" t="str">
            <v>723</v>
          </cell>
          <cell r="K1116" t="str">
            <v>491-01620-1537</v>
          </cell>
          <cell r="L1116" t="str">
            <v>500</v>
          </cell>
          <cell r="M1116" t="str">
            <v/>
          </cell>
          <cell r="N1116" t="str">
            <v>256</v>
          </cell>
        </row>
        <row r="1117">
          <cell r="A1117" t="str">
            <v>STACJA ROBOCZA</v>
          </cell>
          <cell r="B1117" t="str">
            <v>KOMPUTER PC/AT</v>
          </cell>
          <cell r="C1117" t="str">
            <v>491-1620/K029</v>
          </cell>
          <cell r="D1117" t="str">
            <v>0B23A</v>
          </cell>
          <cell r="E1117" t="str">
            <v xml:space="preserve">WA </v>
          </cell>
          <cell r="F1117" t="str">
            <v xml:space="preserve">PRZYSTAŚ                 WIESŁAW        </v>
          </cell>
          <cell r="G1117" t="str">
            <v>U-12</v>
          </cell>
          <cell r="H1117" t="str">
            <v>346</v>
          </cell>
          <cell r="I1117" t="str">
            <v>29-80</v>
          </cell>
          <cell r="J1117" t="str">
            <v>723</v>
          </cell>
          <cell r="K1117" t="str">
            <v>491-01620-K029</v>
          </cell>
          <cell r="L1117" t="str">
            <v>700</v>
          </cell>
          <cell r="M1117" t="str">
            <v/>
          </cell>
          <cell r="N1117" t="str">
            <v>256</v>
          </cell>
        </row>
        <row r="1118">
          <cell r="A1118" t="str">
            <v>STACJA ROBOCZA</v>
          </cell>
          <cell r="B1118" t="str">
            <v>DELL Optiplex GX1L 350</v>
          </cell>
          <cell r="C1118" t="str">
            <v>491-3513</v>
          </cell>
          <cell r="D1118" t="str">
            <v>PKGPN</v>
          </cell>
          <cell r="E1118" t="str">
            <v xml:space="preserve">WA </v>
          </cell>
          <cell r="F1118" t="str">
            <v xml:space="preserve">BORUTA                   TOMASZ         </v>
          </cell>
          <cell r="G1118" t="str">
            <v>U-12</v>
          </cell>
          <cell r="H1118" t="str">
            <v>333</v>
          </cell>
          <cell r="I1118" t="str">
            <v>22-46</v>
          </cell>
          <cell r="J1118" t="str">
            <v>92</v>
          </cell>
          <cell r="K1118" t="str">
            <v>491-03513</v>
          </cell>
          <cell r="L1118" t="str">
            <v>350</v>
          </cell>
          <cell r="M1118" t="str">
            <v/>
          </cell>
          <cell r="N1118" t="str">
            <v>256</v>
          </cell>
        </row>
        <row r="1119">
          <cell r="A1119" t="str">
            <v>STACJA ROBOCZA</v>
          </cell>
          <cell r="B1119" t="str">
            <v>COMPAQ DESKPRO EXD PIII 733</v>
          </cell>
          <cell r="C1119" t="str">
            <v>491-4337</v>
          </cell>
          <cell r="D1119" t="str">
            <v>8036FR4Z3711</v>
          </cell>
          <cell r="E1119" t="str">
            <v xml:space="preserve">WA </v>
          </cell>
          <cell r="F1119" t="str">
            <v xml:space="preserve">URBANIAK                 ZBIGNIEW       </v>
          </cell>
          <cell r="G1119" t="str">
            <v>U-2/3</v>
          </cell>
          <cell r="H1119" t="str">
            <v>315</v>
          </cell>
          <cell r="I1119" t="str">
            <v>11-40</v>
          </cell>
          <cell r="J1119" t="str">
            <v>1033</v>
          </cell>
          <cell r="K1119" t="str">
            <v/>
          </cell>
          <cell r="L1119" t="str">
            <v>733</v>
          </cell>
          <cell r="M1119" t="str">
            <v>NIE PODLACZONY</v>
          </cell>
          <cell r="N1119" t="str">
            <v/>
          </cell>
        </row>
        <row r="1120">
          <cell r="A1120" t="str">
            <v>STACJA ROBOCZA</v>
          </cell>
          <cell r="B1120" t="str">
            <v>NEC PMVT Desktop P III 450</v>
          </cell>
          <cell r="C1120" t="str">
            <v>491-3804</v>
          </cell>
          <cell r="D1120" t="str">
            <v>0233109</v>
          </cell>
          <cell r="E1120" t="str">
            <v xml:space="preserve">WA </v>
          </cell>
          <cell r="F1120" t="str">
            <v xml:space="preserve">PRZYSTAŚ                 WIESŁAW        </v>
          </cell>
          <cell r="G1120" t="str">
            <v>U-12</v>
          </cell>
          <cell r="H1120" t="str">
            <v>346</v>
          </cell>
          <cell r="I1120" t="str">
            <v>29-80</v>
          </cell>
          <cell r="J1120" t="str">
            <v>723</v>
          </cell>
          <cell r="K1120" t="str">
            <v>491-03804</v>
          </cell>
          <cell r="L1120" t="str">
            <v>450</v>
          </cell>
          <cell r="M1120" t="str">
            <v/>
          </cell>
          <cell r="N1120" t="str">
            <v>192</v>
          </cell>
        </row>
        <row r="1121">
          <cell r="A1121" t="str">
            <v>STACJA ROBOCZA</v>
          </cell>
          <cell r="B1121" t="str">
            <v>NEC PMVT Desktop P III 450</v>
          </cell>
          <cell r="C1121" t="str">
            <v>491-3805</v>
          </cell>
          <cell r="D1121" t="str">
            <v>0229109</v>
          </cell>
          <cell r="E1121" t="str">
            <v xml:space="preserve">WA </v>
          </cell>
          <cell r="F1121" t="str">
            <v xml:space="preserve">KUDAJ                    ANDRZEJ        </v>
          </cell>
          <cell r="G1121" t="str">
            <v>U-2</v>
          </cell>
          <cell r="H1121" t="str">
            <v>215</v>
          </cell>
          <cell r="I1121" t="str">
            <v>10-75</v>
          </cell>
          <cell r="J1121" t="str">
            <v>367</v>
          </cell>
          <cell r="K1121" t="str">
            <v>491-03805</v>
          </cell>
          <cell r="L1121" t="str">
            <v>450</v>
          </cell>
          <cell r="M1121" t="str">
            <v/>
          </cell>
          <cell r="N1121" t="str">
            <v>64</v>
          </cell>
        </row>
        <row r="1122">
          <cell r="A1122" t="str">
            <v>STACJA ROBOCZA</v>
          </cell>
          <cell r="B1122" t="str">
            <v>NEC PMVT Desktop P III 450</v>
          </cell>
          <cell r="C1122" t="str">
            <v>491-3787</v>
          </cell>
          <cell r="D1122" t="str">
            <v>0667109</v>
          </cell>
          <cell r="E1122" t="str">
            <v xml:space="preserve">WA </v>
          </cell>
          <cell r="F1122" t="str">
            <v xml:space="preserve">MAŁYSZA                  STANISŁAWA     </v>
          </cell>
          <cell r="G1122" t="str">
            <v>U-12</v>
          </cell>
          <cell r="H1122" t="str">
            <v>342</v>
          </cell>
          <cell r="I1122" t="str">
            <v>22-73</v>
          </cell>
          <cell r="J1122" t="str">
            <v>639</v>
          </cell>
          <cell r="K1122" t="str">
            <v>491-03787</v>
          </cell>
          <cell r="L1122" t="str">
            <v>450</v>
          </cell>
          <cell r="M1122" t="str">
            <v/>
          </cell>
          <cell r="N1122" t="str">
            <v>192</v>
          </cell>
        </row>
        <row r="1123">
          <cell r="A1123" t="str">
            <v>STACJA ROBOCZA</v>
          </cell>
          <cell r="B1123" t="str">
            <v>COMPAQ DESKPRO 2000 DT 5166 M1620</v>
          </cell>
          <cell r="C1123" t="str">
            <v>491-2920</v>
          </cell>
          <cell r="D1123" t="str">
            <v>8713HVU87114</v>
          </cell>
          <cell r="E1123" t="str">
            <v xml:space="preserve">WA </v>
          </cell>
          <cell r="F1123" t="str">
            <v xml:space="preserve">PRZYSTAŚ                 WIESŁAW        </v>
          </cell>
          <cell r="G1123" t="str">
            <v>U-12</v>
          </cell>
          <cell r="H1123" t="str">
            <v>346</v>
          </cell>
          <cell r="I1123" t="str">
            <v>29-80</v>
          </cell>
          <cell r="J1123" t="str">
            <v>723</v>
          </cell>
          <cell r="K1123" t="str">
            <v/>
          </cell>
          <cell r="L1123" t="str">
            <v>166</v>
          </cell>
          <cell r="M1123" t="str">
            <v>do wyjaśnienia</v>
          </cell>
          <cell r="N1123" t="str">
            <v/>
          </cell>
        </row>
        <row r="1124">
          <cell r="A1124" t="str">
            <v>STACJA ROBOCZA</v>
          </cell>
          <cell r="B1124" t="str">
            <v>COMPAQ DP2000/32/CD/RS422</v>
          </cell>
          <cell r="C1124" t="str">
            <v>491-3131</v>
          </cell>
          <cell r="D1124" t="str">
            <v>8742BK623819</v>
          </cell>
          <cell r="E1124" t="str">
            <v xml:space="preserve">WA </v>
          </cell>
          <cell r="F1124" t="str">
            <v xml:space="preserve">PRZYSTAŚ                 WIESŁAW        </v>
          </cell>
          <cell r="G1124" t="str">
            <v>U-12</v>
          </cell>
          <cell r="H1124" t="str">
            <v>346</v>
          </cell>
          <cell r="I1124" t="str">
            <v>29-80</v>
          </cell>
          <cell r="J1124" t="str">
            <v>723</v>
          </cell>
          <cell r="K1124" t="str">
            <v/>
          </cell>
          <cell r="L1124" t="str">
            <v>200</v>
          </cell>
          <cell r="M1124" t="str">
            <v>do wyjaśnienia</v>
          </cell>
          <cell r="N1124" t="str">
            <v/>
          </cell>
        </row>
        <row r="1125">
          <cell r="A1125" t="str">
            <v>STACJA ROBOCZA</v>
          </cell>
          <cell r="B1125" t="str">
            <v>DELL Optiplex GX260 SD</v>
          </cell>
          <cell r="C1125" t="str">
            <v>491-5036</v>
          </cell>
          <cell r="D1125" t="str">
            <v>DNPFL0J</v>
          </cell>
          <cell r="E1125" t="str">
            <v xml:space="preserve">WA </v>
          </cell>
          <cell r="F1125" t="str">
            <v xml:space="preserve">PRZYSTAŚ                 WIESŁAW        </v>
          </cell>
          <cell r="G1125" t="str">
            <v>U-12</v>
          </cell>
          <cell r="H1125" t="str">
            <v>346</v>
          </cell>
          <cell r="I1125" t="str">
            <v>29-80</v>
          </cell>
          <cell r="J1125" t="str">
            <v>723</v>
          </cell>
          <cell r="K1125" t="str">
            <v>491-05036</v>
          </cell>
          <cell r="L1125" t="str">
            <v>2400</v>
          </cell>
          <cell r="M1125" t="str">
            <v/>
          </cell>
          <cell r="N1125" t="str">
            <v>254</v>
          </cell>
        </row>
        <row r="1126">
          <cell r="A1126" t="str">
            <v>STACJA ROBOCZA</v>
          </cell>
          <cell r="B1126" t="str">
            <v>COMPAQ DESKPRO EXD PIII 733</v>
          </cell>
          <cell r="C1126" t="str">
            <v>491-4396</v>
          </cell>
          <cell r="D1126" t="str">
            <v>8036FR4ZE310</v>
          </cell>
          <cell r="E1126" t="str">
            <v xml:space="preserve">WA </v>
          </cell>
          <cell r="F1126" t="str">
            <v xml:space="preserve">ANTCZAK                  JERZY          </v>
          </cell>
          <cell r="G1126" t="str">
            <v>U-12</v>
          </cell>
          <cell r="H1126" t="str">
            <v>345</v>
          </cell>
          <cell r="I1126" t="str">
            <v>10-72</v>
          </cell>
          <cell r="J1126" t="str">
            <v>3</v>
          </cell>
          <cell r="K1126" t="str">
            <v>491-04396</v>
          </cell>
          <cell r="L1126" t="str">
            <v>733</v>
          </cell>
          <cell r="M1126" t="str">
            <v/>
          </cell>
          <cell r="N1126" t="str">
            <v>127</v>
          </cell>
        </row>
        <row r="1127">
          <cell r="A1127" t="str">
            <v>STACJA ROBOCZA</v>
          </cell>
          <cell r="B1127" t="str">
            <v>DELL Optiplex GX1L 266</v>
          </cell>
          <cell r="C1127" t="str">
            <v>491-3400</v>
          </cell>
          <cell r="D1127" t="str">
            <v>NM1D0</v>
          </cell>
          <cell r="E1127" t="str">
            <v xml:space="preserve">WA </v>
          </cell>
          <cell r="F1127" t="str">
            <v xml:space="preserve">JOŃCZYK                  PIOTR          </v>
          </cell>
          <cell r="G1127" t="str">
            <v>U-12</v>
          </cell>
          <cell r="H1127" t="str">
            <v>333</v>
          </cell>
          <cell r="I1127" t="str">
            <v>10-76</v>
          </cell>
          <cell r="J1127" t="str">
            <v>321</v>
          </cell>
          <cell r="K1127" t="str">
            <v>491-03400</v>
          </cell>
          <cell r="L1127" t="str">
            <v>266</v>
          </cell>
          <cell r="M1127" t="str">
            <v/>
          </cell>
          <cell r="N1127" t="str">
            <v>128</v>
          </cell>
        </row>
        <row r="1128">
          <cell r="A1128" t="str">
            <v>STACJA ROBOCZA</v>
          </cell>
          <cell r="B1128" t="str">
            <v>DELL Optiplex GX1L 266</v>
          </cell>
          <cell r="C1128" t="str">
            <v>491-3284</v>
          </cell>
          <cell r="D1128" t="str">
            <v>NM17N</v>
          </cell>
          <cell r="E1128" t="str">
            <v xml:space="preserve">WA </v>
          </cell>
          <cell r="F1128" t="str">
            <v xml:space="preserve">PRZYSTAŚ                 WIESŁAW        </v>
          </cell>
          <cell r="G1128" t="str">
            <v>U-12</v>
          </cell>
          <cell r="H1128" t="str">
            <v>346</v>
          </cell>
          <cell r="I1128" t="str">
            <v>29-80</v>
          </cell>
          <cell r="J1128" t="str">
            <v>723</v>
          </cell>
          <cell r="K1128" t="str">
            <v>491-03284</v>
          </cell>
          <cell r="L1128" t="str">
            <v>266</v>
          </cell>
          <cell r="M1128" t="str">
            <v/>
          </cell>
          <cell r="N1128" t="str">
            <v>256</v>
          </cell>
        </row>
        <row r="1129">
          <cell r="A1129" t="str">
            <v>STACJA ROBOCZA</v>
          </cell>
          <cell r="B1129" t="str">
            <v>KOMPUTER 386DX</v>
          </cell>
          <cell r="C1129" t="str">
            <v>491-2056</v>
          </cell>
          <cell r="D1129" t="str">
            <v>3625/043</v>
          </cell>
          <cell r="E1129" t="str">
            <v xml:space="preserve">WA </v>
          </cell>
          <cell r="F1129" t="str">
            <v xml:space="preserve">MARUSIAK                 BOLESŁAW       </v>
          </cell>
          <cell r="G1129" t="str">
            <v>BLOK 1-2</v>
          </cell>
          <cell r="H1129" t="str">
            <v>1</v>
          </cell>
          <cell r="I1129" t="str">
            <v>29-81,11-45</v>
          </cell>
          <cell r="J1129" t="str">
            <v>5500</v>
          </cell>
          <cell r="K1129" t="str">
            <v>491-02056</v>
          </cell>
          <cell r="L1129" t="str">
            <v>700</v>
          </cell>
          <cell r="M1129" t="str">
            <v/>
          </cell>
          <cell r="N1129" t="str">
            <v>256</v>
          </cell>
        </row>
        <row r="1130">
          <cell r="A1130" t="str">
            <v>STACJA ROBOCZA</v>
          </cell>
          <cell r="B1130" t="str">
            <v>COMPAQ DESKPRO EXD PIII 733</v>
          </cell>
          <cell r="C1130" t="str">
            <v>491-4430</v>
          </cell>
          <cell r="D1130" t="str">
            <v>8036FR4ZE276</v>
          </cell>
          <cell r="E1130" t="str">
            <v xml:space="preserve">WA </v>
          </cell>
          <cell r="F1130" t="str">
            <v xml:space="preserve">URBANIAK                 ZBIGNIEW       </v>
          </cell>
          <cell r="G1130" t="str">
            <v>U-2/3</v>
          </cell>
          <cell r="H1130" t="str">
            <v>315</v>
          </cell>
          <cell r="I1130" t="str">
            <v>11-40</v>
          </cell>
          <cell r="J1130" t="str">
            <v>1033</v>
          </cell>
          <cell r="K1130" t="str">
            <v>491-04430</v>
          </cell>
          <cell r="L1130" t="str">
            <v>733</v>
          </cell>
          <cell r="M1130" t="str">
            <v/>
          </cell>
          <cell r="N1130" t="str">
            <v>127</v>
          </cell>
        </row>
        <row r="1131">
          <cell r="A1131" t="str">
            <v>STACJA ROBOCZA</v>
          </cell>
          <cell r="B1131" t="str">
            <v>NEC PowerMate VT Destop P III 450</v>
          </cell>
          <cell r="C1131" t="str">
            <v>491-3870</v>
          </cell>
          <cell r="D1131" t="str">
            <v>0225109</v>
          </cell>
          <cell r="E1131" t="str">
            <v xml:space="preserve">WA </v>
          </cell>
          <cell r="F1131" t="str">
            <v xml:space="preserve">OTŁOWSKI                 MIROSŁAW       </v>
          </cell>
          <cell r="G1131" t="str">
            <v>BUE 7/8</v>
          </cell>
          <cell r="H1131" t="str">
            <v>22</v>
          </cell>
          <cell r="I1131" t="str">
            <v/>
          </cell>
          <cell r="J1131" t="str">
            <v>9354</v>
          </cell>
          <cell r="K1131" t="str">
            <v>491-03870</v>
          </cell>
          <cell r="L1131" t="str">
            <v>450</v>
          </cell>
          <cell r="M1131" t="str">
            <v/>
          </cell>
          <cell r="N1131" t="str">
            <v>256</v>
          </cell>
        </row>
        <row r="1132">
          <cell r="A1132" t="str">
            <v>STACJA ROBOCZA</v>
          </cell>
          <cell r="B1132" t="str">
            <v>KOMPUTER 386DX</v>
          </cell>
          <cell r="C1132" t="str">
            <v>491-2014</v>
          </cell>
          <cell r="D1132" t="str">
            <v>3622/043</v>
          </cell>
          <cell r="E1132" t="str">
            <v xml:space="preserve">WA </v>
          </cell>
          <cell r="F1132" t="str">
            <v xml:space="preserve">PRZYSTAŚ                 WIESŁAW        </v>
          </cell>
          <cell r="G1132" t="str">
            <v>U-12</v>
          </cell>
          <cell r="H1132" t="str">
            <v>346</v>
          </cell>
          <cell r="I1132" t="str">
            <v>29-80</v>
          </cell>
          <cell r="J1132" t="str">
            <v>723</v>
          </cell>
          <cell r="K1132" t="str">
            <v>491-02014</v>
          </cell>
          <cell r="L1132" t="str">
            <v>550</v>
          </cell>
          <cell r="M1132" t="str">
            <v/>
          </cell>
          <cell r="N1132" t="str">
            <v>256</v>
          </cell>
        </row>
        <row r="1133">
          <cell r="A1133" t="str">
            <v>STACJA ROBOCZA</v>
          </cell>
          <cell r="B1133" t="str">
            <v>NEC PowerMate VT Destop P III 450</v>
          </cell>
          <cell r="C1133" t="str">
            <v>491-4013</v>
          </cell>
          <cell r="D1133" t="str">
            <v>0169109</v>
          </cell>
          <cell r="E1133" t="str">
            <v xml:space="preserve">WA </v>
          </cell>
          <cell r="F1133" t="str">
            <v xml:space="preserve">WOŹNIAK                  MARIUSZ        </v>
          </cell>
          <cell r="G1133" t="str">
            <v>U-12</v>
          </cell>
          <cell r="H1133" t="str">
            <v>334A</v>
          </cell>
          <cell r="I1133" t="str">
            <v>10-85</v>
          </cell>
          <cell r="J1133" t="str">
            <v>9163</v>
          </cell>
          <cell r="K1133" t="str">
            <v>491-04013</v>
          </cell>
          <cell r="L1133" t="str">
            <v>450</v>
          </cell>
          <cell r="M1133" t="str">
            <v/>
          </cell>
          <cell r="N1133" t="str">
            <v>192</v>
          </cell>
        </row>
        <row r="1134">
          <cell r="A1134" t="str">
            <v>NOTEBOOK</v>
          </cell>
          <cell r="B1134" t="str">
            <v>Dell Latitude</v>
          </cell>
          <cell r="C1134" t="str">
            <v>491-3336</v>
          </cell>
          <cell r="D1134" t="str">
            <v>Z53KD</v>
          </cell>
          <cell r="E1134" t="str">
            <v xml:space="preserve">WA </v>
          </cell>
          <cell r="F1134" t="str">
            <v xml:space="preserve">ANTCZAK                  JERZY          </v>
          </cell>
          <cell r="G1134" t="str">
            <v>U-12</v>
          </cell>
          <cell r="H1134" t="str">
            <v>345</v>
          </cell>
          <cell r="I1134" t="str">
            <v>10-72</v>
          </cell>
          <cell r="J1134" t="str">
            <v>3</v>
          </cell>
          <cell r="K1134" t="str">
            <v>491-03336</v>
          </cell>
          <cell r="L1134" t="str">
            <v>233</v>
          </cell>
          <cell r="M1134" t="str">
            <v/>
          </cell>
          <cell r="N1134" t="str">
            <v>96</v>
          </cell>
        </row>
        <row r="1135">
          <cell r="A1135" t="str">
            <v>STACJA ROBOCZA</v>
          </cell>
          <cell r="B1135" t="str">
            <v>KOMPUTER 486DX</v>
          </cell>
          <cell r="C1135" t="str">
            <v>491-1620/8833</v>
          </cell>
          <cell r="D1135" t="str">
            <v>8833/114</v>
          </cell>
          <cell r="E1135" t="str">
            <v xml:space="preserve">WA </v>
          </cell>
          <cell r="F1135" t="str">
            <v xml:space="preserve">PASZEWSKI                ANDRZEJ        </v>
          </cell>
          <cell r="G1135" t="str">
            <v>BLOK 5</v>
          </cell>
          <cell r="H1135" t="str">
            <v>MISTRZOWKA</v>
          </cell>
          <cell r="I1135" t="str">
            <v>29-85</v>
          </cell>
          <cell r="J1135" t="str">
            <v>2155</v>
          </cell>
          <cell r="K1135" t="str">
            <v>491-01620-8833</v>
          </cell>
          <cell r="L1135" t="str">
            <v>366</v>
          </cell>
          <cell r="M1135" t="str">
            <v/>
          </cell>
          <cell r="N1135" t="str">
            <v>64</v>
          </cell>
        </row>
        <row r="1136">
          <cell r="A1136" t="str">
            <v>STACJA ROBOCZA</v>
          </cell>
          <cell r="B1136" t="str">
            <v>DELL Optiplex GX1MT 350</v>
          </cell>
          <cell r="C1136" t="str">
            <v>491-3502</v>
          </cell>
          <cell r="D1136" t="str">
            <v>PKN3Q</v>
          </cell>
          <cell r="E1136" t="str">
            <v xml:space="preserve">WA </v>
          </cell>
          <cell r="F1136" t="str">
            <v xml:space="preserve">MAJZNER                  ROMUALD        </v>
          </cell>
          <cell r="G1136" t="str">
            <v>U-12</v>
          </cell>
          <cell r="H1136" t="str">
            <v>344</v>
          </cell>
          <cell r="I1136" t="str">
            <v>10-74</v>
          </cell>
          <cell r="J1136" t="str">
            <v>613</v>
          </cell>
          <cell r="K1136" t="str">
            <v>491-03502</v>
          </cell>
          <cell r="L1136" t="str">
            <v>350</v>
          </cell>
          <cell r="M1136" t="str">
            <v/>
          </cell>
          <cell r="N1136" t="str">
            <v>128</v>
          </cell>
        </row>
        <row r="1137">
          <cell r="A1137" t="str">
            <v>STACJA ROBOCZA</v>
          </cell>
          <cell r="B1137" t="str">
            <v>DELL Optiplex GX1L 266</v>
          </cell>
          <cell r="C1137" t="str">
            <v>491-3316</v>
          </cell>
          <cell r="D1137" t="str">
            <v>NM188</v>
          </cell>
          <cell r="E1137" t="str">
            <v xml:space="preserve">WA </v>
          </cell>
          <cell r="F1137" t="str">
            <v xml:space="preserve">PECYNA                   BOLESŁAW       </v>
          </cell>
          <cell r="G1137" t="str">
            <v>U-12</v>
          </cell>
          <cell r="H1137" t="str">
            <v>344</v>
          </cell>
          <cell r="I1137" t="str">
            <v>19-82</v>
          </cell>
          <cell r="J1137" t="str">
            <v>7262</v>
          </cell>
          <cell r="K1137" t="str">
            <v>491-03316</v>
          </cell>
          <cell r="L1137" t="str">
            <v>266</v>
          </cell>
          <cell r="M1137" t="str">
            <v/>
          </cell>
          <cell r="N1137" t="str">
            <v>256</v>
          </cell>
        </row>
        <row r="1138">
          <cell r="A1138" t="str">
            <v>STACJA ROBOCZA</v>
          </cell>
          <cell r="B1138" t="str">
            <v>DELL Optiplex GX1MT 350</v>
          </cell>
          <cell r="C1138" t="str">
            <v>491-3501</v>
          </cell>
          <cell r="D1138" t="str">
            <v>PKN3S</v>
          </cell>
          <cell r="E1138" t="str">
            <v xml:space="preserve">WA </v>
          </cell>
          <cell r="F1138" t="str">
            <v xml:space="preserve">MALAŃSKI                 HENRYK         </v>
          </cell>
          <cell r="G1138" t="str">
            <v>U-2</v>
          </cell>
          <cell r="H1138" t="str">
            <v>215</v>
          </cell>
          <cell r="I1138" t="str">
            <v>11-75</v>
          </cell>
          <cell r="J1138" t="str">
            <v>635</v>
          </cell>
          <cell r="K1138" t="str">
            <v>491-03501</v>
          </cell>
          <cell r="L1138" t="str">
            <v>350</v>
          </cell>
          <cell r="M1138" t="str">
            <v/>
          </cell>
          <cell r="N1138" t="str">
            <v>64</v>
          </cell>
        </row>
        <row r="1139">
          <cell r="A1139" t="str">
            <v>NOTEBOOK</v>
          </cell>
          <cell r="B1139" t="str">
            <v>Dell Latitude</v>
          </cell>
          <cell r="C1139" t="str">
            <v>491-3340</v>
          </cell>
          <cell r="D1139" t="str">
            <v>Z54C0</v>
          </cell>
          <cell r="E1139" t="str">
            <v xml:space="preserve">WA </v>
          </cell>
          <cell r="F1139" t="str">
            <v xml:space="preserve">BORUTA                   TOMASZ         </v>
          </cell>
          <cell r="G1139" t="str">
            <v>U-12</v>
          </cell>
          <cell r="H1139" t="str">
            <v>333</v>
          </cell>
          <cell r="I1139" t="str">
            <v>22-46</v>
          </cell>
          <cell r="J1139" t="str">
            <v>92</v>
          </cell>
          <cell r="K1139" t="str">
            <v/>
          </cell>
          <cell r="L1139" t="str">
            <v>233</v>
          </cell>
          <cell r="M1139" t="str">
            <v/>
          </cell>
          <cell r="N1139" t="str">
            <v/>
          </cell>
        </row>
        <row r="1140">
          <cell r="A1140" t="str">
            <v>STACJA ROBOCZA</v>
          </cell>
          <cell r="B1140" t="str">
            <v>COMPAQ DESKPRO EXD PIII 733</v>
          </cell>
          <cell r="C1140" t="str">
            <v>491-4399</v>
          </cell>
          <cell r="D1140" t="str">
            <v>8036FR4Z3701</v>
          </cell>
          <cell r="E1140" t="str">
            <v xml:space="preserve">WB </v>
          </cell>
          <cell r="F1140" t="str">
            <v xml:space="preserve">PLAMINIAK                TADEUSZ        </v>
          </cell>
          <cell r="G1140" t="str">
            <v>U-14/1</v>
          </cell>
          <cell r="H1140" t="str">
            <v>10</v>
          </cell>
          <cell r="I1140" t="str">
            <v>15-58</v>
          </cell>
          <cell r="J1140" t="str">
            <v>763</v>
          </cell>
          <cell r="K1140" t="str">
            <v>491-04399</v>
          </cell>
          <cell r="L1140" t="str">
            <v>733</v>
          </cell>
          <cell r="M1140" t="str">
            <v/>
          </cell>
          <cell r="N1140" t="str">
            <v>127</v>
          </cell>
        </row>
        <row r="1141">
          <cell r="A1141" t="str">
            <v>STACJA ROBOCZA</v>
          </cell>
          <cell r="B1141" t="str">
            <v>DELL Optiplex GX150</v>
          </cell>
          <cell r="C1141" t="str">
            <v>491-4880</v>
          </cell>
          <cell r="D1141" t="str">
            <v>7K3Y60J</v>
          </cell>
          <cell r="E1141" t="str">
            <v xml:space="preserve">WB </v>
          </cell>
          <cell r="F1141" t="str">
            <v xml:space="preserve">GĄTAREK                  STANISŁAW      </v>
          </cell>
          <cell r="G1141" t="str">
            <v>U-14/1</v>
          </cell>
          <cell r="H1141" t="str">
            <v>11</v>
          </cell>
          <cell r="I1141" t="str">
            <v>15-19</v>
          </cell>
          <cell r="J1141" t="str">
            <v>264</v>
          </cell>
          <cell r="K1141" t="str">
            <v>491-04880</v>
          </cell>
          <cell r="L1141" t="str">
            <v>1000</v>
          </cell>
          <cell r="M1141" t="str">
            <v/>
          </cell>
          <cell r="N1141" t="str">
            <v>255</v>
          </cell>
        </row>
        <row r="1142">
          <cell r="A1142" t="str">
            <v>STACJA ROBOCZA</v>
          </cell>
          <cell r="B1142" t="str">
            <v>DELL Optiplex GX150</v>
          </cell>
          <cell r="C1142" t="str">
            <v>491-4677</v>
          </cell>
          <cell r="D1142" t="str">
            <v>18QX60J</v>
          </cell>
          <cell r="E1142" t="str">
            <v xml:space="preserve">WB </v>
          </cell>
          <cell r="F1142" t="str">
            <v xml:space="preserve">RYCHLIK                  ADAM           </v>
          </cell>
          <cell r="G1142" t="str">
            <v>U-14/1</v>
          </cell>
          <cell r="H1142" t="str">
            <v>8</v>
          </cell>
          <cell r="I1142" t="str">
            <v>10-09</v>
          </cell>
          <cell r="J1142" t="str">
            <v>840</v>
          </cell>
          <cell r="K1142" t="str">
            <v>491-04677</v>
          </cell>
          <cell r="L1142" t="str">
            <v>1000</v>
          </cell>
          <cell r="M1142" t="str">
            <v/>
          </cell>
          <cell r="N1142" t="str">
            <v>255</v>
          </cell>
        </row>
        <row r="1143">
          <cell r="A1143" t="str">
            <v>STACJA ROBOCZA</v>
          </cell>
          <cell r="B1143" t="str">
            <v>COMPAQ DESKPRO EXD PIII 733</v>
          </cell>
          <cell r="C1143" t="str">
            <v>491-4285</v>
          </cell>
          <cell r="D1143" t="str">
            <v>8036FR4Z6675</v>
          </cell>
          <cell r="E1143" t="str">
            <v xml:space="preserve">WB </v>
          </cell>
          <cell r="F1143" t="str">
            <v xml:space="preserve">PLAMINIAK                TADEUSZ        </v>
          </cell>
          <cell r="G1143" t="str">
            <v>U-14/1</v>
          </cell>
          <cell r="H1143" t="str">
            <v>10</v>
          </cell>
          <cell r="I1143" t="str">
            <v>15-58</v>
          </cell>
          <cell r="J1143" t="str">
            <v>763</v>
          </cell>
          <cell r="K1143" t="str">
            <v>491-04285</v>
          </cell>
          <cell r="L1143" t="str">
            <v>733</v>
          </cell>
          <cell r="M1143" t="str">
            <v/>
          </cell>
          <cell r="N1143" t="str">
            <v>127</v>
          </cell>
        </row>
        <row r="1144">
          <cell r="A1144" t="str">
            <v>STACJA ROBOCZA</v>
          </cell>
          <cell r="B1144" t="str">
            <v>DELL Optiplex GX150</v>
          </cell>
          <cell r="C1144" t="str">
            <v>491-4832</v>
          </cell>
          <cell r="D1144" t="str">
            <v>G9QX60J</v>
          </cell>
          <cell r="E1144" t="str">
            <v xml:space="preserve">WB </v>
          </cell>
          <cell r="F1144" t="str">
            <v xml:space="preserve">PŁOMIŃSKA                HALINA         </v>
          </cell>
          <cell r="G1144" t="str">
            <v>U-14/1</v>
          </cell>
          <cell r="H1144" t="str">
            <v>9</v>
          </cell>
          <cell r="I1144" t="str">
            <v>22-94</v>
          </cell>
          <cell r="J1144" t="str">
            <v>748</v>
          </cell>
          <cell r="K1144" t="str">
            <v>491-04832</v>
          </cell>
          <cell r="L1144" t="str">
            <v>1000</v>
          </cell>
          <cell r="M1144" t="str">
            <v/>
          </cell>
          <cell r="N1144" t="str">
            <v>255</v>
          </cell>
        </row>
        <row r="1145">
          <cell r="A1145" t="str">
            <v>STACJA ROBOCZA</v>
          </cell>
          <cell r="B1145" t="str">
            <v>COMPAQ DESKPRO EXD PIII 733</v>
          </cell>
          <cell r="C1145" t="str">
            <v>491-4446</v>
          </cell>
          <cell r="D1145" t="str">
            <v>8036FR4Z6068</v>
          </cell>
          <cell r="E1145" t="str">
            <v xml:space="preserve">WB </v>
          </cell>
          <cell r="F1145" t="str">
            <v xml:space="preserve">GĄTAREK                  STANISŁAW      </v>
          </cell>
          <cell r="G1145" t="str">
            <v>U-14/1</v>
          </cell>
          <cell r="H1145" t="str">
            <v>11</v>
          </cell>
          <cell r="I1145" t="str">
            <v>15-19</v>
          </cell>
          <cell r="J1145" t="str">
            <v>264</v>
          </cell>
          <cell r="K1145" t="str">
            <v>491-04446</v>
          </cell>
          <cell r="L1145" t="str">
            <v>733</v>
          </cell>
          <cell r="M1145" t="str">
            <v/>
          </cell>
          <cell r="N1145" t="str">
            <v>127</v>
          </cell>
        </row>
        <row r="1146">
          <cell r="A1146" t="str">
            <v>STACJA ROBOCZA</v>
          </cell>
          <cell r="B1146" t="str">
            <v>NEC PowerMate VT P III 550</v>
          </cell>
          <cell r="C1146" t="str">
            <v>491-4159</v>
          </cell>
          <cell r="D1146" t="str">
            <v>1149040</v>
          </cell>
          <cell r="E1146" t="str">
            <v xml:space="preserve">WB </v>
          </cell>
          <cell r="F1146" t="str">
            <v xml:space="preserve">PLAMINIAK                TADEUSZ        </v>
          </cell>
          <cell r="G1146" t="str">
            <v>U-14/1</v>
          </cell>
          <cell r="H1146" t="str">
            <v>10</v>
          </cell>
          <cell r="I1146" t="str">
            <v>15-58</v>
          </cell>
          <cell r="J1146" t="str">
            <v>763</v>
          </cell>
          <cell r="K1146" t="str">
            <v>491-04159</v>
          </cell>
          <cell r="L1146" t="str">
            <v>550</v>
          </cell>
          <cell r="M1146" t="str">
            <v/>
          </cell>
          <cell r="N1146" t="str">
            <v>64</v>
          </cell>
        </row>
        <row r="1147">
          <cell r="A1147" t="str">
            <v>STACJA ROBOCZA</v>
          </cell>
          <cell r="B1147" t="str">
            <v>DELL Optiplex GX150</v>
          </cell>
          <cell r="C1147" t="str">
            <v>491-4881</v>
          </cell>
          <cell r="D1147" t="str">
            <v>BL3Y60J</v>
          </cell>
          <cell r="E1147" t="str">
            <v xml:space="preserve">WB </v>
          </cell>
          <cell r="F1147" t="str">
            <v xml:space="preserve">PLAMINIAK                TADEUSZ        </v>
          </cell>
          <cell r="G1147" t="str">
            <v>U-14/1</v>
          </cell>
          <cell r="H1147" t="str">
            <v>10</v>
          </cell>
          <cell r="I1147" t="str">
            <v>15-58</v>
          </cell>
          <cell r="J1147" t="str">
            <v>763</v>
          </cell>
          <cell r="K1147" t="str">
            <v>491-04881</v>
          </cell>
          <cell r="L1147" t="str">
            <v>1000</v>
          </cell>
          <cell r="M1147" t="str">
            <v/>
          </cell>
          <cell r="N1147" t="str">
            <v>255</v>
          </cell>
        </row>
        <row r="1148">
          <cell r="A1148" t="str">
            <v>STACJA ROBOCZA</v>
          </cell>
          <cell r="B1148" t="str">
            <v>DELL Optiplex GX150</v>
          </cell>
          <cell r="C1148" t="str">
            <v>491-4882</v>
          </cell>
          <cell r="D1148" t="str">
            <v>HJ3Y60J</v>
          </cell>
          <cell r="E1148" t="str">
            <v xml:space="preserve">WB </v>
          </cell>
          <cell r="F1148" t="str">
            <v xml:space="preserve">LASOŃ                    ZBIGNIEW       </v>
          </cell>
          <cell r="G1148" t="str">
            <v>U-14/1</v>
          </cell>
          <cell r="H1148" t="str">
            <v>8</v>
          </cell>
          <cell r="I1148" t="str">
            <v>22-80</v>
          </cell>
          <cell r="J1148" t="str">
            <v>9279</v>
          </cell>
          <cell r="K1148" t="str">
            <v>491-04882</v>
          </cell>
          <cell r="L1148" t="str">
            <v>1000</v>
          </cell>
          <cell r="M1148" t="str">
            <v/>
          </cell>
          <cell r="N1148" t="str">
            <v>255</v>
          </cell>
        </row>
        <row r="1149">
          <cell r="A1149" t="str">
            <v>STACJA ROBOCZA</v>
          </cell>
          <cell r="B1149" t="str">
            <v>COMPAQ DESKPRO EXD PIII 733</v>
          </cell>
          <cell r="C1149" t="str">
            <v>491-4518</v>
          </cell>
          <cell r="D1149" t="str">
            <v>8036FR4ZE263</v>
          </cell>
          <cell r="E1149" t="str">
            <v xml:space="preserve">WB </v>
          </cell>
          <cell r="F1149" t="str">
            <v xml:space="preserve">PLAMINIAK                TADEUSZ        </v>
          </cell>
          <cell r="G1149" t="str">
            <v>U-14/1</v>
          </cell>
          <cell r="H1149" t="str">
            <v>10</v>
          </cell>
          <cell r="I1149" t="str">
            <v>15-58</v>
          </cell>
          <cell r="J1149" t="str">
            <v>763</v>
          </cell>
          <cell r="K1149" t="str">
            <v>491-04518</v>
          </cell>
          <cell r="L1149" t="str">
            <v>733</v>
          </cell>
          <cell r="M1149" t="str">
            <v/>
          </cell>
          <cell r="N1149" t="str">
            <v>127</v>
          </cell>
        </row>
        <row r="1150">
          <cell r="A1150" t="str">
            <v>STACJA ROBOCZA</v>
          </cell>
          <cell r="B1150" t="str">
            <v>COMPAQ DESKPRO EXD PIII 733</v>
          </cell>
          <cell r="C1150" t="str">
            <v>491-4257</v>
          </cell>
          <cell r="D1150" t="str">
            <v>8036FR4ZE581</v>
          </cell>
          <cell r="E1150" t="str">
            <v xml:space="preserve">WB </v>
          </cell>
          <cell r="F1150" t="str">
            <v xml:space="preserve">PLAMINIAK                TADEUSZ        </v>
          </cell>
          <cell r="G1150" t="str">
            <v>U-14/1</v>
          </cell>
          <cell r="H1150" t="str">
            <v>10</v>
          </cell>
          <cell r="I1150" t="str">
            <v>15-58</v>
          </cell>
          <cell r="J1150" t="str">
            <v>763</v>
          </cell>
          <cell r="K1150" t="str">
            <v>491-04257</v>
          </cell>
          <cell r="L1150" t="str">
            <v>733</v>
          </cell>
          <cell r="M1150" t="str">
            <v/>
          </cell>
          <cell r="N1150" t="str">
            <v>127</v>
          </cell>
        </row>
        <row r="1151">
          <cell r="A1151" t="str">
            <v>STACJA ROBOCZA</v>
          </cell>
          <cell r="B1151" t="str">
            <v>DELL Optiplex GX150</v>
          </cell>
          <cell r="C1151" t="str">
            <v>491-4759</v>
          </cell>
          <cell r="D1151" t="str">
            <v>78QX60J</v>
          </cell>
          <cell r="E1151" t="str">
            <v xml:space="preserve">WB </v>
          </cell>
          <cell r="F1151" t="str">
            <v xml:space="preserve">KOŁOMAK                  ELŻBIETA       </v>
          </cell>
          <cell r="G1151" t="str">
            <v>U-14</v>
          </cell>
          <cell r="H1151" t="str">
            <v>39</v>
          </cell>
          <cell r="I1151" t="str">
            <v>22-94</v>
          </cell>
          <cell r="J1151" t="str">
            <v>385</v>
          </cell>
          <cell r="K1151" t="str">
            <v>491-04759</v>
          </cell>
          <cell r="L1151" t="str">
            <v>1000</v>
          </cell>
          <cell r="M1151" t="str">
            <v/>
          </cell>
          <cell r="N1151" t="str">
            <v>255</v>
          </cell>
        </row>
        <row r="1152">
          <cell r="A1152" t="str">
            <v>STACJA ROBOCZA</v>
          </cell>
          <cell r="B1152" t="str">
            <v>NEC PowerMate VT P III 550</v>
          </cell>
          <cell r="C1152" t="str">
            <v>491-4154</v>
          </cell>
          <cell r="D1152" t="str">
            <v>1167040</v>
          </cell>
          <cell r="E1152" t="str">
            <v xml:space="preserve">WB </v>
          </cell>
          <cell r="F1152" t="str">
            <v xml:space="preserve">PLAMINIAK                TADEUSZ        </v>
          </cell>
          <cell r="G1152" t="str">
            <v>U-14/1</v>
          </cell>
          <cell r="H1152" t="str">
            <v>10</v>
          </cell>
          <cell r="I1152" t="str">
            <v>15-58</v>
          </cell>
          <cell r="J1152" t="str">
            <v>763</v>
          </cell>
          <cell r="K1152" t="str">
            <v>491-04154</v>
          </cell>
          <cell r="L1152" t="str">
            <v>550</v>
          </cell>
          <cell r="M1152" t="str">
            <v/>
          </cell>
          <cell r="N1152" t="str">
            <v>64</v>
          </cell>
        </row>
        <row r="1153">
          <cell r="A1153" t="str">
            <v>STACJA ROBOCZA</v>
          </cell>
          <cell r="B1153" t="str">
            <v>DELL Optiplex GX150</v>
          </cell>
          <cell r="C1153" t="str">
            <v>491-4682</v>
          </cell>
          <cell r="D1153" t="str">
            <v>3BQX60J</v>
          </cell>
          <cell r="E1153" t="str">
            <v xml:space="preserve">WD </v>
          </cell>
          <cell r="F1153" t="str">
            <v xml:space="preserve">ZATOŃ                    KAZIMIERZ      </v>
          </cell>
          <cell r="G1153" t="str">
            <v>U-14</v>
          </cell>
          <cell r="H1153" t="str">
            <v>DIRE</v>
          </cell>
          <cell r="I1153" t="str">
            <v>10-00</v>
          </cell>
          <cell r="J1153" t="str">
            <v>1139</v>
          </cell>
          <cell r="K1153" t="str">
            <v>491-04682</v>
          </cell>
          <cell r="L1153" t="str">
            <v>1000</v>
          </cell>
          <cell r="M1153" t="str">
            <v/>
          </cell>
          <cell r="N1153" t="str">
            <v>255</v>
          </cell>
        </row>
        <row r="1154">
          <cell r="A1154" t="str">
            <v>STACJA ROBOCZA</v>
          </cell>
          <cell r="B1154" t="str">
            <v>COMPAQ DESKPRO EXD PIII 733</v>
          </cell>
          <cell r="C1154" t="str">
            <v>491-4487</v>
          </cell>
          <cell r="D1154" t="str">
            <v>8036FR4ZE561</v>
          </cell>
          <cell r="E1154" t="str">
            <v xml:space="preserve">WE </v>
          </cell>
          <cell r="F1154" t="str">
            <v xml:space="preserve">ROGOZIŃSKI               STANISŁAW      </v>
          </cell>
          <cell r="G1154" t="str">
            <v>U-3</v>
          </cell>
          <cell r="H1154" t="str">
            <v>104A</v>
          </cell>
          <cell r="I1154" t="str">
            <v>17-29 35-90</v>
          </cell>
          <cell r="J1154" t="str">
            <v>836</v>
          </cell>
          <cell r="K1154" t="str">
            <v>491-04487</v>
          </cell>
          <cell r="L1154" t="str">
            <v>733</v>
          </cell>
          <cell r="M1154" t="str">
            <v/>
          </cell>
          <cell r="N1154" t="str">
            <v>127</v>
          </cell>
        </row>
        <row r="1155">
          <cell r="A1155" t="str">
            <v>STACJA ROBOCZA</v>
          </cell>
          <cell r="B1155" t="str">
            <v>KOMPUTER PC/AT</v>
          </cell>
          <cell r="C1155" t="str">
            <v>491-1620/K002</v>
          </cell>
          <cell r="D1155" t="str">
            <v>0B23A</v>
          </cell>
          <cell r="E1155" t="str">
            <v xml:space="preserve">WE </v>
          </cell>
          <cell r="F1155" t="str">
            <v xml:space="preserve">KUSTRA                   JACEK          </v>
          </cell>
          <cell r="G1155" t="str">
            <v>BLOK 5-6</v>
          </cell>
          <cell r="H1155" t="str">
            <v>DYŻ.ELEKTR.</v>
          </cell>
          <cell r="I1155" t="str">
            <v>10-86</v>
          </cell>
          <cell r="J1155" t="str">
            <v>9325</v>
          </cell>
          <cell r="K1155" t="str">
            <v/>
          </cell>
          <cell r="L1155" t="str">
            <v>0</v>
          </cell>
          <cell r="M1155" t="str">
            <v>AKTUALNIE JEST BEZ SIECI</v>
          </cell>
          <cell r="N1155" t="str">
            <v/>
          </cell>
        </row>
        <row r="1156">
          <cell r="A1156" t="str">
            <v>STACJA ROBOCZA</v>
          </cell>
          <cell r="B1156" t="str">
            <v>COMPAQ DESKPRO EXD PIII 733</v>
          </cell>
          <cell r="C1156" t="str">
            <v>491-4274</v>
          </cell>
          <cell r="D1156" t="str">
            <v>8036FR4ZE422</v>
          </cell>
          <cell r="E1156" t="str">
            <v xml:space="preserve">WE </v>
          </cell>
          <cell r="F1156" t="str">
            <v xml:space="preserve">NIEWIERSKI               ROBERT         </v>
          </cell>
          <cell r="G1156" t="str">
            <v>U-3</v>
          </cell>
          <cell r="H1156" t="str">
            <v>104</v>
          </cell>
          <cell r="I1156" t="str">
            <v>17-13</v>
          </cell>
          <cell r="J1156" t="str">
            <v>9494</v>
          </cell>
          <cell r="K1156" t="str">
            <v>491-04274</v>
          </cell>
          <cell r="L1156" t="str">
            <v>733</v>
          </cell>
          <cell r="M1156" t="str">
            <v/>
          </cell>
          <cell r="N1156" t="str">
            <v>127</v>
          </cell>
        </row>
        <row r="1157">
          <cell r="A1157" t="str">
            <v>STACJA ROBOCZA</v>
          </cell>
          <cell r="B1157" t="str">
            <v>COMPAQ DESKPRO EXD PIII 733</v>
          </cell>
          <cell r="C1157" t="str">
            <v>491-4465</v>
          </cell>
          <cell r="D1157" t="str">
            <v>8036FR4ZE400</v>
          </cell>
          <cell r="E1157" t="str">
            <v xml:space="preserve">WE </v>
          </cell>
          <cell r="F1157" t="str">
            <v xml:space="preserve">ORŁOWSKA                 ANNA           </v>
          </cell>
          <cell r="G1157" t="str">
            <v>U-3</v>
          </cell>
          <cell r="H1157" t="str">
            <v>109A</v>
          </cell>
          <cell r="I1157" t="str">
            <v>17-10</v>
          </cell>
          <cell r="J1157" t="str">
            <v>788</v>
          </cell>
          <cell r="K1157" t="str">
            <v>491-04465</v>
          </cell>
          <cell r="L1157" t="str">
            <v>733</v>
          </cell>
          <cell r="M1157" t="str">
            <v/>
          </cell>
          <cell r="N1157" t="str">
            <v>127</v>
          </cell>
        </row>
        <row r="1158">
          <cell r="A1158" t="str">
            <v>STACJA ROBOCZA</v>
          </cell>
          <cell r="B1158" t="str">
            <v>OPTIMUS 386DX</v>
          </cell>
          <cell r="C1158" t="str">
            <v>491-2031</v>
          </cell>
          <cell r="D1158" t="str">
            <v>AMI5650116</v>
          </cell>
          <cell r="E1158" t="str">
            <v xml:space="preserve">WE </v>
          </cell>
          <cell r="F1158" t="str">
            <v xml:space="preserve">DĘBSKI                   EUGENIUSZ      </v>
          </cell>
          <cell r="G1158" t="str">
            <v>U-14</v>
          </cell>
          <cell r="H1158" t="str">
            <v>404</v>
          </cell>
          <cell r="I1158" t="str">
            <v>17-10</v>
          </cell>
          <cell r="J1158" t="str">
            <v>154</v>
          </cell>
          <cell r="K1158" t="str">
            <v/>
          </cell>
          <cell r="L1158" t="str">
            <v>0</v>
          </cell>
          <cell r="M1158" t="str">
            <v>siec wydzielona</v>
          </cell>
          <cell r="N1158" t="str">
            <v/>
          </cell>
        </row>
        <row r="1159">
          <cell r="A1159" t="str">
            <v>STACJA ROBOCZA</v>
          </cell>
          <cell r="B1159" t="str">
            <v>ZENITH Z STATION P166</v>
          </cell>
          <cell r="C1159" t="str">
            <v>491-3099</v>
          </cell>
          <cell r="D1159" t="str">
            <v>GVDD72905448</v>
          </cell>
          <cell r="E1159" t="str">
            <v xml:space="preserve">WE </v>
          </cell>
          <cell r="F1159" t="str">
            <v xml:space="preserve">CHWASTOWSKI              MARIAN         </v>
          </cell>
          <cell r="G1159" t="str">
            <v>U-14</v>
          </cell>
          <cell r="H1159" t="str">
            <v>405</v>
          </cell>
          <cell r="I1159" t="str">
            <v>17-02</v>
          </cell>
          <cell r="J1159" t="str">
            <v>3094</v>
          </cell>
          <cell r="K1159" t="str">
            <v/>
          </cell>
          <cell r="L1159" t="str">
            <v>166</v>
          </cell>
          <cell r="M1159" t="str">
            <v>OK58J</v>
          </cell>
          <cell r="N1159" t="str">
            <v/>
          </cell>
        </row>
        <row r="1160">
          <cell r="A1160" t="str">
            <v>STACJA ROBOCZA</v>
          </cell>
          <cell r="B1160" t="str">
            <v>DELL Optiplex GX1L 350</v>
          </cell>
          <cell r="C1160" t="str">
            <v>491-3524</v>
          </cell>
          <cell r="D1160" t="str">
            <v>PKGNX</v>
          </cell>
          <cell r="E1160" t="str">
            <v xml:space="preserve">WE </v>
          </cell>
          <cell r="F1160" t="str">
            <v xml:space="preserve">PIOTROWSKI               ARKADIUSZ      </v>
          </cell>
          <cell r="G1160" t="str">
            <v>U-14</v>
          </cell>
          <cell r="H1160" t="str">
            <v>508</v>
          </cell>
          <cell r="I1160" t="str">
            <v>13-44</v>
          </cell>
          <cell r="J1160" t="str">
            <v>9295</v>
          </cell>
          <cell r="K1160" t="str">
            <v>491-03524</v>
          </cell>
          <cell r="L1160" t="str">
            <v>350</v>
          </cell>
          <cell r="M1160" t="str">
            <v/>
          </cell>
          <cell r="N1160" t="str">
            <v>128</v>
          </cell>
        </row>
        <row r="1161">
          <cell r="A1161" t="str">
            <v>STACJA ROBOCZA</v>
          </cell>
          <cell r="B1161" t="str">
            <v>ZENITH Z STATION P166</v>
          </cell>
          <cell r="C1161" t="str">
            <v>491-3100</v>
          </cell>
          <cell r="D1161" t="str">
            <v>GVDD72905431</v>
          </cell>
          <cell r="E1161" t="str">
            <v xml:space="preserve">WE </v>
          </cell>
          <cell r="F1161" t="str">
            <v xml:space="preserve">KOSTUSIAK                EDWARD         </v>
          </cell>
          <cell r="G1161" t="str">
            <v>U-12</v>
          </cell>
          <cell r="H1161" t="str">
            <v>302</v>
          </cell>
          <cell r="I1161" t="str">
            <v>14-90</v>
          </cell>
          <cell r="J1161" t="str">
            <v>379</v>
          </cell>
          <cell r="K1161" t="str">
            <v>491-03100</v>
          </cell>
          <cell r="L1161" t="str">
            <v>166</v>
          </cell>
          <cell r="M1161" t="str">
            <v/>
          </cell>
          <cell r="N1161" t="str">
            <v>128</v>
          </cell>
        </row>
        <row r="1162">
          <cell r="A1162" t="str">
            <v>STACJA ROBOCZA</v>
          </cell>
          <cell r="B1162" t="str">
            <v>DELL Optiplex GX1M 350</v>
          </cell>
          <cell r="C1162" t="str">
            <v>491-3567</v>
          </cell>
          <cell r="D1162" t="str">
            <v>PKGPX</v>
          </cell>
          <cell r="E1162" t="str">
            <v xml:space="preserve">WE </v>
          </cell>
          <cell r="F1162" t="str">
            <v xml:space="preserve">ŁUKASZEWSKI              JERZY          </v>
          </cell>
          <cell r="G1162" t="str">
            <v>U-3</v>
          </cell>
          <cell r="H1162" t="str">
            <v>109A</v>
          </cell>
          <cell r="I1162" t="str">
            <v>17-10</v>
          </cell>
          <cell r="J1162" t="str">
            <v>533</v>
          </cell>
          <cell r="K1162" t="str">
            <v>491-03567</v>
          </cell>
          <cell r="L1162" t="str">
            <v>350</v>
          </cell>
          <cell r="M1162" t="str">
            <v/>
          </cell>
          <cell r="N1162" t="str">
            <v>128</v>
          </cell>
        </row>
        <row r="1163">
          <cell r="A1163" t="str">
            <v>STACJA ROBOCZA</v>
          </cell>
          <cell r="B1163" t="str">
            <v>DELL Optiplex GX1L 350</v>
          </cell>
          <cell r="C1163" t="str">
            <v>491-3581</v>
          </cell>
          <cell r="D1163" t="str">
            <v>PKGP6</v>
          </cell>
          <cell r="E1163" t="str">
            <v xml:space="preserve">WE </v>
          </cell>
          <cell r="F1163" t="str">
            <v xml:space="preserve">MARCINIAK                ALEKSANDER     </v>
          </cell>
          <cell r="G1163" t="str">
            <v>U-14</v>
          </cell>
          <cell r="H1163" t="str">
            <v>404</v>
          </cell>
          <cell r="I1163" t="str">
            <v>17-01</v>
          </cell>
          <cell r="J1163" t="str">
            <v>617</v>
          </cell>
          <cell r="K1163" t="str">
            <v>491-03581</v>
          </cell>
          <cell r="L1163" t="str">
            <v>350</v>
          </cell>
          <cell r="M1163" t="str">
            <v/>
          </cell>
          <cell r="N1163" t="str">
            <v>128</v>
          </cell>
        </row>
        <row r="1164">
          <cell r="A1164" t="str">
            <v>STACJA ROBOCZA</v>
          </cell>
          <cell r="B1164" t="str">
            <v>COMPAQ DESKPRO EXD PIII 733</v>
          </cell>
          <cell r="C1164" t="str">
            <v>491-4379</v>
          </cell>
          <cell r="D1164" t="str">
            <v>8036FR4ZE416</v>
          </cell>
          <cell r="E1164" t="str">
            <v xml:space="preserve">WE </v>
          </cell>
          <cell r="F1164" t="str">
            <v xml:space="preserve">ROSIAK                   ANNA           </v>
          </cell>
          <cell r="G1164" t="str">
            <v>U-3</v>
          </cell>
          <cell r="H1164" t="str">
            <v>104</v>
          </cell>
          <cell r="I1164" t="str">
            <v>17-13</v>
          </cell>
          <cell r="J1164" t="str">
            <v>4703</v>
          </cell>
          <cell r="K1164" t="str">
            <v>491-04379</v>
          </cell>
          <cell r="L1164" t="str">
            <v>733</v>
          </cell>
          <cell r="M1164" t="str">
            <v/>
          </cell>
          <cell r="N1164" t="str">
            <v>127</v>
          </cell>
        </row>
        <row r="1165">
          <cell r="A1165" t="str">
            <v>STACJA ROBOCZA</v>
          </cell>
          <cell r="B1165" t="str">
            <v>KOMPUTER 486DX</v>
          </cell>
          <cell r="C1165" t="str">
            <v>491-1620/8825</v>
          </cell>
          <cell r="D1165" t="str">
            <v>8825/114</v>
          </cell>
          <cell r="E1165" t="str">
            <v xml:space="preserve">WE </v>
          </cell>
          <cell r="F1165" t="str">
            <v xml:space="preserve">WIĄCEK                   SŁAWA          </v>
          </cell>
          <cell r="G1165" t="str">
            <v>U-3</v>
          </cell>
          <cell r="H1165" t="str">
            <v>109</v>
          </cell>
          <cell r="I1165" t="str">
            <v>21-94</v>
          </cell>
          <cell r="J1165" t="str">
            <v>1107</v>
          </cell>
          <cell r="K1165" t="str">
            <v/>
          </cell>
          <cell r="L1165" t="str">
            <v>0</v>
          </cell>
          <cell r="M1165" t="str">
            <v>BEZ SIECI</v>
          </cell>
          <cell r="N1165" t="str">
            <v/>
          </cell>
        </row>
        <row r="1166">
          <cell r="A1166" t="str">
            <v>STACJA ROBOCZA</v>
          </cell>
          <cell r="B1166" t="str">
            <v>DELL Optiplex GX150</v>
          </cell>
          <cell r="C1166" t="str">
            <v>491-4749</v>
          </cell>
          <cell r="D1166" t="str">
            <v>5M3Y60J</v>
          </cell>
          <cell r="E1166" t="str">
            <v xml:space="preserve">WE </v>
          </cell>
          <cell r="F1166" t="str">
            <v xml:space="preserve">TOMCZYK                  WŁODZIMIERZ    </v>
          </cell>
          <cell r="G1166" t="str">
            <v>U-14</v>
          </cell>
          <cell r="H1166" t="str">
            <v>201</v>
          </cell>
          <cell r="I1166" t="str">
            <v>17-00</v>
          </cell>
          <cell r="J1166" t="str">
            <v>1010</v>
          </cell>
          <cell r="K1166" t="str">
            <v>491-04749</v>
          </cell>
          <cell r="L1166" t="str">
            <v>1000</v>
          </cell>
          <cell r="M1166" t="str">
            <v/>
          </cell>
          <cell r="N1166" t="str">
            <v>255</v>
          </cell>
        </row>
        <row r="1167">
          <cell r="A1167" t="str">
            <v>STACJA ROBOCZA</v>
          </cell>
          <cell r="B1167" t="str">
            <v>DELL Optiplex GX150</v>
          </cell>
          <cell r="C1167" t="str">
            <v>491-4750</v>
          </cell>
          <cell r="D1167" t="str">
            <v>FK3Y60J</v>
          </cell>
          <cell r="E1167" t="str">
            <v xml:space="preserve">WE </v>
          </cell>
          <cell r="F1167" t="str">
            <v xml:space="preserve">MUSKAŁA                  MARZANNA       </v>
          </cell>
          <cell r="G1167" t="str">
            <v>U-14</v>
          </cell>
          <cell r="H1167" t="str">
            <v>202</v>
          </cell>
          <cell r="I1167" t="str">
            <v>25-89</v>
          </cell>
          <cell r="J1167" t="str">
            <v>470</v>
          </cell>
          <cell r="K1167" t="str">
            <v>491-04750</v>
          </cell>
          <cell r="L1167" t="str">
            <v>1000</v>
          </cell>
          <cell r="M1167" t="str">
            <v/>
          </cell>
          <cell r="N1167" t="str">
            <v>255</v>
          </cell>
        </row>
        <row r="1168">
          <cell r="A1168" t="str">
            <v>STACJA ROBOCZA</v>
          </cell>
          <cell r="B1168" t="str">
            <v>NEC PowerMate VT Destop P III 450</v>
          </cell>
          <cell r="C1168" t="str">
            <v>491-3878</v>
          </cell>
          <cell r="D1168" t="str">
            <v>0728109</v>
          </cell>
          <cell r="E1168" t="str">
            <v xml:space="preserve">WE </v>
          </cell>
          <cell r="F1168" t="str">
            <v xml:space="preserve">MICHALCZYK               RYSZARD        </v>
          </cell>
          <cell r="G1168" t="str">
            <v>U-14</v>
          </cell>
          <cell r="H1168" t="str">
            <v>508</v>
          </cell>
          <cell r="I1168" t="str">
            <v>13-44 39-31</v>
          </cell>
          <cell r="J1168" t="str">
            <v>575</v>
          </cell>
          <cell r="K1168" t="str">
            <v>491-03878</v>
          </cell>
          <cell r="L1168" t="str">
            <v>450</v>
          </cell>
          <cell r="M1168" t="str">
            <v/>
          </cell>
          <cell r="N1168" t="str">
            <v>64</v>
          </cell>
        </row>
        <row r="1169">
          <cell r="A1169" t="str">
            <v>STACJA ROBOCZA</v>
          </cell>
          <cell r="B1169" t="str">
            <v>DELL Optiplex GX260 SD</v>
          </cell>
          <cell r="C1169" t="str">
            <v>491-5026</v>
          </cell>
          <cell r="D1169" t="str">
            <v>7NPFL0J</v>
          </cell>
          <cell r="E1169" t="str">
            <v xml:space="preserve">WE </v>
          </cell>
          <cell r="F1169" t="str">
            <v xml:space="preserve">ŚWIĄTEK                  JERZY          </v>
          </cell>
          <cell r="G1169" t="str">
            <v>U-12</v>
          </cell>
          <cell r="H1169" t="str">
            <v>303</v>
          </cell>
          <cell r="I1169" t="str">
            <v>13-98</v>
          </cell>
          <cell r="J1169" t="str">
            <v>883</v>
          </cell>
          <cell r="K1169" t="str">
            <v>491-05026</v>
          </cell>
          <cell r="L1169" t="str">
            <v>2400</v>
          </cell>
          <cell r="M1169" t="str">
            <v/>
          </cell>
          <cell r="N1169" t="str">
            <v>254</v>
          </cell>
        </row>
        <row r="1170">
          <cell r="A1170" t="str">
            <v>STACJA ROBOCZA</v>
          </cell>
          <cell r="B1170" t="str">
            <v>NEC PowerMate VT Destop P III 450</v>
          </cell>
          <cell r="C1170" t="str">
            <v>491-3876</v>
          </cell>
          <cell r="D1170" t="str">
            <v>0745109</v>
          </cell>
          <cell r="E1170" t="str">
            <v xml:space="preserve">WE </v>
          </cell>
          <cell r="F1170" t="str">
            <v xml:space="preserve">KONOPIŃSKI               GRZEGORZ       </v>
          </cell>
          <cell r="G1170" t="str">
            <v>U-14</v>
          </cell>
          <cell r="H1170" t="str">
            <v>508</v>
          </cell>
          <cell r="I1170" t="str">
            <v>13-44</v>
          </cell>
          <cell r="J1170" t="str">
            <v>493</v>
          </cell>
          <cell r="K1170" t="str">
            <v>491-03876</v>
          </cell>
          <cell r="L1170" t="str">
            <v>450</v>
          </cell>
          <cell r="M1170" t="str">
            <v/>
          </cell>
          <cell r="N1170" t="str">
            <v>64</v>
          </cell>
        </row>
        <row r="1171">
          <cell r="A1171" t="str">
            <v>STACJA ROBOCZA</v>
          </cell>
          <cell r="B1171" t="str">
            <v>NEC Direction Minitower P III 450</v>
          </cell>
          <cell r="C1171" t="str">
            <v>491-3968</v>
          </cell>
          <cell r="D1171" t="str">
            <v>0311109</v>
          </cell>
          <cell r="E1171" t="str">
            <v xml:space="preserve">WE </v>
          </cell>
          <cell r="F1171" t="str">
            <v xml:space="preserve">ROGALA                   URSZULA        </v>
          </cell>
          <cell r="G1171" t="str">
            <v>U-14</v>
          </cell>
          <cell r="H1171" t="str">
            <v>DIRE</v>
          </cell>
          <cell r="I1171" t="str">
            <v>10-00</v>
          </cell>
          <cell r="J1171" t="str">
            <v>1161</v>
          </cell>
          <cell r="K1171" t="str">
            <v>491-03968</v>
          </cell>
          <cell r="L1171" t="str">
            <v>450</v>
          </cell>
          <cell r="M1171" t="str">
            <v/>
          </cell>
          <cell r="N1171" t="str">
            <v>64</v>
          </cell>
        </row>
        <row r="1172">
          <cell r="A1172" t="str">
            <v>NOTEBOOK</v>
          </cell>
          <cell r="B1172" t="str">
            <v>COMPAQ ARMADA E500 PIII 800</v>
          </cell>
          <cell r="C1172" t="str">
            <v>491-4619</v>
          </cell>
          <cell r="D1172" t="str">
            <v>7J13JFD3D00N</v>
          </cell>
          <cell r="E1172" t="str">
            <v xml:space="preserve">WE </v>
          </cell>
          <cell r="F1172" t="str">
            <v xml:space="preserve">MICHALCZYK               RYSZARD        </v>
          </cell>
          <cell r="G1172" t="str">
            <v>U-14</v>
          </cell>
          <cell r="H1172" t="str">
            <v>508</v>
          </cell>
          <cell r="I1172" t="str">
            <v>13-44 39-31</v>
          </cell>
          <cell r="J1172" t="str">
            <v>575</v>
          </cell>
          <cell r="K1172" t="str">
            <v>491-04619</v>
          </cell>
          <cell r="L1172" t="str">
            <v>800</v>
          </cell>
          <cell r="M1172" t="str">
            <v/>
          </cell>
          <cell r="N1172" t="str">
            <v>64</v>
          </cell>
        </row>
        <row r="1173">
          <cell r="A1173" t="str">
            <v>STACJA ROBOCZA</v>
          </cell>
          <cell r="B1173" t="str">
            <v>DELL Optiplex GX1L 266</v>
          </cell>
          <cell r="C1173" t="str">
            <v>491-3397</v>
          </cell>
          <cell r="D1173" t="str">
            <v>NM1CZ</v>
          </cell>
          <cell r="E1173" t="str">
            <v xml:space="preserve">WE </v>
          </cell>
          <cell r="F1173" t="str">
            <v xml:space="preserve">GRACZYK                  PAWEŁ          </v>
          </cell>
          <cell r="G1173" t="str">
            <v>U-12</v>
          </cell>
          <cell r="H1173" t="str">
            <v>219</v>
          </cell>
          <cell r="I1173" t="str">
            <v>13-33</v>
          </cell>
          <cell r="J1173" t="str">
            <v>273</v>
          </cell>
          <cell r="K1173" t="str">
            <v>491-03397</v>
          </cell>
          <cell r="L1173" t="str">
            <v>266</v>
          </cell>
          <cell r="M1173" t="str">
            <v/>
          </cell>
          <cell r="N1173" t="str">
            <v>224</v>
          </cell>
        </row>
        <row r="1174">
          <cell r="A1174" t="str">
            <v>STACJA ROBOCZA</v>
          </cell>
          <cell r="B1174" t="str">
            <v>NEC PowerMate VT Destop P III 450</v>
          </cell>
          <cell r="C1174" t="str">
            <v>491-3879</v>
          </cell>
          <cell r="D1174" t="str">
            <v>0686109</v>
          </cell>
          <cell r="E1174" t="str">
            <v xml:space="preserve">WE </v>
          </cell>
          <cell r="F1174" t="str">
            <v xml:space="preserve">JĘDRUSZEK                HENRYK         </v>
          </cell>
          <cell r="G1174" t="str">
            <v>BLOK 5-6</v>
          </cell>
          <cell r="H1174" t="str">
            <v>MISTRZ ZMIAN.</v>
          </cell>
          <cell r="I1174" t="str">
            <v>28-60,17-03</v>
          </cell>
          <cell r="J1174" t="str">
            <v>337</v>
          </cell>
          <cell r="K1174" t="str">
            <v>491-03879</v>
          </cell>
          <cell r="L1174" t="str">
            <v>450</v>
          </cell>
          <cell r="M1174" t="str">
            <v/>
          </cell>
          <cell r="N1174" t="str">
            <v>128</v>
          </cell>
        </row>
        <row r="1175">
          <cell r="A1175" t="str">
            <v>STACJA ROBOCZA</v>
          </cell>
          <cell r="B1175" t="str">
            <v>NEC PowerMate VT Destop P III 450</v>
          </cell>
          <cell r="C1175" t="str">
            <v>491-3910</v>
          </cell>
          <cell r="D1175" t="str">
            <v>0270109</v>
          </cell>
          <cell r="E1175" t="str">
            <v xml:space="preserve">WE </v>
          </cell>
          <cell r="F1175" t="str">
            <v xml:space="preserve">WIĄCEK                   SŁAWA          </v>
          </cell>
          <cell r="G1175" t="str">
            <v>U-3</v>
          </cell>
          <cell r="H1175" t="str">
            <v>109</v>
          </cell>
          <cell r="I1175" t="str">
            <v>21-94</v>
          </cell>
          <cell r="J1175" t="str">
            <v>1107</v>
          </cell>
          <cell r="K1175" t="str">
            <v/>
          </cell>
          <cell r="L1175" t="str">
            <v>450</v>
          </cell>
          <cell r="M1175" t="str">
            <v>BEZ SIECI</v>
          </cell>
          <cell r="N1175" t="str">
            <v/>
          </cell>
        </row>
        <row r="1176">
          <cell r="A1176" t="str">
            <v>STACJA ROBOCZA</v>
          </cell>
          <cell r="B1176" t="str">
            <v>DELL Optiplex GX1L 266</v>
          </cell>
          <cell r="C1176" t="str">
            <v>491-3306</v>
          </cell>
          <cell r="D1176" t="str">
            <v>NM148</v>
          </cell>
          <cell r="E1176" t="str">
            <v xml:space="preserve">WE </v>
          </cell>
          <cell r="F1176" t="str">
            <v xml:space="preserve">PŁOSZKA                  RENATA         </v>
          </cell>
          <cell r="G1176" t="str">
            <v>U-14</v>
          </cell>
          <cell r="H1176" t="str">
            <v>202</v>
          </cell>
          <cell r="I1176" t="str">
            <v>25-89</v>
          </cell>
          <cell r="J1176" t="str">
            <v>8148</v>
          </cell>
          <cell r="K1176" t="str">
            <v>491-03306</v>
          </cell>
          <cell r="L1176" t="str">
            <v>266</v>
          </cell>
          <cell r="M1176" t="str">
            <v/>
          </cell>
          <cell r="N1176" t="str">
            <v>128</v>
          </cell>
        </row>
        <row r="1177">
          <cell r="A1177" t="str">
            <v>STACJA ROBOCZA</v>
          </cell>
          <cell r="B1177" t="str">
            <v>DELL Optiplex GX150</v>
          </cell>
          <cell r="C1177" t="str">
            <v>491-4751</v>
          </cell>
          <cell r="D1177" t="str">
            <v>FM3Y60J</v>
          </cell>
          <cell r="E1177" t="str">
            <v xml:space="preserve">WE </v>
          </cell>
          <cell r="F1177" t="str">
            <v xml:space="preserve">FIDALA                   JACEK          </v>
          </cell>
          <cell r="G1177" t="str">
            <v>U-3</v>
          </cell>
          <cell r="H1177" t="str">
            <v>104A</v>
          </cell>
          <cell r="I1177" t="str">
            <v>17-29</v>
          </cell>
          <cell r="J1177" t="str">
            <v>9201</v>
          </cell>
          <cell r="K1177" t="str">
            <v>491-04751</v>
          </cell>
          <cell r="L1177" t="str">
            <v>1000</v>
          </cell>
          <cell r="M1177" t="str">
            <v/>
          </cell>
          <cell r="N1177" t="str">
            <v>255</v>
          </cell>
        </row>
        <row r="1178">
          <cell r="A1178" t="str">
            <v>STACJA ROBOCZA</v>
          </cell>
          <cell r="B1178" t="str">
            <v>DELL Optiplex GX150</v>
          </cell>
          <cell r="C1178" t="str">
            <v>491-4886</v>
          </cell>
          <cell r="D1178" t="str">
            <v>HP3Y60J</v>
          </cell>
          <cell r="E1178" t="str">
            <v xml:space="preserve">WE </v>
          </cell>
          <cell r="F1178" t="str">
            <v xml:space="preserve">WIĄCEK                   SŁAWA          </v>
          </cell>
          <cell r="G1178" t="str">
            <v>U-3</v>
          </cell>
          <cell r="H1178" t="str">
            <v>109</v>
          </cell>
          <cell r="I1178" t="str">
            <v>21-94</v>
          </cell>
          <cell r="J1178" t="str">
            <v>1107</v>
          </cell>
          <cell r="K1178" t="str">
            <v>491-04886</v>
          </cell>
          <cell r="L1178" t="str">
            <v>1000</v>
          </cell>
          <cell r="M1178" t="str">
            <v/>
          </cell>
          <cell r="N1178" t="str">
            <v>255</v>
          </cell>
        </row>
        <row r="1179">
          <cell r="A1179" t="str">
            <v>STACJA ROBOCZA</v>
          </cell>
          <cell r="B1179" t="str">
            <v>DELL Optiplex GX260 SD</v>
          </cell>
          <cell r="C1179" t="str">
            <v>491-5025</v>
          </cell>
          <cell r="D1179" t="str">
            <v>7MPFL0J</v>
          </cell>
          <cell r="E1179" t="str">
            <v xml:space="preserve">WE </v>
          </cell>
          <cell r="F1179" t="str">
            <v xml:space="preserve">MADEJSKI                 JERZY          </v>
          </cell>
          <cell r="G1179" t="str">
            <v>U-14</v>
          </cell>
          <cell r="H1179" t="str">
            <v>404</v>
          </cell>
          <cell r="I1179" t="str">
            <v>17-01</v>
          </cell>
          <cell r="J1179" t="str">
            <v>563</v>
          </cell>
          <cell r="K1179" t="str">
            <v>491-05025</v>
          </cell>
          <cell r="L1179" t="str">
            <v>2400</v>
          </cell>
          <cell r="M1179" t="str">
            <v/>
          </cell>
          <cell r="N1179" t="str">
            <v>254</v>
          </cell>
        </row>
        <row r="1180">
          <cell r="A1180" t="str">
            <v>STACJA ROBOCZA</v>
          </cell>
          <cell r="B1180" t="str">
            <v>DELL Optiplex GX150</v>
          </cell>
          <cell r="C1180" t="str">
            <v>491-4680</v>
          </cell>
          <cell r="D1180" t="str">
            <v>88QX60J</v>
          </cell>
          <cell r="E1180" t="str">
            <v xml:space="preserve">WF </v>
          </cell>
          <cell r="F1180" t="str">
            <v xml:space="preserve">KOPACZEWSKA              KRYSTYNA       </v>
          </cell>
          <cell r="G1180" t="str">
            <v>U-12</v>
          </cell>
          <cell r="H1180" t="str">
            <v>304</v>
          </cell>
          <cell r="I1180" t="str">
            <v>26-13</v>
          </cell>
          <cell r="J1180" t="str">
            <v>395</v>
          </cell>
          <cell r="K1180" t="str">
            <v>491-04680</v>
          </cell>
          <cell r="L1180" t="str">
            <v>1000</v>
          </cell>
          <cell r="M1180" t="str">
            <v/>
          </cell>
          <cell r="N1180" t="str">
            <v>255</v>
          </cell>
        </row>
        <row r="1181">
          <cell r="A1181" t="str">
            <v>STACJA ROBOCZA</v>
          </cell>
          <cell r="B1181" t="str">
            <v>COMPAQ DESKPRO EXD PIII 733</v>
          </cell>
          <cell r="C1181" t="str">
            <v>491-4278</v>
          </cell>
          <cell r="D1181" t="str">
            <v>8036FR4Z6079</v>
          </cell>
          <cell r="E1181" t="str">
            <v xml:space="preserve">WF </v>
          </cell>
          <cell r="F1181" t="str">
            <v xml:space="preserve">OCZKUŚ                   ZOFIA          </v>
          </cell>
          <cell r="G1181" t="str">
            <v>U-12</v>
          </cell>
          <cell r="H1181" t="str">
            <v>304</v>
          </cell>
          <cell r="I1181" t="str">
            <v>26-13</v>
          </cell>
          <cell r="J1181" t="str">
            <v>681</v>
          </cell>
          <cell r="K1181" t="str">
            <v>491-04278</v>
          </cell>
          <cell r="L1181" t="str">
            <v>733</v>
          </cell>
          <cell r="M1181" t="str">
            <v/>
          </cell>
          <cell r="N1181" t="str">
            <v>127</v>
          </cell>
        </row>
        <row r="1182">
          <cell r="A1182" t="str">
            <v>STACJA ROBOCZA</v>
          </cell>
          <cell r="B1182" t="str">
            <v>DELL Optiplex GX150</v>
          </cell>
          <cell r="C1182" t="str">
            <v>491-4678</v>
          </cell>
          <cell r="D1182" t="str">
            <v>C9QX60J</v>
          </cell>
          <cell r="E1182" t="str">
            <v xml:space="preserve">WF </v>
          </cell>
          <cell r="F1182" t="str">
            <v xml:space="preserve">OLSZOWIEC                GRAŻYNA        </v>
          </cell>
          <cell r="G1182" t="str">
            <v>U-12</v>
          </cell>
          <cell r="H1182" t="str">
            <v>306</v>
          </cell>
          <cell r="I1182" t="str">
            <v>16-21</v>
          </cell>
          <cell r="J1182" t="str">
            <v>696</v>
          </cell>
          <cell r="K1182" t="str">
            <v>491-04678</v>
          </cell>
          <cell r="L1182" t="str">
            <v>1000</v>
          </cell>
          <cell r="M1182" t="str">
            <v/>
          </cell>
          <cell r="N1182" t="str">
            <v>255</v>
          </cell>
        </row>
        <row r="1183">
          <cell r="A1183" t="str">
            <v>STACJA ROBOCZA</v>
          </cell>
          <cell r="B1183" t="str">
            <v>NEC PowerMate VT Destop P III 450</v>
          </cell>
          <cell r="C1183" t="str">
            <v>491-3999</v>
          </cell>
          <cell r="D1183" t="str">
            <v>0298109</v>
          </cell>
          <cell r="E1183" t="str">
            <v xml:space="preserve">WF </v>
          </cell>
          <cell r="F1183" t="str">
            <v xml:space="preserve">SZYNKOWSKA               JADWIGA        </v>
          </cell>
          <cell r="G1183" t="str">
            <v>U-12</v>
          </cell>
          <cell r="H1183" t="str">
            <v>213A</v>
          </cell>
          <cell r="I1183" t="str">
            <v>12-70</v>
          </cell>
          <cell r="J1183" t="str">
            <v>5378</v>
          </cell>
          <cell r="K1183" t="str">
            <v>491-03999</v>
          </cell>
          <cell r="L1183" t="str">
            <v>450</v>
          </cell>
          <cell r="M1183" t="str">
            <v/>
          </cell>
          <cell r="N1183" t="str">
            <v>64</v>
          </cell>
        </row>
        <row r="1184">
          <cell r="A1184" t="str">
            <v>STACJA ROBOCZA</v>
          </cell>
          <cell r="B1184" t="str">
            <v>DELL Optiplex GX1L 266</v>
          </cell>
          <cell r="C1184" t="str">
            <v>491-3300</v>
          </cell>
          <cell r="D1184" t="str">
            <v>NM18P</v>
          </cell>
          <cell r="E1184" t="str">
            <v xml:space="preserve">WF </v>
          </cell>
          <cell r="F1184" t="str">
            <v xml:space="preserve">TEODORCZYK               SŁAWOMIR       </v>
          </cell>
          <cell r="G1184" t="str">
            <v>U-12</v>
          </cell>
          <cell r="H1184" t="str">
            <v>213A</v>
          </cell>
          <cell r="I1184" t="str">
            <v>23-66</v>
          </cell>
          <cell r="J1184" t="str">
            <v>1016</v>
          </cell>
          <cell r="K1184" t="str">
            <v>491-03300</v>
          </cell>
          <cell r="L1184" t="str">
            <v>266</v>
          </cell>
          <cell r="M1184" t="str">
            <v/>
          </cell>
          <cell r="N1184" t="str">
            <v>32</v>
          </cell>
        </row>
        <row r="1185">
          <cell r="A1185" t="str">
            <v>STACJA ROBOCZA</v>
          </cell>
          <cell r="B1185" t="str">
            <v>DELL Optiplex GX260 SD</v>
          </cell>
          <cell r="C1185" t="str">
            <v>491-5047</v>
          </cell>
          <cell r="D1185" t="str">
            <v>6K2GL0J</v>
          </cell>
          <cell r="E1185" t="str">
            <v xml:space="preserve">WF </v>
          </cell>
          <cell r="F1185" t="str">
            <v xml:space="preserve">PORYZAŁA                 ELŻBIETA       </v>
          </cell>
          <cell r="G1185" t="str">
            <v>U-12</v>
          </cell>
          <cell r="H1185" t="str">
            <v>213A</v>
          </cell>
          <cell r="I1185" t="str">
            <v>12-70</v>
          </cell>
          <cell r="J1185" t="str">
            <v>3694</v>
          </cell>
          <cell r="K1185" t="str">
            <v>491-05047</v>
          </cell>
          <cell r="L1185" t="str">
            <v>2400</v>
          </cell>
          <cell r="M1185" t="str">
            <v/>
          </cell>
          <cell r="N1185" t="str">
            <v>254</v>
          </cell>
        </row>
        <row r="1186">
          <cell r="A1186" t="str">
            <v>STACJA ROBOCZA</v>
          </cell>
          <cell r="B1186" t="str">
            <v>DELL Optiplex GX150</v>
          </cell>
          <cell r="C1186" t="str">
            <v>491-4681</v>
          </cell>
          <cell r="D1186" t="str">
            <v>87QX60J</v>
          </cell>
          <cell r="E1186" t="str">
            <v xml:space="preserve">WF </v>
          </cell>
          <cell r="F1186" t="str">
            <v xml:space="preserve">PAKUŁA                   HALINA         </v>
          </cell>
          <cell r="G1186" t="str">
            <v>U-12</v>
          </cell>
          <cell r="H1186" t="str">
            <v>213A</v>
          </cell>
          <cell r="I1186" t="str">
            <v>14-13</v>
          </cell>
          <cell r="J1186" t="str">
            <v>5436</v>
          </cell>
          <cell r="K1186" t="str">
            <v>491-04681</v>
          </cell>
          <cell r="L1186" t="str">
            <v>1000</v>
          </cell>
          <cell r="M1186" t="str">
            <v/>
          </cell>
          <cell r="N1186" t="str">
            <v>255</v>
          </cell>
        </row>
        <row r="1187">
          <cell r="A1187" t="str">
            <v>STACJA ROBOCZA</v>
          </cell>
          <cell r="B1187" t="str">
            <v>NEC Direction Minitower P III 450</v>
          </cell>
          <cell r="C1187" t="str">
            <v>491-3766</v>
          </cell>
          <cell r="D1187" t="str">
            <v>0163109</v>
          </cell>
          <cell r="E1187" t="str">
            <v xml:space="preserve">WF </v>
          </cell>
          <cell r="F1187" t="str">
            <v xml:space="preserve">BANASIAK                 KATARZYNA      </v>
          </cell>
          <cell r="G1187" t="str">
            <v>U-12</v>
          </cell>
          <cell r="H1187" t="str">
            <v>213A</v>
          </cell>
          <cell r="I1187" t="str">
            <v>39-14</v>
          </cell>
          <cell r="J1187" t="str">
            <v>2712</v>
          </cell>
          <cell r="K1187" t="str">
            <v>491-03766</v>
          </cell>
          <cell r="L1187" t="str">
            <v>450</v>
          </cell>
          <cell r="M1187" t="str">
            <v/>
          </cell>
          <cell r="N1187" t="str">
            <v>192</v>
          </cell>
        </row>
        <row r="1188">
          <cell r="A1188" t="str">
            <v>STACJA ROBOCZA</v>
          </cell>
          <cell r="B1188" t="str">
            <v>DELL Optiplex GX150</v>
          </cell>
          <cell r="C1188" t="str">
            <v>491-4679</v>
          </cell>
          <cell r="D1188" t="str">
            <v>J9QX60J</v>
          </cell>
          <cell r="E1188" t="str">
            <v xml:space="preserve">WF </v>
          </cell>
          <cell r="F1188" t="str">
            <v xml:space="preserve">CHWIAŁKOWSKI             KRZYSZTOF      </v>
          </cell>
          <cell r="G1188" t="str">
            <v>U-12</v>
          </cell>
          <cell r="H1188" t="str">
            <v>305</v>
          </cell>
          <cell r="I1188" t="str">
            <v>10-73</v>
          </cell>
          <cell r="J1188" t="str">
            <v>118</v>
          </cell>
          <cell r="K1188" t="str">
            <v>491-04679</v>
          </cell>
          <cell r="L1188" t="str">
            <v>1000</v>
          </cell>
          <cell r="M1188" t="str">
            <v/>
          </cell>
          <cell r="N1188" t="str">
            <v>255</v>
          </cell>
        </row>
        <row r="1189">
          <cell r="A1189" t="str">
            <v>STACJA ROBOCZA</v>
          </cell>
          <cell r="B1189" t="str">
            <v>DELL Optiplex GX1MT 350</v>
          </cell>
          <cell r="C1189" t="str">
            <v>491-3500</v>
          </cell>
          <cell r="D1189" t="str">
            <v>PKN3X</v>
          </cell>
          <cell r="E1189" t="str">
            <v xml:space="preserve">WG </v>
          </cell>
          <cell r="F1189" t="str">
            <v xml:space="preserve">PLUCIŃSKI                TOMASZ         </v>
          </cell>
          <cell r="G1189" t="str">
            <v>D-3</v>
          </cell>
          <cell r="H1189" t="str">
            <v>1</v>
          </cell>
          <cell r="I1189" t="str">
            <v>13-12</v>
          </cell>
          <cell r="J1189" t="str">
            <v>4731</v>
          </cell>
          <cell r="K1189" t="str">
            <v>491-03500</v>
          </cell>
          <cell r="L1189" t="str">
            <v>350</v>
          </cell>
          <cell r="M1189" t="str">
            <v/>
          </cell>
          <cell r="N1189" t="str">
            <v>192</v>
          </cell>
        </row>
        <row r="1190">
          <cell r="A1190" t="str">
            <v>NOTEBOOK</v>
          </cell>
          <cell r="B1190" t="str">
            <v>COMPAQ ARMADA 4120</v>
          </cell>
          <cell r="C1190" t="str">
            <v>491-2829</v>
          </cell>
          <cell r="D1190" t="str">
            <v>8650HWF20223</v>
          </cell>
          <cell r="E1190" t="str">
            <v xml:space="preserve">WG </v>
          </cell>
          <cell r="F1190" t="str">
            <v xml:space="preserve">PLUCIŃSKI                TOMASZ         </v>
          </cell>
          <cell r="G1190" t="str">
            <v>D-3</v>
          </cell>
          <cell r="H1190" t="str">
            <v>1</v>
          </cell>
          <cell r="I1190" t="str">
            <v>13-12</v>
          </cell>
          <cell r="J1190" t="str">
            <v>4731</v>
          </cell>
          <cell r="K1190" t="str">
            <v>WGKZRC</v>
          </cell>
          <cell r="L1190" t="str">
            <v>120</v>
          </cell>
          <cell r="M1190" t="str">
            <v/>
          </cell>
          <cell r="N1190" t="str">
            <v/>
          </cell>
        </row>
        <row r="1191">
          <cell r="A1191" t="str">
            <v>STACJA ROBOCZA</v>
          </cell>
          <cell r="B1191" t="str">
            <v>DELL Optiplex GX1L 266</v>
          </cell>
          <cell r="C1191" t="str">
            <v>491-3331</v>
          </cell>
          <cell r="D1191" t="str">
            <v>NM1HX</v>
          </cell>
          <cell r="E1191" t="str">
            <v xml:space="preserve">WG </v>
          </cell>
          <cell r="F1191" t="str">
            <v xml:space="preserve">ŁUKASZEWSKI              JANUSZ         </v>
          </cell>
          <cell r="G1191" t="str">
            <v>D-3</v>
          </cell>
          <cell r="H1191" t="str">
            <v>1</v>
          </cell>
          <cell r="I1191" t="str">
            <v>13-11</v>
          </cell>
          <cell r="J1191" t="str">
            <v>1833</v>
          </cell>
          <cell r="K1191" t="str">
            <v>491-03331</v>
          </cell>
          <cell r="L1191" t="str">
            <v>266</v>
          </cell>
          <cell r="M1191" t="str">
            <v/>
          </cell>
          <cell r="N1191" t="str">
            <v>192</v>
          </cell>
        </row>
        <row r="1192">
          <cell r="A1192" t="str">
            <v>STACJA ROBOCZA</v>
          </cell>
          <cell r="B1192" t="str">
            <v>NEC PowerMate VT Destop P III 450</v>
          </cell>
          <cell r="C1192" t="str">
            <v>491-3867</v>
          </cell>
          <cell r="D1192" t="str">
            <v>0212109</v>
          </cell>
          <cell r="E1192" t="str">
            <v xml:space="preserve">WG </v>
          </cell>
          <cell r="F1192" t="str">
            <v xml:space="preserve">STASIAK                  GRZEGORZ       </v>
          </cell>
          <cell r="G1192" t="str">
            <v>D-6</v>
          </cell>
          <cell r="H1192" t="str">
            <v>1</v>
          </cell>
          <cell r="I1192" t="str">
            <v>10-13</v>
          </cell>
          <cell r="J1192" t="str">
            <v>3358</v>
          </cell>
          <cell r="K1192" t="str">
            <v>491-03867</v>
          </cell>
          <cell r="L1192" t="str">
            <v>450</v>
          </cell>
          <cell r="M1192" t="str">
            <v/>
          </cell>
          <cell r="N1192" t="str">
            <v>64</v>
          </cell>
        </row>
        <row r="1193">
          <cell r="A1193" t="str">
            <v>STACJA ROBOCZA</v>
          </cell>
          <cell r="B1193" t="str">
            <v>DELL Optiplex GX260 SD</v>
          </cell>
          <cell r="C1193" t="str">
            <v>491-5152</v>
          </cell>
          <cell r="D1193" t="str">
            <v>GKYGL0J</v>
          </cell>
          <cell r="E1193" t="str">
            <v xml:space="preserve">WG </v>
          </cell>
          <cell r="F1193" t="str">
            <v xml:space="preserve">KONIECZNY                LESZEK         </v>
          </cell>
          <cell r="G1193" t="str">
            <v>D-6</v>
          </cell>
          <cell r="H1193" t="str">
            <v>KZRC</v>
          </cell>
          <cell r="I1193" t="str">
            <v>13-15</v>
          </cell>
          <cell r="J1193" t="str">
            <v>455</v>
          </cell>
          <cell r="K1193" t="str">
            <v>491-05152</v>
          </cell>
          <cell r="L1193" t="str">
            <v>2400</v>
          </cell>
          <cell r="M1193" t="str">
            <v/>
          </cell>
          <cell r="N1193" t="str">
            <v>254</v>
          </cell>
        </row>
        <row r="1194">
          <cell r="A1194" t="str">
            <v>STACJA ROBOCZA</v>
          </cell>
          <cell r="B1194" t="str">
            <v>DELL Optiplex GX260 SD</v>
          </cell>
          <cell r="C1194" t="str">
            <v>491-5023</v>
          </cell>
          <cell r="D1194" t="str">
            <v>6MPFL0J</v>
          </cell>
          <cell r="E1194" t="str">
            <v xml:space="preserve">WG </v>
          </cell>
          <cell r="F1194" t="str">
            <v xml:space="preserve">CIEPIERSKI               TOMASZ         </v>
          </cell>
          <cell r="G1194" t="str">
            <v>U-14/1</v>
          </cell>
          <cell r="H1194" t="str">
            <v>4</v>
          </cell>
          <cell r="I1194" t="str">
            <v>22-50</v>
          </cell>
          <cell r="J1194" t="str">
            <v>98</v>
          </cell>
          <cell r="K1194" t="str">
            <v>491-05023</v>
          </cell>
          <cell r="L1194" t="str">
            <v>2400</v>
          </cell>
          <cell r="M1194" t="str">
            <v/>
          </cell>
          <cell r="N1194" t="str">
            <v>254</v>
          </cell>
        </row>
        <row r="1195">
          <cell r="A1195" t="str">
            <v>STACJA ROBOCZA</v>
          </cell>
          <cell r="B1195" t="str">
            <v>NEC Direction Minitower P III 450</v>
          </cell>
          <cell r="C1195" t="str">
            <v>491-3957</v>
          </cell>
          <cell r="D1195" t="str">
            <v>0162109</v>
          </cell>
          <cell r="E1195" t="str">
            <v xml:space="preserve">WG </v>
          </cell>
          <cell r="F1195" t="str">
            <v xml:space="preserve">KRYSTOSIAK               ALICJA         </v>
          </cell>
          <cell r="G1195" t="str">
            <v>U-14/1</v>
          </cell>
          <cell r="H1195" t="str">
            <v>5</v>
          </cell>
          <cell r="I1195" t="str">
            <v>23-82</v>
          </cell>
          <cell r="J1195" t="str">
            <v>352</v>
          </cell>
          <cell r="K1195" t="str">
            <v>491-03957</v>
          </cell>
          <cell r="L1195" t="str">
            <v>450</v>
          </cell>
          <cell r="M1195" t="str">
            <v/>
          </cell>
          <cell r="N1195" t="str">
            <v>192</v>
          </cell>
        </row>
        <row r="1196">
          <cell r="A1196" t="str">
            <v>STACJA ROBOCZA</v>
          </cell>
          <cell r="B1196" t="str">
            <v>DELL Optiplex GX1L 350</v>
          </cell>
          <cell r="C1196" t="str">
            <v>491-3578</v>
          </cell>
          <cell r="D1196" t="str">
            <v>PKGNF</v>
          </cell>
          <cell r="E1196" t="str">
            <v xml:space="preserve">WG </v>
          </cell>
          <cell r="F1196" t="str">
            <v xml:space="preserve">CIEPIERSKI               TOMASZ         </v>
          </cell>
          <cell r="G1196" t="str">
            <v>U-14/1</v>
          </cell>
          <cell r="H1196" t="str">
            <v>4</v>
          </cell>
          <cell r="I1196" t="str">
            <v>22-50</v>
          </cell>
          <cell r="J1196" t="str">
            <v>98</v>
          </cell>
          <cell r="K1196" t="str">
            <v>491-03578</v>
          </cell>
          <cell r="L1196" t="str">
            <v>350</v>
          </cell>
          <cell r="M1196" t="str">
            <v/>
          </cell>
          <cell r="N1196" t="str">
            <v>256</v>
          </cell>
        </row>
        <row r="1197">
          <cell r="A1197" t="str">
            <v>STACJA ROBOCZA</v>
          </cell>
          <cell r="B1197" t="str">
            <v>DELL Optiplex GX150</v>
          </cell>
          <cell r="C1197" t="str">
            <v>491-4851</v>
          </cell>
          <cell r="D1197" t="str">
            <v>BKVX60J</v>
          </cell>
          <cell r="E1197" t="str">
            <v xml:space="preserve">WG </v>
          </cell>
          <cell r="F1197" t="str">
            <v xml:space="preserve">CISZEWSKI                ROMAN          </v>
          </cell>
          <cell r="G1197" t="str">
            <v>U-14/1</v>
          </cell>
          <cell r="H1197" t="str">
            <v>2</v>
          </cell>
          <cell r="I1197" t="str">
            <v>13-05</v>
          </cell>
          <cell r="J1197" t="str">
            <v>103</v>
          </cell>
          <cell r="K1197" t="str">
            <v>491-04851</v>
          </cell>
          <cell r="L1197" t="str">
            <v>1000</v>
          </cell>
          <cell r="M1197" t="str">
            <v/>
          </cell>
          <cell r="N1197" t="str">
            <v>255</v>
          </cell>
        </row>
        <row r="1198">
          <cell r="A1198" t="str">
            <v>STACJA ROBOCZA</v>
          </cell>
          <cell r="B1198" t="str">
            <v>COMPAQ DESKPRO EXD PIII 733</v>
          </cell>
          <cell r="C1198" t="str">
            <v>491-4243</v>
          </cell>
          <cell r="D1198" t="str">
            <v>8036FR4Z5595</v>
          </cell>
          <cell r="E1198" t="str">
            <v xml:space="preserve">WG </v>
          </cell>
          <cell r="F1198" t="str">
            <v xml:space="preserve">SZURGOT                  BOLESŁAW       </v>
          </cell>
          <cell r="G1198" t="str">
            <v>U-14/1</v>
          </cell>
          <cell r="H1198" t="str">
            <v>2</v>
          </cell>
          <cell r="I1198" t="str">
            <v>13-14</v>
          </cell>
          <cell r="J1198" t="str">
            <v>912</v>
          </cell>
          <cell r="K1198" t="str">
            <v>491-04243</v>
          </cell>
          <cell r="L1198" t="str">
            <v>733</v>
          </cell>
          <cell r="M1198" t="str">
            <v/>
          </cell>
          <cell r="N1198" t="str">
            <v>127</v>
          </cell>
        </row>
        <row r="1199">
          <cell r="A1199" t="str">
            <v>NOTEBOOK</v>
          </cell>
          <cell r="B1199" t="str">
            <v>COMPAQ ARMADA E500  PIII 600</v>
          </cell>
          <cell r="C1199" t="str">
            <v>491-4362</v>
          </cell>
          <cell r="D1199" t="str">
            <v>7J0ADN98Y003</v>
          </cell>
          <cell r="E1199" t="str">
            <v xml:space="preserve">WG </v>
          </cell>
          <cell r="F1199" t="str">
            <v xml:space="preserve">CIEPIERSKI               TOMASZ         </v>
          </cell>
          <cell r="G1199" t="str">
            <v>U-14/1</v>
          </cell>
          <cell r="H1199" t="str">
            <v>4</v>
          </cell>
          <cell r="I1199" t="str">
            <v>22-50</v>
          </cell>
          <cell r="J1199" t="str">
            <v>98</v>
          </cell>
          <cell r="K1199" t="str">
            <v>491-04362</v>
          </cell>
          <cell r="L1199" t="str">
            <v>600</v>
          </cell>
          <cell r="M1199" t="str">
            <v/>
          </cell>
          <cell r="N1199" t="str">
            <v>128</v>
          </cell>
        </row>
        <row r="1200">
          <cell r="A1200" t="str">
            <v>STACJA ROBOCZA</v>
          </cell>
          <cell r="B1200" t="str">
            <v>DELL Optiplex GX260 SD</v>
          </cell>
          <cell r="C1200" t="str">
            <v>491-5035</v>
          </cell>
          <cell r="D1200" t="str">
            <v>DMPFL0J</v>
          </cell>
          <cell r="E1200" t="str">
            <v xml:space="preserve">WG </v>
          </cell>
          <cell r="F1200" t="str">
            <v xml:space="preserve">BANASZAK                 STANISŁAW      </v>
          </cell>
          <cell r="G1200" t="str">
            <v>U-14/1</v>
          </cell>
          <cell r="H1200" t="str">
            <v>5</v>
          </cell>
          <cell r="I1200" t="str">
            <v>10-98</v>
          </cell>
          <cell r="J1200" t="str">
            <v>41</v>
          </cell>
          <cell r="K1200" t="str">
            <v>491-05035</v>
          </cell>
          <cell r="L1200" t="str">
            <v>2400</v>
          </cell>
          <cell r="M1200" t="str">
            <v/>
          </cell>
          <cell r="N1200" t="str">
            <v>254</v>
          </cell>
        </row>
        <row r="1201">
          <cell r="A1201" t="str">
            <v>STACJA ROBOCZA</v>
          </cell>
          <cell r="B1201" t="str">
            <v>DELL Optiplex GX260 SD</v>
          </cell>
          <cell r="C1201" t="str">
            <v>491-5153</v>
          </cell>
          <cell r="D1201" t="str">
            <v>FHYGL0J</v>
          </cell>
          <cell r="E1201" t="str">
            <v xml:space="preserve">WG </v>
          </cell>
          <cell r="F1201" t="str">
            <v xml:space="preserve">KACZOROWSKI              TOMASZ         </v>
          </cell>
          <cell r="G1201" t="str">
            <v>D-3</v>
          </cell>
          <cell r="H1201" t="str">
            <v>1</v>
          </cell>
          <cell r="I1201" t="str">
            <v>13-11</v>
          </cell>
          <cell r="J1201" t="str">
            <v>2856</v>
          </cell>
          <cell r="K1201" t="str">
            <v>491-WGD6</v>
          </cell>
          <cell r="L1201" t="str">
            <v>2400</v>
          </cell>
          <cell r="M1201" t="str">
            <v/>
          </cell>
          <cell r="N1201" t="str">
            <v/>
          </cell>
        </row>
        <row r="1202">
          <cell r="A1202" t="str">
            <v>STACJA ROBOCZA</v>
          </cell>
          <cell r="B1202" t="str">
            <v>DELL Optiplex GX1L 350</v>
          </cell>
          <cell r="C1202" t="str">
            <v>491-3549</v>
          </cell>
          <cell r="D1202" t="str">
            <v>PDZB6</v>
          </cell>
          <cell r="E1202" t="str">
            <v xml:space="preserve">WG </v>
          </cell>
          <cell r="F1202" t="str">
            <v xml:space="preserve">SZYMCZYK                 MAREK          </v>
          </cell>
          <cell r="G1202" t="str">
            <v>D-3</v>
          </cell>
          <cell r="H1202" t="str">
            <v>1</v>
          </cell>
          <cell r="I1202" t="str">
            <v>13-12</v>
          </cell>
          <cell r="J1202" t="str">
            <v>9247</v>
          </cell>
          <cell r="K1202" t="str">
            <v>491-03549</v>
          </cell>
          <cell r="L1202" t="str">
            <v>350</v>
          </cell>
          <cell r="M1202" t="str">
            <v/>
          </cell>
          <cell r="N1202" t="str">
            <v>192</v>
          </cell>
        </row>
        <row r="1203">
          <cell r="A1203" t="str">
            <v>STACJA ROBOCZA</v>
          </cell>
          <cell r="B1203" t="str">
            <v>NEC PowerMate VT Destop P III 450</v>
          </cell>
          <cell r="C1203" t="str">
            <v>491-3861</v>
          </cell>
          <cell r="D1203" t="str">
            <v>0744109</v>
          </cell>
          <cell r="E1203" t="str">
            <v xml:space="preserve">WG </v>
          </cell>
          <cell r="F1203" t="str">
            <v xml:space="preserve">SĘKOWSKA                 JOLANTA        </v>
          </cell>
          <cell r="G1203" t="str">
            <v>U-14/1</v>
          </cell>
          <cell r="H1203" t="str">
            <v>3</v>
          </cell>
          <cell r="I1203" t="str">
            <v>23-81</v>
          </cell>
          <cell r="J1203" t="str">
            <v>1133</v>
          </cell>
          <cell r="K1203" t="str">
            <v>491-03861</v>
          </cell>
          <cell r="L1203" t="str">
            <v>450</v>
          </cell>
          <cell r="M1203" t="str">
            <v/>
          </cell>
          <cell r="N1203" t="str">
            <v>192</v>
          </cell>
        </row>
        <row r="1204">
          <cell r="A1204" t="str">
            <v>STACJA ROBOCZA</v>
          </cell>
          <cell r="B1204" t="str">
            <v>COMPAQ DESKPRO EXD PIII 733</v>
          </cell>
          <cell r="C1204" t="str">
            <v>491-4462</v>
          </cell>
          <cell r="D1204" t="str">
            <v>8036FR4ZE582</v>
          </cell>
          <cell r="E1204" t="str">
            <v xml:space="preserve">WI </v>
          </cell>
          <cell r="F1204" t="str">
            <v xml:space="preserve">WARTAK                   HANNA          </v>
          </cell>
          <cell r="G1204" t="str">
            <v>U-12</v>
          </cell>
          <cell r="H1204" t="str">
            <v>38A</v>
          </cell>
          <cell r="I1204" t="str">
            <v>16-27</v>
          </cell>
          <cell r="J1204" t="str">
            <v>1046</v>
          </cell>
          <cell r="K1204" t="str">
            <v>491-04462</v>
          </cell>
          <cell r="L1204" t="str">
            <v>733</v>
          </cell>
          <cell r="M1204" t="str">
            <v/>
          </cell>
          <cell r="N1204" t="str">
            <v>127</v>
          </cell>
        </row>
        <row r="1205">
          <cell r="A1205" t="str">
            <v>STACJA ROBOCZA</v>
          </cell>
          <cell r="B1205" t="str">
            <v>ZENITH Z STATION P166</v>
          </cell>
          <cell r="C1205" t="str">
            <v>491-3101</v>
          </cell>
          <cell r="D1205" t="str">
            <v>GVDD72905432</v>
          </cell>
          <cell r="E1205" t="str">
            <v xml:space="preserve">WI </v>
          </cell>
          <cell r="F1205" t="str">
            <v xml:space="preserve">BARTOSIEWICZ             KAZIMIERZ      </v>
          </cell>
          <cell r="G1205" t="str">
            <v>D-2</v>
          </cell>
          <cell r="H1205" t="str">
            <v>1</v>
          </cell>
          <cell r="I1205" t="str">
            <v>16-91</v>
          </cell>
          <cell r="J1205" t="str">
            <v>91</v>
          </cell>
          <cell r="K1205" t="str">
            <v>491-03101</v>
          </cell>
          <cell r="L1205" t="str">
            <v>166</v>
          </cell>
          <cell r="M1205" t="str">
            <v/>
          </cell>
          <cell r="N1205" t="str">
            <v>64</v>
          </cell>
        </row>
        <row r="1206">
          <cell r="A1206" t="str">
            <v>STACJA ROBOCZA</v>
          </cell>
          <cell r="B1206" t="str">
            <v>DELL Optiplex GX1L 350</v>
          </cell>
          <cell r="C1206" t="str">
            <v>491-3523</v>
          </cell>
          <cell r="D1206" t="str">
            <v>PKGP8</v>
          </cell>
          <cell r="E1206" t="str">
            <v xml:space="preserve">WI </v>
          </cell>
          <cell r="F1206" t="str">
            <v xml:space="preserve">SZYMAŃSKA                BERNADETA      </v>
          </cell>
          <cell r="G1206" t="str">
            <v>U-12</v>
          </cell>
          <cell r="H1206" t="str">
            <v>39</v>
          </cell>
          <cell r="I1206" t="str">
            <v>16-86</v>
          </cell>
          <cell r="J1206" t="str">
            <v>987</v>
          </cell>
          <cell r="K1206" t="str">
            <v>491-03523</v>
          </cell>
          <cell r="L1206" t="str">
            <v>350</v>
          </cell>
          <cell r="M1206" t="str">
            <v/>
          </cell>
          <cell r="N1206" t="str">
            <v>128</v>
          </cell>
        </row>
        <row r="1207">
          <cell r="A1207" t="str">
            <v>STACJA ROBOCZA</v>
          </cell>
          <cell r="B1207" t="str">
            <v>DELL Optiplex GX1L 266</v>
          </cell>
          <cell r="C1207" t="str">
            <v>491-3376</v>
          </cell>
          <cell r="D1207" t="str">
            <v>NM1CC</v>
          </cell>
          <cell r="E1207" t="str">
            <v xml:space="preserve">WI </v>
          </cell>
          <cell r="F1207" t="str">
            <v xml:space="preserve">ZARĘBA                   WIESŁAWA       </v>
          </cell>
          <cell r="G1207" t="str">
            <v>U-12</v>
          </cell>
          <cell r="H1207" t="str">
            <v>330</v>
          </cell>
          <cell r="I1207" t="str">
            <v>14-88</v>
          </cell>
          <cell r="J1207" t="str">
            <v>8522</v>
          </cell>
          <cell r="K1207" t="str">
            <v>491-03376</v>
          </cell>
          <cell r="L1207" t="str">
            <v>266</v>
          </cell>
          <cell r="M1207" t="str">
            <v/>
          </cell>
          <cell r="N1207" t="str">
            <v>96</v>
          </cell>
        </row>
        <row r="1208">
          <cell r="A1208" t="str">
            <v>STACJA ROBOCZA</v>
          </cell>
          <cell r="B1208" t="str">
            <v>DELL Optiplex GX1L 266</v>
          </cell>
          <cell r="C1208" t="str">
            <v>491-3273</v>
          </cell>
          <cell r="D1208" t="str">
            <v>NM19D</v>
          </cell>
          <cell r="E1208" t="str">
            <v xml:space="preserve">WI </v>
          </cell>
          <cell r="F1208" t="str">
            <v xml:space="preserve">LASOŃ                    DARIUSZ        </v>
          </cell>
          <cell r="G1208" t="str">
            <v>MAG.009</v>
          </cell>
          <cell r="H1208" t="str">
            <v>1</v>
          </cell>
          <cell r="I1208" t="str">
            <v>25-19</v>
          </cell>
          <cell r="J1208" t="str">
            <v>2713</v>
          </cell>
          <cell r="K1208" t="str">
            <v>491-03273</v>
          </cell>
          <cell r="L1208" t="str">
            <v>266</v>
          </cell>
          <cell r="M1208" t="str">
            <v/>
          </cell>
          <cell r="N1208" t="str">
            <v>96</v>
          </cell>
        </row>
        <row r="1209">
          <cell r="A1209" t="str">
            <v>STACJA ROBOCZA</v>
          </cell>
          <cell r="B1209" t="str">
            <v>KOMPUTER 486DX</v>
          </cell>
          <cell r="C1209" t="str">
            <v>491-1620/8829</v>
          </cell>
          <cell r="D1209" t="str">
            <v>8829/114</v>
          </cell>
          <cell r="E1209" t="str">
            <v xml:space="preserve">WI </v>
          </cell>
          <cell r="F1209" t="str">
            <v xml:space="preserve">SZAJEK                   ZYGMUNT        </v>
          </cell>
          <cell r="G1209" t="str">
            <v>U-12</v>
          </cell>
          <cell r="H1209" t="str">
            <v>39</v>
          </cell>
          <cell r="I1209" t="str">
            <v>15-31</v>
          </cell>
          <cell r="J1209" t="str">
            <v>937</v>
          </cell>
          <cell r="K1209" t="str">
            <v>491-01620-8829</v>
          </cell>
          <cell r="L1209" t="str">
            <v>300</v>
          </cell>
          <cell r="M1209" t="str">
            <v/>
          </cell>
          <cell r="N1209" t="str">
            <v>128</v>
          </cell>
        </row>
        <row r="1210">
          <cell r="A1210" t="str">
            <v>STACJA ROBOCZA</v>
          </cell>
          <cell r="B1210" t="str">
            <v>KOMPUTER 486DX</v>
          </cell>
          <cell r="C1210" t="str">
            <v>491-1620/11307</v>
          </cell>
          <cell r="D1210" t="str">
            <v>11307/075</v>
          </cell>
          <cell r="E1210" t="str">
            <v xml:space="preserve">WI </v>
          </cell>
          <cell r="F1210" t="str">
            <v xml:space="preserve">DORUCH                   KRZYSZTOF      </v>
          </cell>
          <cell r="G1210" t="str">
            <v>D-2</v>
          </cell>
          <cell r="H1210" t="str">
            <v>1</v>
          </cell>
          <cell r="I1210" t="str">
            <v>16-91</v>
          </cell>
          <cell r="J1210" t="str">
            <v>2868</v>
          </cell>
          <cell r="K1210" t="str">
            <v>491-01620-11307</v>
          </cell>
          <cell r="L1210" t="str">
            <v>500</v>
          </cell>
          <cell r="M1210" t="str">
            <v/>
          </cell>
          <cell r="N1210" t="str">
            <v>128</v>
          </cell>
        </row>
        <row r="1211">
          <cell r="A1211" t="str">
            <v>STACJA ROBOCZA</v>
          </cell>
          <cell r="B1211" t="str">
            <v>DELL Optiplex GX1L 266</v>
          </cell>
          <cell r="C1211" t="str">
            <v>491-3403</v>
          </cell>
          <cell r="D1211" t="str">
            <v>NM1FV</v>
          </cell>
          <cell r="E1211" t="str">
            <v xml:space="preserve">WI </v>
          </cell>
          <cell r="F1211" t="str">
            <v xml:space="preserve">CZYŻYKOWSKI              KRZYSZTOF      </v>
          </cell>
          <cell r="G1211" t="str">
            <v>U-12</v>
          </cell>
          <cell r="H1211" t="str">
            <v>39</v>
          </cell>
          <cell r="I1211" t="str">
            <v>20-81</v>
          </cell>
          <cell r="J1211" t="str">
            <v>120</v>
          </cell>
          <cell r="K1211" t="str">
            <v>491-03403</v>
          </cell>
          <cell r="L1211" t="str">
            <v>266</v>
          </cell>
          <cell r="M1211" t="str">
            <v/>
          </cell>
          <cell r="N1211" t="str">
            <v>96</v>
          </cell>
        </row>
        <row r="1212">
          <cell r="A1212" t="str">
            <v>STACJA ROBOCZA</v>
          </cell>
          <cell r="B1212" t="str">
            <v>KOMPUTER 386DX</v>
          </cell>
          <cell r="C1212" t="str">
            <v>491-2019</v>
          </cell>
          <cell r="D1212" t="str">
            <v>3641/043</v>
          </cell>
          <cell r="E1212" t="str">
            <v xml:space="preserve">WI </v>
          </cell>
          <cell r="F1212" t="str">
            <v xml:space="preserve">KUŚMIEREK                IRENEUSZ       </v>
          </cell>
          <cell r="G1212" t="str">
            <v>D-2</v>
          </cell>
          <cell r="H1212" t="str">
            <v>1</v>
          </cell>
          <cell r="I1212" t="str">
            <v>21-27</v>
          </cell>
          <cell r="J1212" t="str">
            <v>3630</v>
          </cell>
          <cell r="K1212" t="str">
            <v>491-02019</v>
          </cell>
          <cell r="L1212" t="str">
            <v>366</v>
          </cell>
          <cell r="M1212" t="str">
            <v/>
          </cell>
          <cell r="N1212" t="str">
            <v>64</v>
          </cell>
        </row>
        <row r="1213">
          <cell r="A1213" t="str">
            <v>STACJA ROBOCZA</v>
          </cell>
          <cell r="B1213" t="str">
            <v>DELL Optiplex GX260 SD</v>
          </cell>
          <cell r="C1213" t="str">
            <v>491-5086</v>
          </cell>
          <cell r="D1213" t="str">
            <v>9HYGL0J</v>
          </cell>
          <cell r="E1213" t="str">
            <v xml:space="preserve">WI </v>
          </cell>
          <cell r="F1213" t="str">
            <v xml:space="preserve">SITEK                    ZBIGNIEW       </v>
          </cell>
          <cell r="G1213" t="str">
            <v>U-12</v>
          </cell>
          <cell r="H1213" t="str">
            <v>330</v>
          </cell>
          <cell r="I1213" t="str">
            <v>14-88</v>
          </cell>
          <cell r="J1213" t="str">
            <v>894</v>
          </cell>
          <cell r="K1213" t="str">
            <v>491-05086</v>
          </cell>
          <cell r="L1213" t="str">
            <v>2400</v>
          </cell>
          <cell r="M1213" t="str">
            <v/>
          </cell>
          <cell r="N1213" t="str">
            <v>254</v>
          </cell>
        </row>
        <row r="1214">
          <cell r="A1214" t="str">
            <v>STACJA ROBOCZA</v>
          </cell>
          <cell r="B1214" t="str">
            <v>COMPAQ DESKPRO EXD PIII 733</v>
          </cell>
          <cell r="C1214" t="str">
            <v>491-4253</v>
          </cell>
          <cell r="D1214" t="str">
            <v>8036FR4ZE468</v>
          </cell>
          <cell r="E1214" t="str">
            <v xml:space="preserve">WI </v>
          </cell>
          <cell r="F1214" t="str">
            <v xml:space="preserve">KAUF                     MICHAŁ         </v>
          </cell>
          <cell r="G1214" t="str">
            <v>U-12</v>
          </cell>
          <cell r="H1214" t="str">
            <v>38</v>
          </cell>
          <cell r="I1214" t="str">
            <v>16-88</v>
          </cell>
          <cell r="J1214" t="str">
            <v>423</v>
          </cell>
          <cell r="K1214" t="str">
            <v>491-04253</v>
          </cell>
          <cell r="L1214" t="str">
            <v>733</v>
          </cell>
          <cell r="M1214" t="str">
            <v/>
          </cell>
          <cell r="N1214" t="str">
            <v>127</v>
          </cell>
        </row>
        <row r="1215">
          <cell r="A1215" t="str">
            <v>STACJA ROBOCZA</v>
          </cell>
          <cell r="B1215" t="str">
            <v>IVERSON MIC-33</v>
          </cell>
          <cell r="C1215" t="str">
            <v>491-1876</v>
          </cell>
          <cell r="D1215" t="str">
            <v>792-0978-003</v>
          </cell>
          <cell r="E1215" t="str">
            <v xml:space="preserve">WI </v>
          </cell>
          <cell r="F1215" t="str">
            <v xml:space="preserve">KAUF                     MAREK          </v>
          </cell>
          <cell r="G1215" t="str">
            <v>U-12</v>
          </cell>
          <cell r="H1215" t="str">
            <v>39</v>
          </cell>
          <cell r="I1215" t="str">
            <v>34-16</v>
          </cell>
          <cell r="J1215" t="str">
            <v>428</v>
          </cell>
          <cell r="K1215" t="str">
            <v>491-01876</v>
          </cell>
          <cell r="L1215" t="str">
            <v>550</v>
          </cell>
          <cell r="M1215" t="str">
            <v>OK56M</v>
          </cell>
          <cell r="N1215" t="str">
            <v>128</v>
          </cell>
        </row>
        <row r="1216">
          <cell r="A1216" t="str">
            <v>STACJA ROBOCZA</v>
          </cell>
          <cell r="B1216" t="str">
            <v>DELL Optiplex GX260 SD</v>
          </cell>
          <cell r="C1216" t="str">
            <v>491-5085</v>
          </cell>
          <cell r="D1216" t="str">
            <v>GHYGL0J</v>
          </cell>
          <cell r="E1216" t="str">
            <v xml:space="preserve">WI </v>
          </cell>
          <cell r="F1216" t="str">
            <v xml:space="preserve">SENDEROWSKI              WOJCIECH       </v>
          </cell>
          <cell r="G1216" t="str">
            <v>U-12</v>
          </cell>
          <cell r="H1216" t="str">
            <v>38</v>
          </cell>
          <cell r="I1216" t="str">
            <v>18-49</v>
          </cell>
          <cell r="J1216" t="str">
            <v>930</v>
          </cell>
          <cell r="K1216" t="str">
            <v>491-05085</v>
          </cell>
          <cell r="L1216" t="str">
            <v>2400</v>
          </cell>
          <cell r="M1216" t="str">
            <v/>
          </cell>
          <cell r="N1216" t="str">
            <v>254</v>
          </cell>
        </row>
        <row r="1217">
          <cell r="A1217" t="str">
            <v>STACJA ROBOCZA</v>
          </cell>
          <cell r="B1217" t="str">
            <v>KOMPUTER PC/AT</v>
          </cell>
          <cell r="C1217" t="str">
            <v>491-1620/K005</v>
          </cell>
          <cell r="D1217" t="str">
            <v>0B23A</v>
          </cell>
          <cell r="E1217" t="str">
            <v xml:space="preserve">WI </v>
          </cell>
          <cell r="F1217" t="str">
            <v xml:space="preserve">OLCZAK                   ANDRZEJ        </v>
          </cell>
          <cell r="G1217" t="str">
            <v>MAG.009</v>
          </cell>
          <cell r="H1217" t="str">
            <v>1</v>
          </cell>
          <cell r="I1217" t="str">
            <v>25-18</v>
          </cell>
          <cell r="J1217" t="str">
            <v>679</v>
          </cell>
          <cell r="K1217" t="str">
            <v>491-01620-K005</v>
          </cell>
          <cell r="L1217" t="str">
            <v>500</v>
          </cell>
          <cell r="M1217" t="str">
            <v/>
          </cell>
          <cell r="N1217" t="str">
            <v>160</v>
          </cell>
        </row>
        <row r="1218">
          <cell r="A1218" t="str">
            <v>STACJA ROBOCZA</v>
          </cell>
          <cell r="B1218" t="str">
            <v>DELL Optiplex GX1M 350</v>
          </cell>
          <cell r="C1218" t="str">
            <v>491-3600</v>
          </cell>
          <cell r="D1218" t="str">
            <v>PKGQ5</v>
          </cell>
          <cell r="E1218" t="str">
            <v xml:space="preserve">WK </v>
          </cell>
          <cell r="F1218" t="str">
            <v xml:space="preserve">ŚLUSARCZYK               WŁADYSŁAW      </v>
          </cell>
          <cell r="G1218" t="str">
            <v>U-14</v>
          </cell>
          <cell r="H1218" t="str">
            <v>901</v>
          </cell>
          <cell r="I1218" t="str">
            <v>24-42</v>
          </cell>
          <cell r="J1218" t="str">
            <v>994</v>
          </cell>
          <cell r="K1218" t="str">
            <v>491-03600</v>
          </cell>
          <cell r="L1218" t="str">
            <v>350</v>
          </cell>
          <cell r="M1218" t="str">
            <v>OK58J</v>
          </cell>
          <cell r="N1218" t="str">
            <v>64</v>
          </cell>
        </row>
        <row r="1219">
          <cell r="A1219" t="str">
            <v>STACJA ROBOCZA</v>
          </cell>
          <cell r="B1219" t="str">
            <v>DELL Optiplex GX150</v>
          </cell>
          <cell r="C1219" t="str">
            <v>491-4674</v>
          </cell>
          <cell r="D1219" t="str">
            <v>C7QX60J</v>
          </cell>
          <cell r="E1219" t="str">
            <v xml:space="preserve">WK </v>
          </cell>
          <cell r="F1219" t="str">
            <v xml:space="preserve">GÓRALSKA                 MARIOLA        </v>
          </cell>
          <cell r="G1219" t="str">
            <v>U-14</v>
          </cell>
          <cell r="H1219" t="str">
            <v>810</v>
          </cell>
          <cell r="I1219" t="str">
            <v>23-20</v>
          </cell>
          <cell r="J1219" t="str">
            <v>278</v>
          </cell>
          <cell r="K1219" t="str">
            <v>491-04674</v>
          </cell>
          <cell r="L1219" t="str">
            <v>1000</v>
          </cell>
          <cell r="M1219" t="str">
            <v/>
          </cell>
          <cell r="N1219" t="str">
            <v>255</v>
          </cell>
        </row>
        <row r="1220">
          <cell r="A1220" t="str">
            <v>STACJA ROBOCZA</v>
          </cell>
          <cell r="B1220" t="str">
            <v>DELL Optiplex GX260 SD</v>
          </cell>
          <cell r="C1220" t="str">
            <v>491-5033</v>
          </cell>
          <cell r="D1220" t="str">
            <v>CMPFL0J</v>
          </cell>
          <cell r="E1220" t="str">
            <v xml:space="preserve">WK </v>
          </cell>
          <cell r="F1220" t="str">
            <v xml:space="preserve">GRZEŚKOWIAK              WIESŁAWA       </v>
          </cell>
          <cell r="G1220" t="str">
            <v>U-14</v>
          </cell>
          <cell r="H1220" t="str">
            <v>901</v>
          </cell>
          <cell r="I1220" t="str">
            <v>24-42</v>
          </cell>
          <cell r="J1220" t="str">
            <v>249</v>
          </cell>
          <cell r="K1220" t="str">
            <v>491-05033</v>
          </cell>
          <cell r="L1220" t="str">
            <v>2400</v>
          </cell>
          <cell r="M1220" t="str">
            <v/>
          </cell>
          <cell r="N1220" t="str">
            <v>254</v>
          </cell>
        </row>
        <row r="1221">
          <cell r="A1221" t="str">
            <v>STACJA ROBOCZA</v>
          </cell>
          <cell r="B1221" t="str">
            <v>DELL Optiplex GX1M 350</v>
          </cell>
          <cell r="C1221" t="str">
            <v>491-3551</v>
          </cell>
          <cell r="D1221" t="str">
            <v>PKGZ1</v>
          </cell>
          <cell r="E1221" t="str">
            <v xml:space="preserve">WK </v>
          </cell>
          <cell r="F1221" t="str">
            <v xml:space="preserve">GATNIEJEWSKA             HALINA         </v>
          </cell>
          <cell r="G1221" t="str">
            <v>BUE- 6</v>
          </cell>
          <cell r="H1221" t="str">
            <v>1</v>
          </cell>
          <cell r="I1221" t="str">
            <v>24-49</v>
          </cell>
          <cell r="J1221" t="str">
            <v>229</v>
          </cell>
          <cell r="K1221" t="str">
            <v>491-03551</v>
          </cell>
          <cell r="L1221" t="str">
            <v>350</v>
          </cell>
          <cell r="M1221" t="str">
            <v>OK58J</v>
          </cell>
          <cell r="N1221" t="str">
            <v>64</v>
          </cell>
        </row>
        <row r="1222">
          <cell r="A1222" t="str">
            <v>STACJA ROBOCZA</v>
          </cell>
          <cell r="B1222" t="str">
            <v>DELL Optiplex GX150</v>
          </cell>
          <cell r="C1222" t="str">
            <v>491-4673</v>
          </cell>
          <cell r="D1222" t="str">
            <v>B8QX60J</v>
          </cell>
          <cell r="E1222" t="str">
            <v xml:space="preserve">WK </v>
          </cell>
          <cell r="F1222" t="str">
            <v xml:space="preserve">PESTKA-PĘDZIWIATR        BEATA          </v>
          </cell>
          <cell r="G1222" t="str">
            <v>U-14</v>
          </cell>
          <cell r="H1222" t="str">
            <v>808</v>
          </cell>
          <cell r="I1222" t="str">
            <v>24-26</v>
          </cell>
          <cell r="J1222" t="str">
            <v>9335</v>
          </cell>
          <cell r="K1222" t="str">
            <v>491-04673</v>
          </cell>
          <cell r="L1222" t="str">
            <v>1000</v>
          </cell>
          <cell r="M1222" t="str">
            <v/>
          </cell>
          <cell r="N1222" t="str">
            <v>255</v>
          </cell>
        </row>
        <row r="1223">
          <cell r="A1223" t="str">
            <v>STACJA ROBOCZA</v>
          </cell>
          <cell r="B1223" t="str">
            <v>NEC PowerMate VT Destop P III 450</v>
          </cell>
          <cell r="C1223" t="str">
            <v>491-3912</v>
          </cell>
          <cell r="D1223" t="str">
            <v>0267109</v>
          </cell>
          <cell r="E1223" t="str">
            <v xml:space="preserve">WK </v>
          </cell>
          <cell r="F1223" t="str">
            <v xml:space="preserve">MAŁEK                    BOŻENA         </v>
          </cell>
          <cell r="G1223" t="str">
            <v>U-14</v>
          </cell>
          <cell r="H1223" t="str">
            <v>803</v>
          </cell>
          <cell r="I1223" t="str">
            <v>12-75</v>
          </cell>
          <cell r="J1223" t="str">
            <v>4097</v>
          </cell>
          <cell r="K1223" t="str">
            <v>491-03912</v>
          </cell>
          <cell r="L1223" t="str">
            <v>450</v>
          </cell>
          <cell r="M1223" t="str">
            <v/>
          </cell>
          <cell r="N1223" t="str">
            <v>64</v>
          </cell>
        </row>
        <row r="1224">
          <cell r="A1224" t="str">
            <v>STACJA ROBOCZA</v>
          </cell>
          <cell r="B1224" t="str">
            <v>DELL Optiplex GX150</v>
          </cell>
          <cell r="C1224" t="str">
            <v>491-4684</v>
          </cell>
          <cell r="D1224" t="str">
            <v>38QX60J</v>
          </cell>
          <cell r="E1224" t="str">
            <v xml:space="preserve">WK </v>
          </cell>
          <cell r="F1224" t="str">
            <v xml:space="preserve">GRZEŚKOWIAK              WIESŁAWA       </v>
          </cell>
          <cell r="G1224" t="str">
            <v>U-14</v>
          </cell>
          <cell r="H1224" t="str">
            <v>901</v>
          </cell>
          <cell r="I1224" t="str">
            <v>24-42</v>
          </cell>
          <cell r="J1224" t="str">
            <v>249</v>
          </cell>
          <cell r="K1224" t="str">
            <v>491-04684</v>
          </cell>
          <cell r="L1224" t="str">
            <v>1000</v>
          </cell>
          <cell r="M1224" t="str">
            <v/>
          </cell>
          <cell r="N1224" t="str">
            <v>255</v>
          </cell>
        </row>
        <row r="1225">
          <cell r="A1225" t="str">
            <v>STACJA ROBOCZA</v>
          </cell>
          <cell r="B1225" t="str">
            <v>DELL Optiplex GX260 SD</v>
          </cell>
          <cell r="C1225" t="str">
            <v>491-5034</v>
          </cell>
          <cell r="D1225" t="str">
            <v>CNPFL0J</v>
          </cell>
          <cell r="E1225" t="str">
            <v xml:space="preserve">WK </v>
          </cell>
          <cell r="F1225" t="str">
            <v xml:space="preserve">PESTKA-PĘDZIWIATR        BEATA          </v>
          </cell>
          <cell r="G1225" t="str">
            <v>U-14</v>
          </cell>
          <cell r="H1225" t="str">
            <v>808</v>
          </cell>
          <cell r="I1225" t="str">
            <v>24-26</v>
          </cell>
          <cell r="J1225" t="str">
            <v>9335</v>
          </cell>
          <cell r="K1225" t="str">
            <v>491-05034</v>
          </cell>
          <cell r="L1225" t="str">
            <v>2400</v>
          </cell>
          <cell r="M1225" t="str">
            <v/>
          </cell>
          <cell r="N1225" t="str">
            <v>254</v>
          </cell>
        </row>
        <row r="1226">
          <cell r="A1226" t="str">
            <v>STACJA ROBOCZA</v>
          </cell>
          <cell r="B1226" t="str">
            <v>NEC PowerMate VT Destop P III 450</v>
          </cell>
          <cell r="C1226" t="str">
            <v>491-4001</v>
          </cell>
          <cell r="D1226" t="str">
            <v>0293109</v>
          </cell>
          <cell r="E1226" t="str">
            <v xml:space="preserve">WK </v>
          </cell>
          <cell r="F1226" t="str">
            <v xml:space="preserve">PAWLAK                   IZABELA        </v>
          </cell>
          <cell r="G1226" t="str">
            <v>S-7</v>
          </cell>
          <cell r="H1226" t="str">
            <v>20</v>
          </cell>
          <cell r="I1226" t="str">
            <v>18-78</v>
          </cell>
          <cell r="J1226" t="str">
            <v>4403</v>
          </cell>
          <cell r="K1226" t="str">
            <v>491-04001</v>
          </cell>
          <cell r="L1226" t="str">
            <v>450</v>
          </cell>
          <cell r="M1226" t="str">
            <v/>
          </cell>
          <cell r="N1226" t="str">
            <v>64</v>
          </cell>
        </row>
        <row r="1227">
          <cell r="A1227" t="str">
            <v>STACJA ROBOCZA</v>
          </cell>
          <cell r="B1227" t="str">
            <v>COMPAQ DESKPRO EXD PIII 733</v>
          </cell>
          <cell r="C1227" t="str">
            <v>491-4325</v>
          </cell>
          <cell r="D1227" t="str">
            <v>8037FR4Z2720</v>
          </cell>
          <cell r="E1227" t="str">
            <v xml:space="preserve">WK </v>
          </cell>
          <cell r="F1227" t="str">
            <v xml:space="preserve">OLEJNICZAK               ANNA           </v>
          </cell>
          <cell r="G1227" t="str">
            <v>U-14</v>
          </cell>
          <cell r="H1227" t="str">
            <v>808</v>
          </cell>
          <cell r="I1227" t="str">
            <v>24-26</v>
          </cell>
          <cell r="J1227" t="str">
            <v>695</v>
          </cell>
          <cell r="K1227" t="str">
            <v>491-04325</v>
          </cell>
          <cell r="L1227" t="str">
            <v>733</v>
          </cell>
          <cell r="M1227" t="str">
            <v/>
          </cell>
          <cell r="N1227" t="str">
            <v>127</v>
          </cell>
        </row>
        <row r="1228">
          <cell r="A1228" t="str">
            <v>STACJA ROBOCZA</v>
          </cell>
          <cell r="B1228" t="str">
            <v>NEC PMVT Desktop P III 450</v>
          </cell>
          <cell r="C1228" t="str">
            <v>491-3777</v>
          </cell>
          <cell r="D1228" t="str">
            <v>0701109</v>
          </cell>
          <cell r="E1228" t="str">
            <v xml:space="preserve">WK </v>
          </cell>
          <cell r="F1228" t="str">
            <v xml:space="preserve">ŚLUSARCZYK               WŁADYSŁAW      </v>
          </cell>
          <cell r="G1228" t="str">
            <v>U-14</v>
          </cell>
          <cell r="H1228" t="str">
            <v>901</v>
          </cell>
          <cell r="I1228" t="str">
            <v>24-42</v>
          </cell>
          <cell r="J1228" t="str">
            <v>994</v>
          </cell>
          <cell r="K1228" t="str">
            <v>491-03777</v>
          </cell>
          <cell r="L1228" t="str">
            <v>450</v>
          </cell>
          <cell r="M1228" t="str">
            <v/>
          </cell>
          <cell r="N1228" t="str">
            <v>64</v>
          </cell>
        </row>
        <row r="1229">
          <cell r="A1229" t="str">
            <v>STACJA ROBOCZA</v>
          </cell>
          <cell r="B1229" t="str">
            <v>NEC PowerMate VT Destop P III 450</v>
          </cell>
          <cell r="C1229" t="str">
            <v>491-3927</v>
          </cell>
          <cell r="D1229" t="str">
            <v>0304109</v>
          </cell>
          <cell r="E1229" t="str">
            <v xml:space="preserve">WK </v>
          </cell>
          <cell r="F1229" t="str">
            <v xml:space="preserve">NITECKA                  ZENONA         </v>
          </cell>
          <cell r="G1229" t="str">
            <v>U-14</v>
          </cell>
          <cell r="H1229" t="str">
            <v>809</v>
          </cell>
          <cell r="I1229" t="str">
            <v>29-74</v>
          </cell>
          <cell r="J1229" t="str">
            <v>650</v>
          </cell>
          <cell r="K1229" t="str">
            <v>491-03927</v>
          </cell>
          <cell r="L1229" t="str">
            <v>450</v>
          </cell>
          <cell r="M1229" t="str">
            <v/>
          </cell>
          <cell r="N1229" t="str">
            <v>64</v>
          </cell>
        </row>
        <row r="1230">
          <cell r="A1230" t="str">
            <v>STACJA ROBOCZA</v>
          </cell>
          <cell r="B1230" t="str">
            <v>DELL Optiplex GX1L 266</v>
          </cell>
          <cell r="C1230" t="str">
            <v>491-3308</v>
          </cell>
          <cell r="D1230" t="str">
            <v>NM14B</v>
          </cell>
          <cell r="E1230" t="str">
            <v xml:space="preserve">WK </v>
          </cell>
          <cell r="F1230" t="str">
            <v xml:space="preserve">GRZEŚKOWIAK              WIESŁAWA       </v>
          </cell>
          <cell r="G1230" t="str">
            <v>U-14</v>
          </cell>
          <cell r="H1230" t="str">
            <v>901</v>
          </cell>
          <cell r="I1230" t="str">
            <v>24-42</v>
          </cell>
          <cell r="J1230" t="str">
            <v>249</v>
          </cell>
          <cell r="K1230" t="str">
            <v/>
          </cell>
          <cell r="L1230" t="str">
            <v>266</v>
          </cell>
          <cell r="M1230" t="str">
            <v>Nie będzie w sieci</v>
          </cell>
          <cell r="N1230" t="str">
            <v/>
          </cell>
        </row>
        <row r="1231">
          <cell r="A1231" t="str">
            <v>NOTEBOOK</v>
          </cell>
          <cell r="B1231" t="str">
            <v>NEC VERSA SX PII 366 14.1" XGA TFT</v>
          </cell>
          <cell r="C1231" t="str">
            <v>491-3732</v>
          </cell>
          <cell r="D1231" t="str">
            <v>G697700007</v>
          </cell>
          <cell r="E1231" t="str">
            <v xml:space="preserve">WK </v>
          </cell>
          <cell r="F1231" t="str">
            <v xml:space="preserve">KWAPISIEWICZ             KAZIMIERZ      </v>
          </cell>
          <cell r="G1231" t="str">
            <v>U-14</v>
          </cell>
          <cell r="H1231" t="str">
            <v>809</v>
          </cell>
          <cell r="I1231" t="str">
            <v>29-74</v>
          </cell>
          <cell r="J1231" t="str">
            <v>9465</v>
          </cell>
          <cell r="K1231" t="str">
            <v>491-03732</v>
          </cell>
          <cell r="L1231" t="str">
            <v>366</v>
          </cell>
          <cell r="M1231" t="str">
            <v/>
          </cell>
          <cell r="N1231" t="str">
            <v>128</v>
          </cell>
        </row>
        <row r="1232">
          <cell r="A1232" t="str">
            <v>STACJA ROBOCZA</v>
          </cell>
          <cell r="B1232" t="str">
            <v>COMPAQ DESKPRO EXD PIII 733</v>
          </cell>
          <cell r="C1232" t="str">
            <v>491-4380</v>
          </cell>
          <cell r="D1232" t="str">
            <v>8037FR4Z2737</v>
          </cell>
          <cell r="E1232" t="str">
            <v xml:space="preserve">WK </v>
          </cell>
          <cell r="F1232" t="str">
            <v xml:space="preserve">BADURA                   BOŻENA         </v>
          </cell>
          <cell r="G1232" t="str">
            <v>U-14</v>
          </cell>
          <cell r="H1232" t="str">
            <v>807</v>
          </cell>
          <cell r="I1232" t="str">
            <v>24-27</v>
          </cell>
          <cell r="J1232" t="str">
            <v>2033</v>
          </cell>
          <cell r="K1232" t="str">
            <v>491-04380</v>
          </cell>
          <cell r="L1232" t="str">
            <v>733</v>
          </cell>
          <cell r="M1232" t="str">
            <v/>
          </cell>
          <cell r="N1232" t="str">
            <v>127</v>
          </cell>
        </row>
        <row r="1233">
          <cell r="A1233" t="str">
            <v>STACJA ROBOCZA</v>
          </cell>
          <cell r="B1233" t="str">
            <v>COMPAQ DESKPRO EXD PIII 733</v>
          </cell>
          <cell r="C1233" t="str">
            <v>491-4515</v>
          </cell>
          <cell r="D1233" t="str">
            <v>8036FR4ZE235</v>
          </cell>
          <cell r="E1233" t="str">
            <v xml:space="preserve">WK </v>
          </cell>
          <cell r="F1233" t="str">
            <v xml:space="preserve">BEDNAREK                 GRAŻYNA        </v>
          </cell>
          <cell r="G1233" t="str">
            <v>U-14</v>
          </cell>
          <cell r="H1233" t="str">
            <v>810</v>
          </cell>
          <cell r="I1233" t="str">
            <v>13-04</v>
          </cell>
          <cell r="J1233" t="str">
            <v>35</v>
          </cell>
          <cell r="K1233" t="str">
            <v>491-04515</v>
          </cell>
          <cell r="L1233" t="str">
            <v>733</v>
          </cell>
          <cell r="M1233" t="str">
            <v/>
          </cell>
          <cell r="N1233" t="str">
            <v>127</v>
          </cell>
        </row>
        <row r="1234">
          <cell r="A1234" t="str">
            <v>STACJA ROBOCZA</v>
          </cell>
          <cell r="B1234" t="str">
            <v>DELL Optiplex GX1L 266</v>
          </cell>
          <cell r="C1234" t="str">
            <v>491-3263</v>
          </cell>
          <cell r="D1234" t="str">
            <v>NM165</v>
          </cell>
          <cell r="E1234" t="str">
            <v xml:space="preserve">WK </v>
          </cell>
          <cell r="F1234" t="str">
            <v xml:space="preserve">GRZEŚKOWIAK              WIESŁAWA       </v>
          </cell>
          <cell r="G1234" t="str">
            <v>U-14</v>
          </cell>
          <cell r="H1234" t="str">
            <v>901</v>
          </cell>
          <cell r="I1234" t="str">
            <v>24-42</v>
          </cell>
          <cell r="J1234" t="str">
            <v>249</v>
          </cell>
          <cell r="K1234" t="str">
            <v>491-03263</v>
          </cell>
          <cell r="L1234" t="str">
            <v>266</v>
          </cell>
          <cell r="M1234" t="str">
            <v/>
          </cell>
          <cell r="N1234" t="str">
            <v>32</v>
          </cell>
        </row>
        <row r="1235">
          <cell r="A1235" t="str">
            <v>STACJA ROBOCZA</v>
          </cell>
          <cell r="B1235" t="str">
            <v>DELL Optiplex GX260 SD</v>
          </cell>
          <cell r="C1235" t="str">
            <v>491-5032</v>
          </cell>
          <cell r="D1235" t="str">
            <v>BNPFL0J</v>
          </cell>
          <cell r="E1235" t="str">
            <v xml:space="preserve">WK </v>
          </cell>
          <cell r="F1235" t="str">
            <v xml:space="preserve">ŁUSZCZYK                 WIOLETTA       </v>
          </cell>
          <cell r="G1235" t="str">
            <v>U-14</v>
          </cell>
          <cell r="H1235" t="str">
            <v>902</v>
          </cell>
          <cell r="I1235" t="str">
            <v>21-70</v>
          </cell>
          <cell r="J1235" t="str">
            <v>9369</v>
          </cell>
          <cell r="K1235" t="str">
            <v>491-05032</v>
          </cell>
          <cell r="L1235" t="str">
            <v>2400</v>
          </cell>
          <cell r="M1235" t="str">
            <v/>
          </cell>
          <cell r="N1235" t="str">
            <v>254</v>
          </cell>
        </row>
        <row r="1236">
          <cell r="A1236" t="str">
            <v>STACJA ROBOCZA</v>
          </cell>
          <cell r="B1236" t="str">
            <v>NEC PMVT Desktop P III 450</v>
          </cell>
          <cell r="C1236" t="str">
            <v>491-3780</v>
          </cell>
          <cell r="D1236" t="str">
            <v>0662109</v>
          </cell>
          <cell r="E1236" t="str">
            <v xml:space="preserve">WK </v>
          </cell>
          <cell r="F1236" t="str">
            <v xml:space="preserve">GRZEŚKOWIAK              WIESŁAWA       </v>
          </cell>
          <cell r="G1236" t="str">
            <v>U-14</v>
          </cell>
          <cell r="H1236" t="str">
            <v>901</v>
          </cell>
          <cell r="I1236" t="str">
            <v>24-42</v>
          </cell>
          <cell r="J1236" t="str">
            <v>249</v>
          </cell>
          <cell r="K1236" t="str">
            <v>491-03780</v>
          </cell>
          <cell r="L1236" t="str">
            <v>450</v>
          </cell>
          <cell r="M1236" t="str">
            <v/>
          </cell>
          <cell r="N1236" t="str">
            <v>64</v>
          </cell>
        </row>
        <row r="1237">
          <cell r="A1237" t="str">
            <v>STACJA ROBOCZA</v>
          </cell>
          <cell r="B1237" t="str">
            <v>DELL Optiplex GX150</v>
          </cell>
          <cell r="C1237" t="str">
            <v>491-4672</v>
          </cell>
          <cell r="D1237" t="str">
            <v>69QX60J</v>
          </cell>
          <cell r="E1237" t="str">
            <v xml:space="preserve">WK </v>
          </cell>
          <cell r="F1237" t="str">
            <v xml:space="preserve">GATNIEJEWSKA             HALINA         </v>
          </cell>
          <cell r="G1237" t="str">
            <v>BUE- 6</v>
          </cell>
          <cell r="H1237" t="str">
            <v>1</v>
          </cell>
          <cell r="I1237" t="str">
            <v>24-49</v>
          </cell>
          <cell r="J1237" t="str">
            <v>229</v>
          </cell>
          <cell r="K1237" t="str">
            <v>491-04672</v>
          </cell>
          <cell r="L1237" t="str">
            <v>1000</v>
          </cell>
          <cell r="M1237" t="str">
            <v/>
          </cell>
          <cell r="N1237" t="str">
            <v>255</v>
          </cell>
        </row>
        <row r="1238">
          <cell r="A1238" t="str">
            <v>STACJA ROBOCZA</v>
          </cell>
          <cell r="B1238" t="str">
            <v>NEC PMVT Desktop P III 450</v>
          </cell>
          <cell r="C1238" t="str">
            <v>491-3794</v>
          </cell>
          <cell r="D1238" t="str">
            <v>0230109</v>
          </cell>
          <cell r="E1238" t="str">
            <v xml:space="preserve">WK </v>
          </cell>
          <cell r="F1238" t="str">
            <v xml:space="preserve">GRZEŚKOWIAK              WIESŁAWA       </v>
          </cell>
          <cell r="G1238" t="str">
            <v>U-14</v>
          </cell>
          <cell r="H1238" t="str">
            <v>901</v>
          </cell>
          <cell r="I1238" t="str">
            <v>24-42</v>
          </cell>
          <cell r="J1238" t="str">
            <v>249</v>
          </cell>
          <cell r="K1238" t="str">
            <v>491-03794</v>
          </cell>
          <cell r="L1238" t="str">
            <v>450</v>
          </cell>
          <cell r="M1238" t="str">
            <v/>
          </cell>
          <cell r="N1238" t="str">
            <v>64</v>
          </cell>
        </row>
        <row r="1239">
          <cell r="A1239" t="str">
            <v>STACJA ROBOCZA</v>
          </cell>
          <cell r="B1239" t="str">
            <v>COMPAQ DESKPRO 2000 DT 5120 M1080</v>
          </cell>
          <cell r="C1239" t="str">
            <v>491-2795</v>
          </cell>
          <cell r="D1239" t="str">
            <v>8651HVS51703</v>
          </cell>
          <cell r="E1239" t="str">
            <v xml:space="preserve">WK </v>
          </cell>
          <cell r="F1239" t="str">
            <v xml:space="preserve">MAŁEK                    BOŻENA         </v>
          </cell>
          <cell r="G1239" t="str">
            <v>U-14</v>
          </cell>
          <cell r="H1239" t="str">
            <v>803</v>
          </cell>
          <cell r="I1239" t="str">
            <v>12-75</v>
          </cell>
          <cell r="J1239" t="str">
            <v>4097</v>
          </cell>
          <cell r="K1239" t="str">
            <v/>
          </cell>
          <cell r="L1239" t="str">
            <v>120</v>
          </cell>
          <cell r="M1239" t="str">
            <v>OK58J</v>
          </cell>
          <cell r="N1239" t="str">
            <v/>
          </cell>
        </row>
        <row r="1240">
          <cell r="A1240" t="str">
            <v>STACJA ROBOCZA</v>
          </cell>
          <cell r="B1240" t="str">
            <v>DELL Optiplex GX150</v>
          </cell>
          <cell r="C1240" t="str">
            <v>491-4671</v>
          </cell>
          <cell r="D1240" t="str">
            <v>58QX60J</v>
          </cell>
          <cell r="E1240" t="str">
            <v xml:space="preserve">WK </v>
          </cell>
          <cell r="F1240" t="str">
            <v xml:space="preserve">ŚLUSARCZYK               WŁADYSŁAW      </v>
          </cell>
          <cell r="G1240" t="str">
            <v>U-14</v>
          </cell>
          <cell r="H1240" t="str">
            <v>901</v>
          </cell>
          <cell r="I1240" t="str">
            <v>24-42</v>
          </cell>
          <cell r="J1240" t="str">
            <v>994</v>
          </cell>
          <cell r="K1240" t="str">
            <v>491-04671</v>
          </cell>
          <cell r="L1240" t="str">
            <v>1000</v>
          </cell>
          <cell r="M1240" t="str">
            <v/>
          </cell>
          <cell r="N1240" t="str">
            <v>255</v>
          </cell>
        </row>
        <row r="1241">
          <cell r="A1241" t="str">
            <v>STACJA ROBOCZA</v>
          </cell>
          <cell r="B1241" t="str">
            <v>NEC PMVT Desktop P III 450</v>
          </cell>
          <cell r="C1241" t="str">
            <v>491-3827</v>
          </cell>
          <cell r="D1241" t="str">
            <v>0742109</v>
          </cell>
          <cell r="E1241" t="str">
            <v xml:space="preserve">WK </v>
          </cell>
          <cell r="F1241" t="str">
            <v xml:space="preserve">ŚLUSARCZYK               WŁADYSŁAW      </v>
          </cell>
          <cell r="G1241" t="str">
            <v>U-14</v>
          </cell>
          <cell r="H1241" t="str">
            <v>901</v>
          </cell>
          <cell r="I1241" t="str">
            <v>24-42</v>
          </cell>
          <cell r="J1241" t="str">
            <v>994</v>
          </cell>
          <cell r="K1241" t="str">
            <v>WK_WLADEKS2</v>
          </cell>
          <cell r="L1241" t="str">
            <v>450</v>
          </cell>
          <cell r="M1241" t="str">
            <v/>
          </cell>
          <cell r="N1241" t="str">
            <v/>
          </cell>
        </row>
        <row r="1242">
          <cell r="A1242" t="str">
            <v>STACJA ROBOCZA</v>
          </cell>
          <cell r="B1242" t="str">
            <v>DELL Optiplex GX260 SD</v>
          </cell>
          <cell r="C1242" t="str">
            <v>491-5040</v>
          </cell>
          <cell r="D1242" t="str">
            <v>HMPFL0J</v>
          </cell>
          <cell r="E1242" t="str">
            <v xml:space="preserve">WK </v>
          </cell>
          <cell r="F1242" t="str">
            <v xml:space="preserve">PAWLAK                   IZABELA        </v>
          </cell>
          <cell r="G1242" t="str">
            <v>S-7</v>
          </cell>
          <cell r="H1242" t="str">
            <v>20</v>
          </cell>
          <cell r="I1242" t="str">
            <v>18-78</v>
          </cell>
          <cell r="J1242" t="str">
            <v>4403</v>
          </cell>
          <cell r="K1242" t="str">
            <v>491-05040</v>
          </cell>
          <cell r="L1242" t="str">
            <v>2400</v>
          </cell>
          <cell r="M1242" t="str">
            <v/>
          </cell>
          <cell r="N1242" t="str">
            <v>254</v>
          </cell>
        </row>
        <row r="1243">
          <cell r="A1243" t="str">
            <v>STACJA ROBOCZA</v>
          </cell>
          <cell r="B1243" t="str">
            <v>NEC PMVT Desktop P III 450</v>
          </cell>
          <cell r="C1243" t="str">
            <v>491-3826</v>
          </cell>
          <cell r="D1243" t="str">
            <v>0731109</v>
          </cell>
          <cell r="E1243" t="str">
            <v xml:space="preserve">WK </v>
          </cell>
          <cell r="F1243" t="str">
            <v xml:space="preserve">GATNIEJEWSKA             HALINA         </v>
          </cell>
          <cell r="G1243" t="str">
            <v>BUE- 6</v>
          </cell>
          <cell r="H1243" t="str">
            <v>1</v>
          </cell>
          <cell r="I1243" t="str">
            <v>24-49</v>
          </cell>
          <cell r="J1243" t="str">
            <v>229</v>
          </cell>
          <cell r="K1243" t="str">
            <v>491-03826</v>
          </cell>
          <cell r="L1243" t="str">
            <v>450</v>
          </cell>
          <cell r="M1243" t="str">
            <v/>
          </cell>
          <cell r="N1243" t="str">
            <v>64</v>
          </cell>
        </row>
        <row r="1244">
          <cell r="A1244" t="str">
            <v>STACJA ROBOCZA</v>
          </cell>
          <cell r="B1244" t="str">
            <v>DELL Optiplex GX1M P II 450</v>
          </cell>
          <cell r="C1244" t="str">
            <v>491-3655</v>
          </cell>
          <cell r="D1244" t="str">
            <v>QDXTV</v>
          </cell>
          <cell r="E1244" t="str">
            <v xml:space="preserve">WK </v>
          </cell>
          <cell r="F1244" t="str">
            <v xml:space="preserve">PAWLAK                   IZABELA        </v>
          </cell>
          <cell r="G1244" t="str">
            <v>S-7</v>
          </cell>
          <cell r="H1244" t="str">
            <v>20</v>
          </cell>
          <cell r="I1244" t="str">
            <v>18-78</v>
          </cell>
          <cell r="J1244" t="str">
            <v>4403</v>
          </cell>
          <cell r="K1244" t="str">
            <v>491-03655</v>
          </cell>
          <cell r="L1244" t="str">
            <v>450</v>
          </cell>
          <cell r="M1244" t="str">
            <v/>
          </cell>
          <cell r="N1244" t="str">
            <v>64</v>
          </cell>
        </row>
        <row r="1245">
          <cell r="A1245" t="str">
            <v>STACJA ROBOCZA</v>
          </cell>
          <cell r="B1245" t="str">
            <v>NEC PowerMate VT Destop P III 450</v>
          </cell>
          <cell r="C1245" t="str">
            <v>491-4038</v>
          </cell>
          <cell r="D1245" t="str">
            <v>0224109</v>
          </cell>
          <cell r="E1245" t="str">
            <v xml:space="preserve">WK </v>
          </cell>
          <cell r="F1245" t="str">
            <v xml:space="preserve">PAWLAK                   IZABELA        </v>
          </cell>
          <cell r="G1245" t="str">
            <v>S-7</v>
          </cell>
          <cell r="H1245" t="str">
            <v>20</v>
          </cell>
          <cell r="I1245" t="str">
            <v>18-78</v>
          </cell>
          <cell r="J1245" t="str">
            <v>4403</v>
          </cell>
          <cell r="K1245" t="str">
            <v>491-04038</v>
          </cell>
          <cell r="L1245" t="str">
            <v>450</v>
          </cell>
          <cell r="M1245" t="str">
            <v/>
          </cell>
          <cell r="N1245" t="str">
            <v>64</v>
          </cell>
        </row>
        <row r="1246">
          <cell r="A1246" t="str">
            <v>STACJA ROBOCZA</v>
          </cell>
          <cell r="B1246" t="str">
            <v>NEC PMVT Desktop P III 450</v>
          </cell>
          <cell r="C1246" t="str">
            <v>491-3835</v>
          </cell>
          <cell r="D1246" t="str">
            <v>0663109</v>
          </cell>
          <cell r="E1246" t="str">
            <v xml:space="preserve">WK </v>
          </cell>
          <cell r="F1246" t="str">
            <v xml:space="preserve">PAWLAK                   IZABELA        </v>
          </cell>
          <cell r="G1246" t="str">
            <v>S-7</v>
          </cell>
          <cell r="H1246" t="str">
            <v>20</v>
          </cell>
          <cell r="I1246" t="str">
            <v>18-78</v>
          </cell>
          <cell r="J1246" t="str">
            <v>4403</v>
          </cell>
          <cell r="K1246" t="str">
            <v>491-03835</v>
          </cell>
          <cell r="L1246" t="str">
            <v>450</v>
          </cell>
          <cell r="M1246" t="str">
            <v/>
          </cell>
          <cell r="N1246" t="str">
            <v>64</v>
          </cell>
        </row>
        <row r="1247">
          <cell r="A1247" t="str">
            <v>STACJA ROBOCZA</v>
          </cell>
          <cell r="B1247" t="str">
            <v>NEC PowerMate VT Destop P III 450</v>
          </cell>
          <cell r="C1247" t="str">
            <v>491-3911</v>
          </cell>
          <cell r="D1247" t="str">
            <v>0271109</v>
          </cell>
          <cell r="E1247" t="str">
            <v xml:space="preserve">WK </v>
          </cell>
          <cell r="F1247" t="str">
            <v xml:space="preserve">KAPELA                   ANNA           </v>
          </cell>
          <cell r="G1247" t="str">
            <v>W6/2</v>
          </cell>
          <cell r="H1247" t="str">
            <v>4</v>
          </cell>
          <cell r="I1247" t="str">
            <v>25-81</v>
          </cell>
          <cell r="J1247" t="str">
            <v>1563</v>
          </cell>
          <cell r="K1247" t="str">
            <v>491-03911</v>
          </cell>
          <cell r="L1247" t="str">
            <v>450</v>
          </cell>
          <cell r="M1247" t="str">
            <v/>
          </cell>
          <cell r="N1247" t="str">
            <v>64</v>
          </cell>
        </row>
        <row r="1248">
          <cell r="A1248" t="str">
            <v>STACJA ROBOCZA</v>
          </cell>
          <cell r="B1248" t="str">
            <v>DELL Optiplex GX150</v>
          </cell>
          <cell r="C1248" t="str">
            <v>491-4670</v>
          </cell>
          <cell r="D1248" t="str">
            <v>J8QX60J</v>
          </cell>
          <cell r="E1248" t="str">
            <v xml:space="preserve">WK </v>
          </cell>
          <cell r="F1248" t="str">
            <v xml:space="preserve">KWAPISIEWICZ             KAZIMIERZ      </v>
          </cell>
          <cell r="G1248" t="str">
            <v>U-14</v>
          </cell>
          <cell r="H1248" t="str">
            <v>809</v>
          </cell>
          <cell r="I1248" t="str">
            <v>29-74</v>
          </cell>
          <cell r="J1248" t="str">
            <v>9465</v>
          </cell>
          <cell r="K1248" t="str">
            <v>491-04670</v>
          </cell>
          <cell r="L1248" t="str">
            <v>1000</v>
          </cell>
          <cell r="M1248" t="str">
            <v/>
          </cell>
          <cell r="N1248" t="str">
            <v>255</v>
          </cell>
        </row>
        <row r="1249">
          <cell r="A1249" t="str">
            <v>STACJA ROBOCZA</v>
          </cell>
          <cell r="B1249" t="str">
            <v>DELL Optiplex GX1L 266</v>
          </cell>
          <cell r="C1249" t="str">
            <v>491-3281</v>
          </cell>
          <cell r="D1249" t="str">
            <v>NM18C</v>
          </cell>
          <cell r="E1249" t="str">
            <v xml:space="preserve">WK </v>
          </cell>
          <cell r="F1249" t="str">
            <v xml:space="preserve">KAPELA                   ANNA           </v>
          </cell>
          <cell r="G1249" t="str">
            <v>W6/2</v>
          </cell>
          <cell r="H1249" t="str">
            <v>4</v>
          </cell>
          <cell r="I1249" t="str">
            <v>25-81</v>
          </cell>
          <cell r="J1249" t="str">
            <v>1563</v>
          </cell>
          <cell r="K1249" t="str">
            <v>491-03281</v>
          </cell>
          <cell r="L1249" t="str">
            <v>266</v>
          </cell>
          <cell r="M1249" t="str">
            <v/>
          </cell>
          <cell r="N1249" t="str">
            <v>32</v>
          </cell>
        </row>
        <row r="1250">
          <cell r="A1250" t="str">
            <v>STACJA ROBOCZA</v>
          </cell>
          <cell r="B1250" t="str">
            <v>DELL Optiplex GX1L 350</v>
          </cell>
          <cell r="C1250" t="str">
            <v>491-3516</v>
          </cell>
          <cell r="D1250" t="str">
            <v>PKGP9</v>
          </cell>
          <cell r="E1250" t="str">
            <v xml:space="preserve">WK </v>
          </cell>
          <cell r="F1250" t="str">
            <v xml:space="preserve">GATNIEJEWSKA             HALINA         </v>
          </cell>
          <cell r="G1250" t="str">
            <v>BUE- 6</v>
          </cell>
          <cell r="H1250" t="str">
            <v>1</v>
          </cell>
          <cell r="I1250" t="str">
            <v>24-49</v>
          </cell>
          <cell r="J1250" t="str">
            <v>229</v>
          </cell>
          <cell r="K1250" t="str">
            <v>491-03516</v>
          </cell>
          <cell r="L1250" t="str">
            <v>350</v>
          </cell>
          <cell r="M1250" t="str">
            <v>OK58J</v>
          </cell>
          <cell r="N1250" t="str">
            <v>64</v>
          </cell>
        </row>
        <row r="1251">
          <cell r="A1251" t="str">
            <v>STACJA ROBOCZA</v>
          </cell>
          <cell r="B1251" t="str">
            <v>NEC PowerMate VT Destop P III 450</v>
          </cell>
          <cell r="C1251" t="str">
            <v>491-4008</v>
          </cell>
          <cell r="D1251" t="str">
            <v>0296109</v>
          </cell>
          <cell r="E1251" t="str">
            <v xml:space="preserve">WK </v>
          </cell>
          <cell r="F1251" t="str">
            <v xml:space="preserve">ŁUSZCZYK                 WIOLETTA       </v>
          </cell>
          <cell r="G1251" t="str">
            <v>U-14</v>
          </cell>
          <cell r="H1251" t="str">
            <v>902</v>
          </cell>
          <cell r="I1251" t="str">
            <v>21-70</v>
          </cell>
          <cell r="J1251" t="str">
            <v>9369</v>
          </cell>
          <cell r="K1251" t="str">
            <v>VIOLAS</v>
          </cell>
          <cell r="L1251" t="str">
            <v>450</v>
          </cell>
          <cell r="M1251" t="str">
            <v>W2K</v>
          </cell>
          <cell r="N1251" t="str">
            <v/>
          </cell>
        </row>
        <row r="1252">
          <cell r="A1252" t="str">
            <v>STACJA ROBOCZA</v>
          </cell>
          <cell r="B1252" t="str">
            <v>NEC PMVT Desktop P III 450</v>
          </cell>
          <cell r="C1252" t="str">
            <v>491-3833</v>
          </cell>
          <cell r="D1252" t="str">
            <v>0669109</v>
          </cell>
          <cell r="E1252" t="str">
            <v xml:space="preserve">WK </v>
          </cell>
          <cell r="F1252" t="str">
            <v xml:space="preserve">KAPELA                   ANNA           </v>
          </cell>
          <cell r="G1252" t="str">
            <v>W6/2</v>
          </cell>
          <cell r="H1252" t="str">
            <v>4</v>
          </cell>
          <cell r="I1252" t="str">
            <v>25-81</v>
          </cell>
          <cell r="J1252" t="str">
            <v>1563</v>
          </cell>
          <cell r="K1252" t="str">
            <v>491-03833</v>
          </cell>
          <cell r="L1252" t="str">
            <v>450</v>
          </cell>
          <cell r="M1252" t="str">
            <v/>
          </cell>
          <cell r="N1252" t="str">
            <v>64</v>
          </cell>
        </row>
        <row r="1253">
          <cell r="A1253" t="str">
            <v>STACJA ROBOCZA</v>
          </cell>
          <cell r="B1253" t="str">
            <v>COMPAQ DESKPRO EXD PIII 733</v>
          </cell>
          <cell r="C1253" t="str">
            <v>491-4314</v>
          </cell>
          <cell r="D1253" t="str">
            <v>8036FR4ZE224</v>
          </cell>
          <cell r="E1253" t="str">
            <v xml:space="preserve">WK </v>
          </cell>
          <cell r="F1253" t="str">
            <v xml:space="preserve">STACHOWSKA               DANUTA         </v>
          </cell>
          <cell r="G1253" t="str">
            <v>U-14</v>
          </cell>
          <cell r="H1253" t="str">
            <v>802</v>
          </cell>
          <cell r="I1253" t="str">
            <v>23-20</v>
          </cell>
          <cell r="J1253" t="str">
            <v>9131</v>
          </cell>
          <cell r="K1253" t="str">
            <v>491-04314</v>
          </cell>
          <cell r="L1253" t="str">
            <v>733</v>
          </cell>
          <cell r="M1253" t="str">
            <v/>
          </cell>
          <cell r="N1253" t="str">
            <v>127</v>
          </cell>
        </row>
        <row r="1254">
          <cell r="A1254" t="str">
            <v>STACJA ROBOCZA</v>
          </cell>
          <cell r="B1254" t="str">
            <v>COMPAQ DESKPRO EXD PIII 733</v>
          </cell>
          <cell r="C1254" t="str">
            <v>491-4259</v>
          </cell>
          <cell r="D1254" t="str">
            <v>8036FR4ZE478</v>
          </cell>
          <cell r="E1254" t="str">
            <v xml:space="preserve">WL </v>
          </cell>
          <cell r="F1254" t="str">
            <v xml:space="preserve">SOŁTYSIAK                TADEUSZ        </v>
          </cell>
          <cell r="G1254" t="str">
            <v>U-2</v>
          </cell>
          <cell r="H1254" t="str">
            <v>210A</v>
          </cell>
          <cell r="I1254" t="str">
            <v>16-74</v>
          </cell>
          <cell r="J1254" t="str">
            <v>974</v>
          </cell>
          <cell r="K1254" t="str">
            <v>491-04259</v>
          </cell>
          <cell r="L1254" t="str">
            <v>733</v>
          </cell>
          <cell r="M1254" t="str">
            <v/>
          </cell>
          <cell r="N1254" t="str">
            <v>127</v>
          </cell>
        </row>
        <row r="1255">
          <cell r="A1255" t="str">
            <v>STACJA ROBOCZA</v>
          </cell>
          <cell r="B1255" t="str">
            <v>DELL Optiplex GX1L 266</v>
          </cell>
          <cell r="C1255" t="str">
            <v>491-3325</v>
          </cell>
          <cell r="D1255" t="str">
            <v>NM1HK</v>
          </cell>
          <cell r="E1255" t="str">
            <v xml:space="preserve">WL </v>
          </cell>
          <cell r="F1255" t="str">
            <v xml:space="preserve">ZDUNEK                   LESZEK         </v>
          </cell>
          <cell r="G1255" t="str">
            <v>U-2</v>
          </cell>
          <cell r="H1255" t="str">
            <v>211A</v>
          </cell>
          <cell r="I1255" t="str">
            <v>25-82</v>
          </cell>
          <cell r="J1255" t="str">
            <v>1123</v>
          </cell>
          <cell r="K1255" t="str">
            <v>491-03325</v>
          </cell>
          <cell r="L1255" t="str">
            <v>266</v>
          </cell>
          <cell r="M1255" t="str">
            <v/>
          </cell>
          <cell r="N1255" t="str">
            <v>128</v>
          </cell>
        </row>
        <row r="1256">
          <cell r="A1256" t="str">
            <v>STACJA ROBOCZA</v>
          </cell>
          <cell r="B1256" t="str">
            <v>DELL Optiplex GX1L 350</v>
          </cell>
          <cell r="C1256" t="str">
            <v>491-3583</v>
          </cell>
          <cell r="D1256" t="str">
            <v>PKGPL</v>
          </cell>
          <cell r="E1256" t="str">
            <v xml:space="preserve">WL </v>
          </cell>
          <cell r="F1256" t="str">
            <v xml:space="preserve">BARANIAK                 ANDRZEJ        </v>
          </cell>
          <cell r="G1256" t="str">
            <v>U-2</v>
          </cell>
          <cell r="H1256" t="str">
            <v>211A</v>
          </cell>
          <cell r="I1256" t="str">
            <v>41-17</v>
          </cell>
          <cell r="J1256" t="str">
            <v>76</v>
          </cell>
          <cell r="K1256" t="str">
            <v>491-03583</v>
          </cell>
          <cell r="L1256" t="str">
            <v>350</v>
          </cell>
          <cell r="M1256" t="str">
            <v>OK55J</v>
          </cell>
          <cell r="N1256" t="str">
            <v>64</v>
          </cell>
        </row>
        <row r="1257">
          <cell r="A1257" t="str">
            <v>STACJA ROBOCZA</v>
          </cell>
          <cell r="B1257" t="str">
            <v>COMPAQ DESKPRO EXD PIII 733</v>
          </cell>
          <cell r="C1257" t="str">
            <v>491-4479</v>
          </cell>
          <cell r="D1257" t="str">
            <v>8037FR4Z2722</v>
          </cell>
          <cell r="E1257" t="str">
            <v xml:space="preserve">WL </v>
          </cell>
          <cell r="F1257" t="str">
            <v xml:space="preserve">RACHWALIK                MACIEJ         </v>
          </cell>
          <cell r="G1257" t="str">
            <v>U-2</v>
          </cell>
          <cell r="H1257" t="str">
            <v>211A</v>
          </cell>
          <cell r="I1257" t="str">
            <v>16-49</v>
          </cell>
          <cell r="J1257" t="str">
            <v>821</v>
          </cell>
          <cell r="K1257" t="str">
            <v>491-04479</v>
          </cell>
          <cell r="L1257" t="str">
            <v>733</v>
          </cell>
          <cell r="M1257" t="str">
            <v/>
          </cell>
          <cell r="N1257" t="str">
            <v>127</v>
          </cell>
        </row>
        <row r="1258">
          <cell r="A1258" t="str">
            <v>STACJA ROBOCZA</v>
          </cell>
          <cell r="B1258" t="str">
            <v>DELL Optiplex GX150</v>
          </cell>
          <cell r="C1258" t="str">
            <v>491-4748</v>
          </cell>
          <cell r="D1258" t="str">
            <v>6M3Y60J</v>
          </cell>
          <cell r="E1258" t="str">
            <v xml:space="preserve">WL </v>
          </cell>
          <cell r="F1258" t="str">
            <v xml:space="preserve">LEŚ                      IRENEUSZ       </v>
          </cell>
          <cell r="G1258" t="str">
            <v>U-3</v>
          </cell>
          <cell r="H1258" t="str">
            <v>313</v>
          </cell>
          <cell r="I1258" t="str">
            <v>34-96</v>
          </cell>
          <cell r="J1258" t="str">
            <v>525</v>
          </cell>
          <cell r="K1258" t="str">
            <v>491-04748</v>
          </cell>
          <cell r="L1258" t="str">
            <v>1000</v>
          </cell>
          <cell r="M1258" t="str">
            <v/>
          </cell>
          <cell r="N1258" t="str">
            <v>255</v>
          </cell>
        </row>
        <row r="1259">
          <cell r="A1259" t="str">
            <v>STACJA ROBOCZA</v>
          </cell>
          <cell r="B1259" t="str">
            <v>NEC Direction Minitower P III 450</v>
          </cell>
          <cell r="C1259" t="str">
            <v>491-3774</v>
          </cell>
          <cell r="D1259" t="str">
            <v>0164109</v>
          </cell>
          <cell r="E1259" t="str">
            <v xml:space="preserve">WL </v>
          </cell>
          <cell r="F1259" t="str">
            <v xml:space="preserve">DRZEWOSZ                 KRZYSZTOF      </v>
          </cell>
          <cell r="G1259" t="str">
            <v>U-12</v>
          </cell>
          <cell r="H1259" t="str">
            <v>211</v>
          </cell>
          <cell r="I1259" t="str">
            <v>16-56</v>
          </cell>
          <cell r="J1259" t="str">
            <v>6082</v>
          </cell>
          <cell r="K1259" t="str">
            <v>491-03774</v>
          </cell>
          <cell r="L1259" t="str">
            <v>450</v>
          </cell>
          <cell r="M1259" t="str">
            <v/>
          </cell>
          <cell r="N1259" t="str">
            <v>128</v>
          </cell>
        </row>
        <row r="1260">
          <cell r="A1260" t="str">
            <v>STACJA ROBOCZA</v>
          </cell>
          <cell r="B1260" t="str">
            <v>DELL Optiplex GX150</v>
          </cell>
          <cell r="C1260" t="str">
            <v>491-4747</v>
          </cell>
          <cell r="D1260" t="str">
            <v>2L3Y60J</v>
          </cell>
          <cell r="E1260" t="str">
            <v xml:space="preserve">WL </v>
          </cell>
          <cell r="F1260" t="str">
            <v xml:space="preserve">STODULSKI                JAROSŁAW       </v>
          </cell>
          <cell r="G1260" t="str">
            <v>U-2</v>
          </cell>
          <cell r="H1260" t="str">
            <v>210</v>
          </cell>
          <cell r="I1260" t="str">
            <v>16-65</v>
          </cell>
          <cell r="J1260" t="str">
            <v>5104</v>
          </cell>
          <cell r="K1260" t="str">
            <v>491-04747</v>
          </cell>
          <cell r="L1260" t="str">
            <v>1000</v>
          </cell>
          <cell r="M1260" t="str">
            <v/>
          </cell>
          <cell r="N1260" t="str">
            <v>255</v>
          </cell>
        </row>
        <row r="1261">
          <cell r="A1261" t="str">
            <v>STACJA ROBOCZA</v>
          </cell>
          <cell r="B1261" t="str">
            <v>DELL Optiplex GX1M 350</v>
          </cell>
          <cell r="C1261" t="str">
            <v>491-3556</v>
          </cell>
          <cell r="D1261" t="str">
            <v>PKGPK</v>
          </cell>
          <cell r="E1261" t="str">
            <v xml:space="preserve">WL </v>
          </cell>
          <cell r="F1261" t="str">
            <v xml:space="preserve">DUKAT                    ANDRZEJ        </v>
          </cell>
          <cell r="G1261" t="str">
            <v>U-3</v>
          </cell>
          <cell r="H1261" t="str">
            <v>304B</v>
          </cell>
          <cell r="I1261" t="str">
            <v>16-44</v>
          </cell>
          <cell r="J1261" t="str">
            <v>170</v>
          </cell>
          <cell r="K1261" t="str">
            <v>491-03556</v>
          </cell>
          <cell r="L1261" t="str">
            <v>350</v>
          </cell>
          <cell r="M1261" t="str">
            <v/>
          </cell>
          <cell r="N1261" t="str">
            <v>64</v>
          </cell>
        </row>
        <row r="1262">
          <cell r="A1262" t="str">
            <v>STACJA ROBOCZA</v>
          </cell>
          <cell r="B1262" t="str">
            <v>DELL Optiplex GX260 SD</v>
          </cell>
          <cell r="C1262" t="str">
            <v>491-5031</v>
          </cell>
          <cell r="D1262" t="str">
            <v>BMPFL0J</v>
          </cell>
          <cell r="E1262" t="str">
            <v xml:space="preserve">WL </v>
          </cell>
          <cell r="F1262" t="str">
            <v xml:space="preserve">MACIEJEWSKI              JACEK          </v>
          </cell>
          <cell r="G1262" t="str">
            <v>U-2</v>
          </cell>
          <cell r="H1262" t="str">
            <v>212</v>
          </cell>
          <cell r="I1262" t="str">
            <v>16-65</v>
          </cell>
          <cell r="J1262" t="str">
            <v>597</v>
          </cell>
          <cell r="K1262" t="str">
            <v>491-05031</v>
          </cell>
          <cell r="L1262" t="str">
            <v>2400</v>
          </cell>
          <cell r="M1262" t="str">
            <v/>
          </cell>
          <cell r="N1262" t="str">
            <v>254</v>
          </cell>
        </row>
        <row r="1263">
          <cell r="A1263" t="str">
            <v>STACJA ROBOCZA</v>
          </cell>
          <cell r="B1263" t="str">
            <v>NEC Direction Minitower P III 450</v>
          </cell>
          <cell r="C1263" t="str">
            <v>491-3768</v>
          </cell>
          <cell r="D1263" t="str">
            <v>0165109</v>
          </cell>
          <cell r="E1263" t="str">
            <v xml:space="preserve">WL </v>
          </cell>
          <cell r="F1263" t="str">
            <v xml:space="preserve">BRUCKI-STEMPKOWSKI       PRZEMYSŁAW     </v>
          </cell>
          <cell r="G1263" t="str">
            <v>U-2</v>
          </cell>
          <cell r="H1263" t="str">
            <v>210</v>
          </cell>
          <cell r="I1263" t="str">
            <v>16-65</v>
          </cell>
          <cell r="J1263" t="str">
            <v>65</v>
          </cell>
          <cell r="K1263" t="str">
            <v>491-03768</v>
          </cell>
          <cell r="L1263" t="str">
            <v>450</v>
          </cell>
          <cell r="M1263" t="str">
            <v/>
          </cell>
          <cell r="N1263" t="str">
            <v>64</v>
          </cell>
        </row>
        <row r="1264">
          <cell r="A1264" t="str">
            <v>STACJA ROBOCZA</v>
          </cell>
          <cell r="B1264" t="str">
            <v>COMPAQ DESKPRO EXD PIII 733</v>
          </cell>
          <cell r="C1264" t="str">
            <v>491-4276</v>
          </cell>
          <cell r="D1264" t="str">
            <v>8036FR4ZE470</v>
          </cell>
          <cell r="E1264" t="str">
            <v xml:space="preserve">WL </v>
          </cell>
          <cell r="F1264" t="str">
            <v xml:space="preserve">ROUSSEAU                 KAMIL          </v>
          </cell>
          <cell r="G1264" t="str">
            <v>U-2</v>
          </cell>
          <cell r="H1264" t="str">
            <v>210A</v>
          </cell>
          <cell r="I1264" t="str">
            <v>16-64</v>
          </cell>
          <cell r="J1264" t="str">
            <v>841</v>
          </cell>
          <cell r="K1264" t="str">
            <v>491-04276</v>
          </cell>
          <cell r="L1264" t="str">
            <v>733</v>
          </cell>
          <cell r="M1264" t="str">
            <v/>
          </cell>
          <cell r="N1264" t="str">
            <v>127</v>
          </cell>
        </row>
        <row r="1265">
          <cell r="A1265" t="str">
            <v>STACJA ROBOCZA</v>
          </cell>
          <cell r="B1265" t="str">
            <v>DELL Optiplex GX150</v>
          </cell>
          <cell r="C1265" t="str">
            <v>491-4752</v>
          </cell>
          <cell r="D1265" t="str">
            <v>3L3Y60J</v>
          </cell>
          <cell r="E1265" t="str">
            <v xml:space="preserve">WM </v>
          </cell>
          <cell r="F1265" t="str">
            <v xml:space="preserve">PĘDZIWIATR               DARIUSZ        </v>
          </cell>
          <cell r="G1265" t="str">
            <v>U-2</v>
          </cell>
          <cell r="H1265" t="str">
            <v>216</v>
          </cell>
          <cell r="I1265" t="str">
            <v>16-28</v>
          </cell>
          <cell r="J1265" t="str">
            <v>9173</v>
          </cell>
          <cell r="K1265" t="str">
            <v>WM-DARIUSZP</v>
          </cell>
          <cell r="L1265" t="str">
            <v>1000</v>
          </cell>
          <cell r="M1265" t="str">
            <v/>
          </cell>
          <cell r="N1265" t="str">
            <v/>
          </cell>
        </row>
        <row r="1266">
          <cell r="A1266" t="str">
            <v>STACJA ROBOCZA</v>
          </cell>
          <cell r="B1266" t="str">
            <v>ZENITH Z STATION P166</v>
          </cell>
          <cell r="C1266" t="str">
            <v>491-3002</v>
          </cell>
          <cell r="D1266" t="str">
            <v>GVDD72905265</v>
          </cell>
          <cell r="E1266" t="str">
            <v xml:space="preserve">WM </v>
          </cell>
          <cell r="F1266" t="str">
            <v xml:space="preserve">SITEK                    MAREK          </v>
          </cell>
          <cell r="G1266" t="str">
            <v>U-2</v>
          </cell>
          <cell r="H1266" t="str">
            <v>217A</v>
          </cell>
          <cell r="I1266" t="str">
            <v>34-95</v>
          </cell>
          <cell r="J1266" t="str">
            <v>958</v>
          </cell>
          <cell r="K1266" t="str">
            <v>491-03002</v>
          </cell>
          <cell r="L1266" t="str">
            <v>166</v>
          </cell>
          <cell r="M1266" t="str">
            <v>OK55J</v>
          </cell>
          <cell r="N1266" t="str">
            <v>80</v>
          </cell>
        </row>
        <row r="1267">
          <cell r="A1267" t="str">
            <v>STACJA ROBOCZA</v>
          </cell>
          <cell r="B1267" t="str">
            <v>COMPAQ DESKPRO EXD PIII 733</v>
          </cell>
          <cell r="C1267" t="str">
            <v>491-4320</v>
          </cell>
          <cell r="D1267" t="str">
            <v>8036FR4Z6676</v>
          </cell>
          <cell r="E1267" t="str">
            <v xml:space="preserve">WM </v>
          </cell>
          <cell r="F1267" t="str">
            <v xml:space="preserve">OCHAB                    ZOFIA          </v>
          </cell>
          <cell r="G1267" t="str">
            <v>U-2</v>
          </cell>
          <cell r="H1267" t="str">
            <v>218A</v>
          </cell>
          <cell r="I1267" t="str">
            <v>16-31</v>
          </cell>
          <cell r="J1267" t="str">
            <v>685</v>
          </cell>
          <cell r="K1267" t="str">
            <v>491-04320</v>
          </cell>
          <cell r="L1267" t="str">
            <v>733</v>
          </cell>
          <cell r="M1267" t="str">
            <v/>
          </cell>
          <cell r="N1267" t="str">
            <v>127</v>
          </cell>
        </row>
        <row r="1268">
          <cell r="A1268" t="str">
            <v>STACJA ROBOCZA</v>
          </cell>
          <cell r="B1268" t="str">
            <v>DELL Optiplex GX1L 350</v>
          </cell>
          <cell r="C1268" t="str">
            <v>491-3514</v>
          </cell>
          <cell r="D1268" t="str">
            <v>PKGPQ</v>
          </cell>
          <cell r="E1268" t="str">
            <v xml:space="preserve">WM </v>
          </cell>
          <cell r="F1268" t="str">
            <v xml:space="preserve">SZREDER                  ADAM           </v>
          </cell>
          <cell r="G1268" t="str">
            <v>U-2</v>
          </cell>
          <cell r="H1268" t="str">
            <v>218A</v>
          </cell>
          <cell r="I1268" t="str">
            <v>16-30</v>
          </cell>
          <cell r="J1268" t="str">
            <v>915</v>
          </cell>
          <cell r="K1268" t="str">
            <v>491-03514</v>
          </cell>
          <cell r="L1268" t="str">
            <v>350</v>
          </cell>
          <cell r="M1268" t="str">
            <v/>
          </cell>
          <cell r="N1268" t="str">
            <v>128</v>
          </cell>
        </row>
        <row r="1269">
          <cell r="A1269" t="str">
            <v>NOTEBOOK</v>
          </cell>
          <cell r="B1269" t="str">
            <v>NEC VERSA SX PII 366 14.1" XGA TFT</v>
          </cell>
          <cell r="C1269" t="str">
            <v>491-3730</v>
          </cell>
          <cell r="D1269" t="str">
            <v>G697700010</v>
          </cell>
          <cell r="E1269" t="str">
            <v xml:space="preserve">WM </v>
          </cell>
          <cell r="F1269" t="str">
            <v xml:space="preserve">SZYBALSKI                KRZYSZTOF      </v>
          </cell>
          <cell r="G1269" t="str">
            <v>U-2</v>
          </cell>
          <cell r="H1269" t="str">
            <v>219</v>
          </cell>
          <cell r="I1269" t="str">
            <v>16-25</v>
          </cell>
          <cell r="J1269" t="str">
            <v>993</v>
          </cell>
          <cell r="K1269" t="str">
            <v/>
          </cell>
          <cell r="L1269" t="str">
            <v>366</v>
          </cell>
          <cell r="M1269" t="str">
            <v/>
          </cell>
          <cell r="N1269" t="str">
            <v/>
          </cell>
        </row>
        <row r="1270">
          <cell r="A1270" t="str">
            <v>STACJA ROBOCZA</v>
          </cell>
          <cell r="B1270" t="str">
            <v>ZENITH Z STATION P166</v>
          </cell>
          <cell r="C1270" t="str">
            <v>491-3115</v>
          </cell>
          <cell r="D1270" t="str">
            <v>GVDD72905618</v>
          </cell>
          <cell r="E1270" t="str">
            <v xml:space="preserve">WM </v>
          </cell>
          <cell r="F1270" t="str">
            <v xml:space="preserve">KOWALCZYK                SŁAWOMIR       </v>
          </cell>
          <cell r="G1270" t="str">
            <v>U-12</v>
          </cell>
          <cell r="H1270" t="str">
            <v>216</v>
          </cell>
          <cell r="I1270" t="str">
            <v>12-97</v>
          </cell>
          <cell r="J1270" t="str">
            <v>9498</v>
          </cell>
          <cell r="K1270" t="str">
            <v>491-03115</v>
          </cell>
          <cell r="L1270" t="str">
            <v>166</v>
          </cell>
          <cell r="M1270" t="str">
            <v/>
          </cell>
          <cell r="N1270" t="str">
            <v>64</v>
          </cell>
        </row>
        <row r="1271">
          <cell r="A1271" t="str">
            <v>STACJA ROBOCZA</v>
          </cell>
          <cell r="B1271" t="str">
            <v>NEC Direction Minitower P III 450</v>
          </cell>
          <cell r="C1271" t="str">
            <v>491-3773</v>
          </cell>
          <cell r="D1271" t="str">
            <v>0168109</v>
          </cell>
          <cell r="E1271" t="str">
            <v xml:space="preserve">WM </v>
          </cell>
          <cell r="F1271" t="str">
            <v xml:space="preserve">TOKARCZYK                PIOTR          </v>
          </cell>
          <cell r="G1271" t="str">
            <v>U-2</v>
          </cell>
          <cell r="H1271" t="str">
            <v>213</v>
          </cell>
          <cell r="I1271" t="str">
            <v>16-43</v>
          </cell>
          <cell r="J1271" t="str">
            <v>8979</v>
          </cell>
          <cell r="K1271" t="str">
            <v>491-03773</v>
          </cell>
          <cell r="L1271" t="str">
            <v>450</v>
          </cell>
          <cell r="M1271" t="str">
            <v/>
          </cell>
          <cell r="N1271" t="str">
            <v>256</v>
          </cell>
        </row>
        <row r="1272">
          <cell r="A1272" t="str">
            <v>STACJA ROBOCZA</v>
          </cell>
          <cell r="B1272" t="str">
            <v>NEC PowerMate VT Destop P III 450</v>
          </cell>
          <cell r="C1272" t="str">
            <v>491-3929</v>
          </cell>
          <cell r="D1272" t="str">
            <v>0301109</v>
          </cell>
          <cell r="E1272" t="str">
            <v xml:space="preserve">WM </v>
          </cell>
          <cell r="F1272" t="str">
            <v xml:space="preserve">BUGAJSKI                 KRZYSZTOF      </v>
          </cell>
          <cell r="G1272" t="str">
            <v>U-2</v>
          </cell>
          <cell r="H1272" t="str">
            <v>217A</v>
          </cell>
          <cell r="I1272" t="str">
            <v>16-29</v>
          </cell>
          <cell r="J1272" t="str">
            <v>3912</v>
          </cell>
          <cell r="K1272" t="str">
            <v>491-03929</v>
          </cell>
          <cell r="L1272" t="str">
            <v>450</v>
          </cell>
          <cell r="M1272" t="str">
            <v/>
          </cell>
          <cell r="N1272" t="str">
            <v>64</v>
          </cell>
        </row>
        <row r="1273">
          <cell r="A1273" t="str">
            <v>STACJA ROBOCZA</v>
          </cell>
          <cell r="B1273" t="str">
            <v>DELL Optiplex GX1L 350</v>
          </cell>
          <cell r="C1273" t="str">
            <v>491-3518</v>
          </cell>
          <cell r="D1273" t="str">
            <v>PKGNP</v>
          </cell>
          <cell r="E1273" t="str">
            <v xml:space="preserve">WM </v>
          </cell>
          <cell r="F1273" t="str">
            <v xml:space="preserve">BUDZIAK                  WIESŁAW        </v>
          </cell>
          <cell r="G1273" t="str">
            <v>U-2</v>
          </cell>
          <cell r="H1273" t="str">
            <v>216</v>
          </cell>
          <cell r="I1273" t="str">
            <v>16-28</v>
          </cell>
          <cell r="J1273" t="str">
            <v>30</v>
          </cell>
          <cell r="K1273" t="str">
            <v>491-03518</v>
          </cell>
          <cell r="L1273" t="str">
            <v>350</v>
          </cell>
          <cell r="M1273" t="str">
            <v>OK51J</v>
          </cell>
          <cell r="N1273" t="str">
            <v>64</v>
          </cell>
        </row>
        <row r="1274">
          <cell r="A1274" t="str">
            <v>STACJA ROBOCZA</v>
          </cell>
          <cell r="B1274" t="str">
            <v>NEC PowerMate VT Destop P III 450</v>
          </cell>
          <cell r="C1274" t="str">
            <v>491-4030</v>
          </cell>
          <cell r="D1274" t="str">
            <v>0219109</v>
          </cell>
          <cell r="E1274" t="str">
            <v xml:space="preserve">WM </v>
          </cell>
          <cell r="F1274" t="str">
            <v xml:space="preserve">TAZBIR                   STANISŁAW      </v>
          </cell>
          <cell r="G1274" t="str">
            <v>U-12</v>
          </cell>
          <cell r="H1274" t="str">
            <v>331</v>
          </cell>
          <cell r="I1274" t="str">
            <v>15-23</v>
          </cell>
          <cell r="J1274" t="str">
            <v>9200</v>
          </cell>
          <cell r="K1274" t="str">
            <v>491-04030</v>
          </cell>
          <cell r="L1274" t="str">
            <v>450</v>
          </cell>
          <cell r="M1274" t="str">
            <v/>
          </cell>
          <cell r="N1274" t="str">
            <v>192</v>
          </cell>
        </row>
        <row r="1275">
          <cell r="A1275" t="str">
            <v>STACJA ROBOCZA</v>
          </cell>
          <cell r="B1275" t="str">
            <v>DELL Optiplex GX150</v>
          </cell>
          <cell r="C1275" t="str">
            <v>491-4753</v>
          </cell>
          <cell r="D1275" t="str">
            <v>JP3Y60J</v>
          </cell>
          <cell r="E1275" t="str">
            <v xml:space="preserve">WM </v>
          </cell>
          <cell r="F1275" t="str">
            <v xml:space="preserve">SZYBALSKI                KRZYSZTOF      </v>
          </cell>
          <cell r="G1275" t="str">
            <v>U-2</v>
          </cell>
          <cell r="H1275" t="str">
            <v>219</v>
          </cell>
          <cell r="I1275" t="str">
            <v>16-25</v>
          </cell>
          <cell r="J1275" t="str">
            <v>993</v>
          </cell>
          <cell r="K1275" t="str">
            <v>491-04753</v>
          </cell>
          <cell r="L1275" t="str">
            <v>1000</v>
          </cell>
          <cell r="M1275" t="str">
            <v/>
          </cell>
          <cell r="N1275" t="str">
            <v>255</v>
          </cell>
        </row>
        <row r="1276">
          <cell r="A1276" t="str">
            <v>STACJA ROBOCZA</v>
          </cell>
          <cell r="B1276" t="str">
            <v>COMPAQ DESKPRO EXD PIII 733</v>
          </cell>
          <cell r="C1276" t="str">
            <v>491-4264</v>
          </cell>
          <cell r="D1276" t="str">
            <v>8036FR4Z3831</v>
          </cell>
          <cell r="E1276" t="str">
            <v xml:space="preserve">WM </v>
          </cell>
          <cell r="F1276" t="str">
            <v xml:space="preserve">CECOTKA                  PAWEŁ          </v>
          </cell>
          <cell r="G1276" t="str">
            <v>U-2</v>
          </cell>
          <cell r="H1276" t="str">
            <v>213</v>
          </cell>
          <cell r="I1276" t="str">
            <v/>
          </cell>
          <cell r="J1276" t="str">
            <v>131</v>
          </cell>
          <cell r="K1276" t="str">
            <v>491-04264</v>
          </cell>
          <cell r="L1276" t="str">
            <v>733</v>
          </cell>
          <cell r="M1276" t="str">
            <v/>
          </cell>
          <cell r="N1276" t="str">
            <v>127</v>
          </cell>
        </row>
        <row r="1277">
          <cell r="A1277" t="str">
            <v>STACJA ROBOCZA</v>
          </cell>
          <cell r="B1277" t="str">
            <v>NEC PowerMate VT Destop P III 450</v>
          </cell>
          <cell r="C1277" t="str">
            <v>491-3854</v>
          </cell>
          <cell r="D1277" t="str">
            <v>0181109</v>
          </cell>
          <cell r="E1277" t="str">
            <v xml:space="preserve">WM </v>
          </cell>
          <cell r="F1277" t="str">
            <v xml:space="preserve">SZAMBURSKI               HENRYK         </v>
          </cell>
          <cell r="G1277" t="str">
            <v/>
          </cell>
          <cell r="H1277" t="str">
            <v/>
          </cell>
          <cell r="I1277" t="str">
            <v/>
          </cell>
          <cell r="J1277" t="str">
            <v>1003</v>
          </cell>
          <cell r="K1277" t="str">
            <v>491-03854</v>
          </cell>
          <cell r="L1277" t="str">
            <v>450</v>
          </cell>
          <cell r="M1277" t="str">
            <v/>
          </cell>
          <cell r="N1277" t="str">
            <v>64</v>
          </cell>
        </row>
        <row r="1278">
          <cell r="A1278" t="str">
            <v>STACJA ROBOCZA</v>
          </cell>
          <cell r="B1278" t="str">
            <v>DELL Optiplex GX150</v>
          </cell>
          <cell r="C1278" t="str">
            <v>491-4745</v>
          </cell>
          <cell r="D1278" t="str">
            <v>3K3Y60J</v>
          </cell>
          <cell r="E1278" t="str">
            <v xml:space="preserve">WN </v>
          </cell>
          <cell r="F1278" t="str">
            <v xml:space="preserve">PILŚNIAK                 ELŻBIETA       </v>
          </cell>
          <cell r="G1278" t="str">
            <v>U-12</v>
          </cell>
          <cell r="H1278" t="str">
            <v>215</v>
          </cell>
          <cell r="I1278" t="str">
            <v>24-71</v>
          </cell>
          <cell r="J1278" t="str">
            <v>791</v>
          </cell>
          <cell r="K1278" t="str">
            <v>491-04745</v>
          </cell>
          <cell r="L1278" t="str">
            <v>1000</v>
          </cell>
          <cell r="M1278" t="str">
            <v/>
          </cell>
          <cell r="N1278" t="str">
            <v>255</v>
          </cell>
        </row>
        <row r="1279">
          <cell r="A1279" t="str">
            <v>STACJA ROBOCZA</v>
          </cell>
          <cell r="B1279" t="str">
            <v>DELL Optiplex GX150</v>
          </cell>
          <cell r="C1279" t="str">
            <v>491-4746</v>
          </cell>
          <cell r="D1279" t="str">
            <v>JK3Y60J</v>
          </cell>
          <cell r="E1279" t="str">
            <v xml:space="preserve">WN </v>
          </cell>
          <cell r="F1279" t="str">
            <v xml:space="preserve">ZIMOCH                   RYSZARD        </v>
          </cell>
          <cell r="G1279" t="str">
            <v>P1/12</v>
          </cell>
          <cell r="H1279" t="str">
            <v>NASTAWNIA</v>
          </cell>
          <cell r="I1279" t="str">
            <v>13-18</v>
          </cell>
          <cell r="J1279" t="str">
            <v>1149</v>
          </cell>
          <cell r="K1279" t="str">
            <v>491-04746</v>
          </cell>
          <cell r="L1279" t="str">
            <v>1000</v>
          </cell>
          <cell r="M1279" t="str">
            <v/>
          </cell>
          <cell r="N1279" t="str">
            <v>255</v>
          </cell>
        </row>
        <row r="1280">
          <cell r="A1280" t="str">
            <v>STACJA ROBOCZA</v>
          </cell>
          <cell r="B1280" t="str">
            <v>DELL Optiplex GX150</v>
          </cell>
          <cell r="C1280" t="str">
            <v>491-4743</v>
          </cell>
          <cell r="D1280" t="str">
            <v>1K3Y60J</v>
          </cell>
          <cell r="E1280" t="str">
            <v xml:space="preserve">WN </v>
          </cell>
          <cell r="F1280" t="str">
            <v xml:space="preserve">MADEJ                    STEFAN         </v>
          </cell>
          <cell r="G1280" t="str">
            <v>U-12</v>
          </cell>
          <cell r="H1280" t="str">
            <v>215</v>
          </cell>
          <cell r="I1280" t="str">
            <v>13-20</v>
          </cell>
          <cell r="J1280" t="str">
            <v>571</v>
          </cell>
          <cell r="K1280" t="str">
            <v>491-04743</v>
          </cell>
          <cell r="L1280" t="str">
            <v>1000</v>
          </cell>
          <cell r="M1280" t="str">
            <v/>
          </cell>
          <cell r="N1280" t="str">
            <v>255</v>
          </cell>
        </row>
        <row r="1281">
          <cell r="A1281" t="str">
            <v>STACJA ROBOCZA</v>
          </cell>
          <cell r="B1281" t="str">
            <v>DELL Optiplex GX1L 266</v>
          </cell>
          <cell r="C1281" t="str">
            <v>491-3289</v>
          </cell>
          <cell r="D1281" t="str">
            <v>NM17G</v>
          </cell>
          <cell r="E1281" t="str">
            <v xml:space="preserve">WN </v>
          </cell>
          <cell r="F1281" t="str">
            <v xml:space="preserve">ONYSZKIEWICZ             KRZYSZTOF      </v>
          </cell>
          <cell r="G1281" t="str">
            <v>U-12</v>
          </cell>
          <cell r="H1281" t="str">
            <v>210</v>
          </cell>
          <cell r="I1281" t="str">
            <v>13-19</v>
          </cell>
          <cell r="J1281" t="str">
            <v>698</v>
          </cell>
          <cell r="K1281" t="str">
            <v>491-03289</v>
          </cell>
          <cell r="L1281" t="str">
            <v>266</v>
          </cell>
          <cell r="M1281" t="str">
            <v/>
          </cell>
          <cell r="N1281" t="str">
            <v>192</v>
          </cell>
        </row>
        <row r="1282">
          <cell r="A1282" t="str">
            <v>STACJA ROBOCZA</v>
          </cell>
          <cell r="B1282" t="str">
            <v>DELL Optiplex GX150</v>
          </cell>
          <cell r="C1282" t="str">
            <v>491-4744</v>
          </cell>
          <cell r="D1282" t="str">
            <v>CK3Y60J</v>
          </cell>
          <cell r="E1282" t="str">
            <v xml:space="preserve">WN </v>
          </cell>
          <cell r="F1282" t="str">
            <v xml:space="preserve">GUCIO                    ARKADIUSZ      </v>
          </cell>
          <cell r="G1282" t="str">
            <v>U-12</v>
          </cell>
          <cell r="H1282" t="str">
            <v>210</v>
          </cell>
          <cell r="I1282" t="str">
            <v>13-02</v>
          </cell>
          <cell r="J1282" t="str">
            <v>218</v>
          </cell>
          <cell r="K1282" t="str">
            <v>491-04744</v>
          </cell>
          <cell r="L1282" t="str">
            <v>1000</v>
          </cell>
          <cell r="M1282" t="str">
            <v/>
          </cell>
          <cell r="N1282" t="str">
            <v>255</v>
          </cell>
        </row>
        <row r="1283">
          <cell r="A1283" t="str">
            <v>STACJA ROBOCZA</v>
          </cell>
          <cell r="B1283" t="str">
            <v>DELL Optiplex GX1L 266</v>
          </cell>
          <cell r="C1283" t="str">
            <v>491-3268</v>
          </cell>
          <cell r="D1283" t="str">
            <v>NM15R</v>
          </cell>
          <cell r="E1283" t="str">
            <v xml:space="preserve">WN </v>
          </cell>
          <cell r="F1283" t="str">
            <v xml:space="preserve">OCZKUŚ                   JAN            </v>
          </cell>
          <cell r="G1283" t="str">
            <v>U-12</v>
          </cell>
          <cell r="H1283" t="str">
            <v>205</v>
          </cell>
          <cell r="I1283" t="str">
            <v>23-02</v>
          </cell>
          <cell r="J1283" t="str">
            <v>671</v>
          </cell>
          <cell r="K1283" t="str">
            <v>491-03268</v>
          </cell>
          <cell r="L1283" t="str">
            <v>266</v>
          </cell>
          <cell r="M1283" t="str">
            <v/>
          </cell>
          <cell r="N1283" t="str">
            <v>224</v>
          </cell>
        </row>
        <row r="1284">
          <cell r="A1284" t="str">
            <v>STACJA ROBOCZA</v>
          </cell>
          <cell r="B1284" t="str">
            <v>ZENITH Z STATION P166</v>
          </cell>
          <cell r="C1284" t="str">
            <v>491-3015</v>
          </cell>
          <cell r="D1284" t="str">
            <v>GVDD72901513</v>
          </cell>
          <cell r="E1284" t="str">
            <v xml:space="preserve">WN </v>
          </cell>
          <cell r="F1284" t="str">
            <v xml:space="preserve">KARASIŃSKA               KRYSTYNA       </v>
          </cell>
          <cell r="G1284" t="str">
            <v>U-12</v>
          </cell>
          <cell r="H1284" t="str">
            <v>210</v>
          </cell>
          <cell r="I1284" t="str">
            <v>13-31</v>
          </cell>
          <cell r="J1284" t="str">
            <v>333</v>
          </cell>
          <cell r="K1284" t="str">
            <v>491-03015</v>
          </cell>
          <cell r="L1284" t="str">
            <v>166</v>
          </cell>
          <cell r="M1284" t="str">
            <v/>
          </cell>
          <cell r="N1284" t="str">
            <v>64</v>
          </cell>
        </row>
        <row r="1285">
          <cell r="A1285" t="str">
            <v>STACJA ROBOCZA</v>
          </cell>
          <cell r="B1285" t="str">
            <v>DELL Optiplex GX1L 266</v>
          </cell>
          <cell r="C1285" t="str">
            <v>491-3364</v>
          </cell>
          <cell r="D1285" t="str">
            <v>NM1BM</v>
          </cell>
          <cell r="E1285" t="str">
            <v xml:space="preserve">WN </v>
          </cell>
          <cell r="F1285" t="str">
            <v xml:space="preserve">RURARZ                   ADAM           </v>
          </cell>
          <cell r="G1285" t="str">
            <v>P1/12</v>
          </cell>
          <cell r="H1285" t="str">
            <v>P1/12</v>
          </cell>
          <cell r="I1285" t="str">
            <v>21-40</v>
          </cell>
          <cell r="J1285" t="str">
            <v>837</v>
          </cell>
          <cell r="K1285" t="str">
            <v>491-03364</v>
          </cell>
          <cell r="L1285" t="str">
            <v>266</v>
          </cell>
          <cell r="M1285" t="str">
            <v/>
          </cell>
          <cell r="N1285" t="str">
            <v>160</v>
          </cell>
        </row>
        <row r="1286">
          <cell r="A1286" t="str">
            <v>STACJA ROBOCZA</v>
          </cell>
          <cell r="B1286" t="str">
            <v>DELL Optiplex GX260 SD</v>
          </cell>
          <cell r="C1286" t="str">
            <v>491-5030</v>
          </cell>
          <cell r="D1286" t="str">
            <v>9NPFL0J</v>
          </cell>
          <cell r="E1286" t="str">
            <v xml:space="preserve">WN </v>
          </cell>
          <cell r="F1286" t="str">
            <v xml:space="preserve">HAŁASZKIEWICZ            SYLWESTER      </v>
          </cell>
          <cell r="G1286" t="str">
            <v>U-12</v>
          </cell>
          <cell r="H1286" t="str">
            <v>215</v>
          </cell>
          <cell r="I1286" t="str">
            <v>13-21</v>
          </cell>
          <cell r="J1286" t="str">
            <v>289</v>
          </cell>
          <cell r="K1286" t="str">
            <v>491-05030</v>
          </cell>
          <cell r="L1286" t="str">
            <v>2400</v>
          </cell>
          <cell r="M1286" t="str">
            <v/>
          </cell>
          <cell r="N1286" t="str">
            <v>254</v>
          </cell>
        </row>
        <row r="1287">
          <cell r="A1287" t="str">
            <v>STACJA ROBOCZA</v>
          </cell>
          <cell r="B1287" t="str">
            <v>DELL Optiplex GX260 SD</v>
          </cell>
          <cell r="C1287" t="str">
            <v>491-5150</v>
          </cell>
          <cell r="D1287" t="str">
            <v>GJYGL0J</v>
          </cell>
          <cell r="E1287" t="str">
            <v xml:space="preserve">WN </v>
          </cell>
          <cell r="F1287" t="str">
            <v xml:space="preserve">GUL                      PIOTR          </v>
          </cell>
          <cell r="G1287" t="str">
            <v>U-12</v>
          </cell>
          <cell r="H1287" t="str">
            <v>215</v>
          </cell>
          <cell r="I1287" t="str">
            <v>24-71</v>
          </cell>
          <cell r="J1287" t="str">
            <v>9497</v>
          </cell>
          <cell r="K1287" t="str">
            <v>491-05150</v>
          </cell>
          <cell r="L1287" t="str">
            <v>2400</v>
          </cell>
          <cell r="M1287" t="str">
            <v/>
          </cell>
          <cell r="N1287" t="str">
            <v>254</v>
          </cell>
        </row>
        <row r="1288">
          <cell r="A1288" t="str">
            <v>STACJA ROBOCZA</v>
          </cell>
          <cell r="B1288" t="str">
            <v>ZENITH Z STATION P200</v>
          </cell>
          <cell r="C1288" t="str">
            <v>491-3031</v>
          </cell>
          <cell r="D1288" t="str">
            <v>GVDD72905415</v>
          </cell>
          <cell r="E1288" t="str">
            <v xml:space="preserve">WN </v>
          </cell>
          <cell r="F1288" t="str">
            <v xml:space="preserve">SERWA                    ZENON          </v>
          </cell>
          <cell r="G1288" t="str">
            <v>U-12</v>
          </cell>
          <cell r="H1288" t="str">
            <v>219A</v>
          </cell>
          <cell r="I1288" t="str">
            <v>13-24</v>
          </cell>
          <cell r="J1288" t="str">
            <v>882</v>
          </cell>
          <cell r="K1288" t="str">
            <v>491-03031</v>
          </cell>
          <cell r="L1288" t="str">
            <v>200</v>
          </cell>
          <cell r="M1288" t="str">
            <v>OK56M</v>
          </cell>
          <cell r="N1288" t="str">
            <v>128</v>
          </cell>
        </row>
        <row r="1289">
          <cell r="A1289" t="str">
            <v>STACJA ROBOCZA</v>
          </cell>
          <cell r="B1289" t="str">
            <v>DELL Optiplex GX1M 350</v>
          </cell>
          <cell r="C1289" t="str">
            <v>491-3601</v>
          </cell>
          <cell r="D1289" t="str">
            <v>PKGPV</v>
          </cell>
          <cell r="E1289" t="str">
            <v xml:space="preserve">WN </v>
          </cell>
          <cell r="F1289" t="str">
            <v xml:space="preserve">RYCHTER                  ANNA           </v>
          </cell>
          <cell r="G1289" t="str">
            <v>U-12</v>
          </cell>
          <cell r="H1289" t="str">
            <v>210</v>
          </cell>
          <cell r="I1289" t="str">
            <v>13-31</v>
          </cell>
          <cell r="J1289" t="str">
            <v>887</v>
          </cell>
          <cell r="K1289" t="str">
            <v>491-03601</v>
          </cell>
          <cell r="L1289" t="str">
            <v>350</v>
          </cell>
          <cell r="M1289" t="str">
            <v/>
          </cell>
          <cell r="N1289" t="str">
            <v>192</v>
          </cell>
        </row>
        <row r="1290">
          <cell r="A1290" t="str">
            <v>STACJA ROBOCZA</v>
          </cell>
          <cell r="B1290" t="str">
            <v>DELL Optiplex GX1M 350</v>
          </cell>
          <cell r="C1290" t="str">
            <v>491-3552</v>
          </cell>
          <cell r="D1290" t="str">
            <v>PKHOY</v>
          </cell>
          <cell r="E1290" t="str">
            <v xml:space="preserve">WO </v>
          </cell>
          <cell r="F1290" t="str">
            <v xml:space="preserve">KLEKOTKA                 MARIANNA       </v>
          </cell>
          <cell r="G1290" t="str">
            <v>U-14</v>
          </cell>
          <cell r="H1290" t="str">
            <v>208</v>
          </cell>
          <cell r="I1290" t="str">
            <v>36-06</v>
          </cell>
          <cell r="J1290" t="str">
            <v>406</v>
          </cell>
          <cell r="K1290" t="str">
            <v>491-03552</v>
          </cell>
          <cell r="L1290" t="str">
            <v>350</v>
          </cell>
          <cell r="M1290" t="str">
            <v/>
          </cell>
          <cell r="N1290" t="str">
            <v>64</v>
          </cell>
        </row>
        <row r="1291">
          <cell r="A1291" t="str">
            <v>STACJA ROBOCZA</v>
          </cell>
          <cell r="B1291" t="str">
            <v>DELL Optiplex GX240</v>
          </cell>
          <cell r="C1291" t="str">
            <v>491-4916</v>
          </cell>
          <cell r="D1291" t="str">
            <v>GRCK90J</v>
          </cell>
          <cell r="E1291" t="str">
            <v xml:space="preserve">WO </v>
          </cell>
          <cell r="F1291" t="str">
            <v xml:space="preserve">BOROWIECKI               JAN            </v>
          </cell>
          <cell r="G1291" t="str">
            <v>U-14</v>
          </cell>
          <cell r="H1291" t="str">
            <v>207</v>
          </cell>
          <cell r="I1291" t="str">
            <v>13-09</v>
          </cell>
          <cell r="J1291" t="str">
            <v>32</v>
          </cell>
          <cell r="K1291" t="str">
            <v>491-04916</v>
          </cell>
          <cell r="L1291" t="str">
            <v>1500</v>
          </cell>
          <cell r="M1291" t="str">
            <v/>
          </cell>
          <cell r="N1291" t="str">
            <v>256</v>
          </cell>
        </row>
        <row r="1292">
          <cell r="A1292" t="str">
            <v>STACJA ROBOCZA</v>
          </cell>
          <cell r="B1292" t="str">
            <v>NEC Direction Minitower P III 450</v>
          </cell>
          <cell r="C1292" t="str">
            <v>491-3776</v>
          </cell>
          <cell r="D1292" t="str">
            <v>0135109</v>
          </cell>
          <cell r="E1292" t="str">
            <v xml:space="preserve">WO </v>
          </cell>
          <cell r="F1292" t="str">
            <v xml:space="preserve">SZYNKOWSKI               STANISŁAW      </v>
          </cell>
          <cell r="G1292" t="str">
            <v>U-14</v>
          </cell>
          <cell r="H1292" t="str">
            <v>209</v>
          </cell>
          <cell r="I1292" t="str">
            <v>14-76</v>
          </cell>
          <cell r="J1292" t="str">
            <v>902</v>
          </cell>
          <cell r="K1292" t="str">
            <v>491-03776</v>
          </cell>
          <cell r="L1292" t="str">
            <v>450</v>
          </cell>
          <cell r="M1292" t="str">
            <v/>
          </cell>
          <cell r="N1292" t="str">
            <v>128</v>
          </cell>
        </row>
        <row r="1293">
          <cell r="A1293" t="str">
            <v>STACJA ROBOCZA</v>
          </cell>
          <cell r="B1293" t="str">
            <v>COMPAQ DESKPRO EXD PIII 733</v>
          </cell>
          <cell r="C1293" t="str">
            <v>491-4497</v>
          </cell>
          <cell r="D1293" t="str">
            <v>8037FR4Z2735</v>
          </cell>
          <cell r="E1293" t="str">
            <v xml:space="preserve">WO </v>
          </cell>
          <cell r="F1293" t="str">
            <v xml:space="preserve">PASTUSZKA                RYSZARD        </v>
          </cell>
          <cell r="G1293" t="str">
            <v>U-14</v>
          </cell>
          <cell r="H1293" t="str">
            <v>210</v>
          </cell>
          <cell r="I1293" t="str">
            <v>15-20</v>
          </cell>
          <cell r="J1293" t="str">
            <v>752</v>
          </cell>
          <cell r="K1293" t="str">
            <v>491-04497</v>
          </cell>
          <cell r="L1293" t="str">
            <v>733</v>
          </cell>
          <cell r="M1293" t="str">
            <v/>
          </cell>
          <cell r="N1293" t="str">
            <v>127</v>
          </cell>
        </row>
        <row r="1294">
          <cell r="A1294" t="str">
            <v>STACJA ROBOCZA</v>
          </cell>
          <cell r="B1294" t="str">
            <v>ZENITH Z STATION P166</v>
          </cell>
          <cell r="C1294" t="str">
            <v>491-3050</v>
          </cell>
          <cell r="D1294" t="str">
            <v>GVDD72905422</v>
          </cell>
          <cell r="E1294" t="str">
            <v xml:space="preserve">WO </v>
          </cell>
          <cell r="F1294" t="str">
            <v xml:space="preserve">JARZĘCKI                 ZBIGNIEW       </v>
          </cell>
          <cell r="G1294" t="str">
            <v>PWP LUBIEŃ</v>
          </cell>
          <cell r="H1294" t="str">
            <v>LUBIEŃ</v>
          </cell>
          <cell r="I1294" t="str">
            <v>15-25</v>
          </cell>
          <cell r="J1294" t="str">
            <v>298</v>
          </cell>
          <cell r="K1294" t="str">
            <v/>
          </cell>
          <cell r="L1294" t="str">
            <v>166</v>
          </cell>
          <cell r="M1294" t="str">
            <v>BEZ SIECI</v>
          </cell>
          <cell r="N1294" t="str">
            <v/>
          </cell>
        </row>
        <row r="1295">
          <cell r="A1295" t="str">
            <v>STACJA ROBOCZA</v>
          </cell>
          <cell r="B1295" t="str">
            <v>DELL Optiplex GX1M 350</v>
          </cell>
          <cell r="C1295" t="str">
            <v>491-3555</v>
          </cell>
          <cell r="D1295" t="str">
            <v>PKHOL</v>
          </cell>
          <cell r="E1295" t="str">
            <v xml:space="preserve">WO </v>
          </cell>
          <cell r="F1295" t="str">
            <v xml:space="preserve">PIOTROWSKI               LECH           </v>
          </cell>
          <cell r="G1295" t="str">
            <v>U-14</v>
          </cell>
          <cell r="H1295" t="str">
            <v>210</v>
          </cell>
          <cell r="I1295" t="str">
            <v>36-06</v>
          </cell>
          <cell r="J1295" t="str">
            <v>706</v>
          </cell>
          <cell r="K1295" t="str">
            <v>491-03555</v>
          </cell>
          <cell r="L1295" t="str">
            <v>350</v>
          </cell>
          <cell r="M1295" t="str">
            <v/>
          </cell>
          <cell r="N1295" t="str">
            <v>64</v>
          </cell>
        </row>
        <row r="1296">
          <cell r="A1296" t="str">
            <v>STACJA ROBOCZA</v>
          </cell>
          <cell r="B1296" t="str">
            <v>NEC Direction Minitower P III 450</v>
          </cell>
          <cell r="C1296" t="str">
            <v>491-3767</v>
          </cell>
          <cell r="D1296" t="str">
            <v>0143109</v>
          </cell>
          <cell r="E1296" t="str">
            <v xml:space="preserve">WO </v>
          </cell>
          <cell r="F1296" t="str">
            <v xml:space="preserve">KOŁODZIEJSKI             JAN            </v>
          </cell>
          <cell r="G1296" t="str">
            <v>U-14</v>
          </cell>
          <cell r="H1296" t="str">
            <v>211</v>
          </cell>
          <cell r="I1296" t="str">
            <v>15-22</v>
          </cell>
          <cell r="J1296" t="str">
            <v>500</v>
          </cell>
          <cell r="K1296" t="str">
            <v>491-03767</v>
          </cell>
          <cell r="L1296" t="str">
            <v>450</v>
          </cell>
          <cell r="M1296" t="str">
            <v/>
          </cell>
          <cell r="N1296" t="str">
            <v>128</v>
          </cell>
        </row>
        <row r="1297">
          <cell r="A1297" t="str">
            <v>STACJA ROBOCZA</v>
          </cell>
          <cell r="B1297" t="str">
            <v>NEC Direction Minitower P III 450</v>
          </cell>
          <cell r="C1297" t="str">
            <v>491-3775</v>
          </cell>
          <cell r="D1297" t="str">
            <v>0153109</v>
          </cell>
          <cell r="E1297" t="str">
            <v xml:space="preserve">WO </v>
          </cell>
          <cell r="F1297" t="str">
            <v xml:space="preserve">ŻUBER                    ZDZISŁAW       </v>
          </cell>
          <cell r="G1297" t="str">
            <v>U-12</v>
          </cell>
          <cell r="H1297" t="str">
            <v>212</v>
          </cell>
          <cell r="I1297" t="str">
            <v>15-21</v>
          </cell>
          <cell r="J1297" t="str">
            <v>9342</v>
          </cell>
          <cell r="K1297" t="str">
            <v>491-03775</v>
          </cell>
          <cell r="L1297" t="str">
            <v>450</v>
          </cell>
          <cell r="M1297" t="str">
            <v/>
          </cell>
          <cell r="N1297" t="str">
            <v>192</v>
          </cell>
        </row>
        <row r="1298">
          <cell r="A1298" t="str">
            <v>STACJA ROBOCZA</v>
          </cell>
          <cell r="B1298" t="str">
            <v>COMPAQ DESKPRO EXD PIII 733</v>
          </cell>
          <cell r="C1298" t="str">
            <v>491-4501</v>
          </cell>
          <cell r="D1298" t="str">
            <v>8036FR4ZE312</v>
          </cell>
          <cell r="E1298" t="str">
            <v xml:space="preserve">WO </v>
          </cell>
          <cell r="F1298" t="str">
            <v xml:space="preserve">SZYNKOWSKI               STANISŁAW      </v>
          </cell>
          <cell r="G1298" t="str">
            <v>U-14</v>
          </cell>
          <cell r="H1298" t="str">
            <v>209</v>
          </cell>
          <cell r="I1298" t="str">
            <v>14-76</v>
          </cell>
          <cell r="J1298" t="str">
            <v>902</v>
          </cell>
          <cell r="K1298" t="str">
            <v>491-04501</v>
          </cell>
          <cell r="L1298" t="str">
            <v>733</v>
          </cell>
          <cell r="M1298" t="str">
            <v/>
          </cell>
          <cell r="N1298" t="str">
            <v>255</v>
          </cell>
        </row>
        <row r="1299">
          <cell r="A1299" t="str">
            <v>STACJA ROBOCZA</v>
          </cell>
          <cell r="B1299" t="str">
            <v>DELL Optiplex GX260 SD</v>
          </cell>
          <cell r="C1299" t="str">
            <v>491-5029</v>
          </cell>
          <cell r="D1299" t="str">
            <v>9MPFL0J</v>
          </cell>
          <cell r="E1299" t="str">
            <v xml:space="preserve">WO </v>
          </cell>
          <cell r="F1299" t="str">
            <v xml:space="preserve">MICHNIEWSKI              MIROSŁAW       </v>
          </cell>
          <cell r="G1299" t="str">
            <v>U-14</v>
          </cell>
          <cell r="H1299" t="str">
            <v>212</v>
          </cell>
          <cell r="I1299" t="str">
            <v>26-58</v>
          </cell>
          <cell r="J1299" t="str">
            <v>637</v>
          </cell>
          <cell r="K1299" t="str">
            <v>491-05029</v>
          </cell>
          <cell r="L1299" t="str">
            <v>2400</v>
          </cell>
          <cell r="M1299" t="str">
            <v/>
          </cell>
          <cell r="N1299" t="str">
            <v>254</v>
          </cell>
        </row>
        <row r="1300">
          <cell r="A1300" t="str">
            <v>STACJA ROBOCZA</v>
          </cell>
          <cell r="B1300" t="str">
            <v>KOMPUTER 386DX</v>
          </cell>
          <cell r="C1300" t="str">
            <v>491-2002</v>
          </cell>
          <cell r="D1300" t="str">
            <v>3606/043</v>
          </cell>
          <cell r="E1300" t="str">
            <v xml:space="preserve">WO </v>
          </cell>
          <cell r="F1300" t="str">
            <v xml:space="preserve">WAGNER                   ZDZISŁAW       </v>
          </cell>
          <cell r="G1300" t="str">
            <v>Ż-13</v>
          </cell>
          <cell r="H1300" t="str">
            <v>1</v>
          </cell>
          <cell r="I1300" t="str">
            <v>22-43</v>
          </cell>
          <cell r="J1300" t="str">
            <v>1096</v>
          </cell>
          <cell r="K1300" t="str">
            <v>491-02002</v>
          </cell>
          <cell r="L1300" t="str">
            <v>300</v>
          </cell>
          <cell r="M1300" t="str">
            <v>OK57J</v>
          </cell>
          <cell r="N1300" t="str">
            <v>64</v>
          </cell>
        </row>
        <row r="1301">
          <cell r="A1301" t="str">
            <v>STACJA ROBOCZA</v>
          </cell>
          <cell r="B1301" t="str">
            <v>DELL Optiplex GX150</v>
          </cell>
          <cell r="C1301" t="str">
            <v>491-4821</v>
          </cell>
          <cell r="D1301" t="str">
            <v>FHVX60J</v>
          </cell>
          <cell r="E1301" t="str">
            <v xml:space="preserve">WO </v>
          </cell>
          <cell r="F1301" t="str">
            <v xml:space="preserve">STRUMIŁŁO                KRZYSZTOF      </v>
          </cell>
          <cell r="G1301" t="str">
            <v>U-14</v>
          </cell>
          <cell r="H1301" t="str">
            <v>211</v>
          </cell>
          <cell r="I1301" t="str">
            <v>15-24</v>
          </cell>
          <cell r="J1301" t="str">
            <v>874</v>
          </cell>
          <cell r="K1301" t="str">
            <v>491-04821</v>
          </cell>
          <cell r="L1301" t="str">
            <v>1000</v>
          </cell>
          <cell r="M1301" t="str">
            <v/>
          </cell>
          <cell r="N1301" t="str">
            <v>255</v>
          </cell>
        </row>
        <row r="1302">
          <cell r="A1302" t="str">
            <v>STACJA ROBOCZA</v>
          </cell>
          <cell r="B1302" t="str">
            <v>KOMPUTER 486DX</v>
          </cell>
          <cell r="C1302" t="str">
            <v>491-1620/11305</v>
          </cell>
          <cell r="D1302" t="str">
            <v>11305/075</v>
          </cell>
          <cell r="E1302" t="str">
            <v xml:space="preserve">WO </v>
          </cell>
          <cell r="F1302" t="str">
            <v xml:space="preserve">KWAŚNIEWSKA              ANNA           </v>
          </cell>
          <cell r="G1302" t="str">
            <v>U-14</v>
          </cell>
          <cell r="H1302" t="str">
            <v>208</v>
          </cell>
          <cell r="I1302" t="str">
            <v>23-32</v>
          </cell>
          <cell r="J1302" t="str">
            <v>411</v>
          </cell>
          <cell r="K1302" t="str">
            <v>491-01620-11305</v>
          </cell>
          <cell r="L1302" t="str">
            <v>500</v>
          </cell>
          <cell r="M1302" t="str">
            <v/>
          </cell>
          <cell r="N1302" t="str">
            <v>64</v>
          </cell>
        </row>
        <row r="1303">
          <cell r="A1303" t="str">
            <v>STACJA ROBOCZA</v>
          </cell>
          <cell r="B1303" t="str">
            <v>DELL Optiplex GX1MT 350</v>
          </cell>
          <cell r="C1303" t="str">
            <v>491-3505</v>
          </cell>
          <cell r="D1303" t="str">
            <v>PKN3G</v>
          </cell>
          <cell r="E1303" t="str">
            <v xml:space="preserve">WR </v>
          </cell>
          <cell r="F1303" t="str">
            <v xml:space="preserve">KACZOROWSKI              ARKADIUSZ      </v>
          </cell>
          <cell r="G1303" t="str">
            <v>U-14</v>
          </cell>
          <cell r="H1303" t="str">
            <v>1</v>
          </cell>
          <cell r="I1303" t="str">
            <v>11-02</v>
          </cell>
          <cell r="J1303" t="str">
            <v>1338</v>
          </cell>
          <cell r="K1303" t="str">
            <v>491-03505</v>
          </cell>
          <cell r="L1303" t="str">
            <v>350</v>
          </cell>
          <cell r="M1303" t="str">
            <v/>
          </cell>
          <cell r="N1303" t="str">
            <v>160</v>
          </cell>
        </row>
        <row r="1304">
          <cell r="A1304" t="str">
            <v>STACJA ROBOCZA</v>
          </cell>
          <cell r="B1304" t="str">
            <v>DELL Optiplex GX150</v>
          </cell>
          <cell r="C1304" t="str">
            <v>491-4741</v>
          </cell>
          <cell r="D1304" t="str">
            <v>5L3Y60J</v>
          </cell>
          <cell r="E1304" t="str">
            <v xml:space="preserve">WR </v>
          </cell>
          <cell r="F1304" t="str">
            <v xml:space="preserve">BARASIŃSKI               DARIUSZ        </v>
          </cell>
          <cell r="G1304" t="str">
            <v>BLOK 3/4</v>
          </cell>
          <cell r="H1304" t="str">
            <v>NASTAWNIA</v>
          </cell>
          <cell r="I1304" t="str">
            <v>10-03</v>
          </cell>
          <cell r="J1304" t="str">
            <v>89</v>
          </cell>
          <cell r="K1304" t="str">
            <v>491-04741</v>
          </cell>
          <cell r="L1304" t="str">
            <v>1000</v>
          </cell>
          <cell r="M1304" t="str">
            <v/>
          </cell>
          <cell r="N1304" t="str">
            <v>255</v>
          </cell>
        </row>
        <row r="1305">
          <cell r="A1305" t="str">
            <v>STACJA ROBOCZA</v>
          </cell>
          <cell r="B1305" t="str">
            <v>DELL Optiplex GX1L 350</v>
          </cell>
          <cell r="C1305" t="str">
            <v>491-3541</v>
          </cell>
          <cell r="D1305" t="str">
            <v>PDZBM</v>
          </cell>
          <cell r="E1305" t="str">
            <v xml:space="preserve">WR </v>
          </cell>
          <cell r="F1305" t="str">
            <v xml:space="preserve">BERŁOWSKI                ZBIGNIEW       </v>
          </cell>
          <cell r="G1305" t="str">
            <v>BLOK 5-6</v>
          </cell>
          <cell r="H1305" t="str">
            <v>POM.I OBCHOD.</v>
          </cell>
          <cell r="I1305" t="str">
            <v>11-06</v>
          </cell>
          <cell r="J1305" t="str">
            <v>1292</v>
          </cell>
          <cell r="K1305" t="str">
            <v>491-03541</v>
          </cell>
          <cell r="L1305" t="str">
            <v>350</v>
          </cell>
          <cell r="M1305" t="str">
            <v/>
          </cell>
          <cell r="N1305" t="str">
            <v>128</v>
          </cell>
        </row>
        <row r="1306">
          <cell r="A1306" t="str">
            <v>STACJA ROBOCZA</v>
          </cell>
          <cell r="B1306" t="str">
            <v>NEC PMVT Desktop P III 450</v>
          </cell>
          <cell r="C1306" t="str">
            <v>491-3778</v>
          </cell>
          <cell r="D1306" t="str">
            <v>0675109</v>
          </cell>
          <cell r="E1306" t="str">
            <v xml:space="preserve">WR </v>
          </cell>
          <cell r="F1306" t="str">
            <v xml:space="preserve">NOWAK                    SYLWESTER      </v>
          </cell>
          <cell r="G1306" t="str">
            <v>U-14</v>
          </cell>
          <cell r="H1306" t="str">
            <v>204</v>
          </cell>
          <cell r="I1306" t="str">
            <v>13-01</v>
          </cell>
          <cell r="J1306" t="str">
            <v>1487</v>
          </cell>
          <cell r="K1306" t="str">
            <v>491-03778</v>
          </cell>
          <cell r="L1306" t="str">
            <v>450</v>
          </cell>
          <cell r="M1306" t="str">
            <v/>
          </cell>
          <cell r="N1306" t="str">
            <v>128</v>
          </cell>
        </row>
        <row r="1307">
          <cell r="A1307" t="str">
            <v>STACJA ROBOCZA</v>
          </cell>
          <cell r="B1307" t="str">
            <v>DELL Optiplex GX150</v>
          </cell>
          <cell r="C1307" t="str">
            <v>491-4740</v>
          </cell>
          <cell r="D1307" t="str">
            <v>5K3Y60J</v>
          </cell>
          <cell r="E1307" t="str">
            <v xml:space="preserve">WR </v>
          </cell>
          <cell r="F1307" t="str">
            <v xml:space="preserve">WIETECHA                 WITOLD         </v>
          </cell>
          <cell r="G1307" t="str">
            <v>U-14</v>
          </cell>
          <cell r="H1307" t="str">
            <v>206</v>
          </cell>
          <cell r="I1307" t="str">
            <v>39-81</v>
          </cell>
          <cell r="J1307" t="str">
            <v>1080</v>
          </cell>
          <cell r="K1307" t="str">
            <v>491-04740</v>
          </cell>
          <cell r="L1307" t="str">
            <v>1000</v>
          </cell>
          <cell r="M1307" t="str">
            <v/>
          </cell>
          <cell r="N1307" t="str">
            <v>255</v>
          </cell>
        </row>
        <row r="1308">
          <cell r="A1308" t="str">
            <v>STACJA ROBOCZA</v>
          </cell>
          <cell r="B1308" t="str">
            <v>DELL Optiplex GX150</v>
          </cell>
          <cell r="C1308" t="str">
            <v>491-4738</v>
          </cell>
          <cell r="D1308" t="str">
            <v>BK3Y60J</v>
          </cell>
          <cell r="E1308" t="str">
            <v xml:space="preserve">WR </v>
          </cell>
          <cell r="F1308" t="str">
            <v xml:space="preserve">PLESKACZ                 MARIAN         </v>
          </cell>
          <cell r="G1308" t="str">
            <v>NASTAWNIA 5-6</v>
          </cell>
          <cell r="H1308" t="str">
            <v>1</v>
          </cell>
          <cell r="I1308" t="str">
            <v>10-05</v>
          </cell>
          <cell r="J1308" t="str">
            <v>785</v>
          </cell>
          <cell r="K1308" t="str">
            <v>491-04738</v>
          </cell>
          <cell r="L1308" t="str">
            <v>1000</v>
          </cell>
          <cell r="M1308" t="str">
            <v/>
          </cell>
          <cell r="N1308" t="str">
            <v>255</v>
          </cell>
        </row>
        <row r="1309">
          <cell r="A1309" t="str">
            <v>STACJA ROBOCZA</v>
          </cell>
          <cell r="B1309" t="str">
            <v>DELL Optiplex GX150</v>
          </cell>
          <cell r="C1309" t="str">
            <v>491-4742</v>
          </cell>
          <cell r="D1309" t="str">
            <v>5N3Y60J</v>
          </cell>
          <cell r="E1309" t="str">
            <v xml:space="preserve">WR </v>
          </cell>
          <cell r="F1309" t="str">
            <v xml:space="preserve">WENGRZYŃSKI              RYSZARD        </v>
          </cell>
          <cell r="G1309" t="str">
            <v>U-14</v>
          </cell>
          <cell r="H1309" t="str">
            <v>206</v>
          </cell>
          <cell r="I1309" t="str">
            <v>15-70</v>
          </cell>
          <cell r="J1309" t="str">
            <v>1076</v>
          </cell>
          <cell r="K1309" t="str">
            <v>491-04742</v>
          </cell>
          <cell r="L1309" t="str">
            <v>1000</v>
          </cell>
          <cell r="M1309" t="str">
            <v/>
          </cell>
          <cell r="N1309" t="str">
            <v>255</v>
          </cell>
        </row>
        <row r="1310">
          <cell r="A1310" t="str">
            <v>STACJA ROBOCZA</v>
          </cell>
          <cell r="B1310" t="str">
            <v>DELL Optiplex GX150</v>
          </cell>
          <cell r="C1310" t="str">
            <v>491-4739</v>
          </cell>
          <cell r="D1310" t="str">
            <v>1Q3Y60J</v>
          </cell>
          <cell r="E1310" t="str">
            <v xml:space="preserve">WR </v>
          </cell>
          <cell r="F1310" t="str">
            <v xml:space="preserve">ORSICZ                   MAREK          </v>
          </cell>
          <cell r="G1310" t="str">
            <v>BLOK 1-2</v>
          </cell>
          <cell r="H1310" t="str">
            <v>NASTAWNIA</v>
          </cell>
          <cell r="I1310" t="str">
            <v>10-01</v>
          </cell>
          <cell r="J1310" t="str">
            <v>5647</v>
          </cell>
          <cell r="K1310" t="str">
            <v>491-04739</v>
          </cell>
          <cell r="L1310" t="str">
            <v>1000</v>
          </cell>
          <cell r="M1310" t="str">
            <v/>
          </cell>
          <cell r="N1310" t="str">
            <v>255</v>
          </cell>
        </row>
        <row r="1311">
          <cell r="A1311" t="str">
            <v>STACJA ROBOCZA</v>
          </cell>
          <cell r="B1311" t="str">
            <v>DELL Optiplex GX260 SD</v>
          </cell>
          <cell r="C1311" t="str">
            <v>491-5130</v>
          </cell>
          <cell r="D1311" t="str">
            <v>HHYGL0J</v>
          </cell>
          <cell r="E1311" t="str">
            <v xml:space="preserve">WR </v>
          </cell>
          <cell r="F1311" t="str">
            <v xml:space="preserve">PATORA                   MARIA          </v>
          </cell>
          <cell r="G1311" t="str">
            <v>U-14</v>
          </cell>
          <cell r="H1311" t="str">
            <v>204</v>
          </cell>
          <cell r="I1311" t="str">
            <v>25-99</v>
          </cell>
          <cell r="J1311" t="str">
            <v>730</v>
          </cell>
          <cell r="K1311" t="str">
            <v>491-05130</v>
          </cell>
          <cell r="L1311" t="str">
            <v>2400</v>
          </cell>
          <cell r="M1311" t="str">
            <v/>
          </cell>
          <cell r="N1311" t="str">
            <v>254</v>
          </cell>
        </row>
        <row r="1312">
          <cell r="A1312" t="str">
            <v>STACJA ROBOCZA</v>
          </cell>
          <cell r="B1312" t="str">
            <v>DELL Optiplex GX1L 350</v>
          </cell>
          <cell r="C1312" t="str">
            <v>491-3536</v>
          </cell>
          <cell r="D1312" t="str">
            <v>PDZBH</v>
          </cell>
          <cell r="E1312" t="str">
            <v xml:space="preserve">WR </v>
          </cell>
          <cell r="F1312" t="str">
            <v xml:space="preserve">SYKUŁA                   ROBERT         </v>
          </cell>
          <cell r="G1312" t="str">
            <v>BLOK 3/4</v>
          </cell>
          <cell r="H1312" t="str">
            <v>POMIES.I OBCHODOWEGO</v>
          </cell>
          <cell r="I1312" t="str">
            <v>11-03</v>
          </cell>
          <cell r="J1312" t="str">
            <v>2535</v>
          </cell>
          <cell r="K1312" t="str">
            <v>491-03536</v>
          </cell>
          <cell r="L1312" t="str">
            <v>350</v>
          </cell>
          <cell r="M1312" t="str">
            <v/>
          </cell>
          <cell r="N1312" t="str">
            <v>96</v>
          </cell>
        </row>
        <row r="1313">
          <cell r="A1313" t="str">
            <v>STACJA ROBOCZA</v>
          </cell>
          <cell r="B1313" t="str">
            <v>DELL Optiplex GX260 SD</v>
          </cell>
          <cell r="C1313" t="str">
            <v>491-5131</v>
          </cell>
          <cell r="D1313" t="str">
            <v>FKYGL0J</v>
          </cell>
          <cell r="E1313" t="str">
            <v xml:space="preserve">WR </v>
          </cell>
          <cell r="F1313" t="str">
            <v xml:space="preserve">KAPELA                   MAREK          </v>
          </cell>
          <cell r="G1313" t="str">
            <v>U-14</v>
          </cell>
          <cell r="H1313" t="str">
            <v>205</v>
          </cell>
          <cell r="I1313" t="str">
            <v>13-01</v>
          </cell>
          <cell r="J1313" t="str">
            <v>360</v>
          </cell>
          <cell r="K1313" t="str">
            <v>491-05131</v>
          </cell>
          <cell r="L1313" t="str">
            <v>2400</v>
          </cell>
          <cell r="M1313" t="str">
            <v/>
          </cell>
          <cell r="N1313" t="str">
            <v>254</v>
          </cell>
        </row>
        <row r="1314">
          <cell r="A1314" t="str">
            <v>STACJA ROBOCZA</v>
          </cell>
          <cell r="B1314" t="str">
            <v>ZENITH Z STATION P200</v>
          </cell>
          <cell r="C1314" t="str">
            <v>491-3047</v>
          </cell>
          <cell r="D1314" t="str">
            <v>GVDD72905442</v>
          </cell>
          <cell r="E1314" t="str">
            <v xml:space="preserve">WS </v>
          </cell>
          <cell r="F1314" t="str">
            <v xml:space="preserve">BIAŁEK                   JANUSZ         </v>
          </cell>
          <cell r="G1314" t="str">
            <v>NASTAWNIA IOS</v>
          </cell>
          <cell r="H1314" t="str">
            <v>1</v>
          </cell>
          <cell r="I1314" t="str">
            <v>21-50</v>
          </cell>
          <cell r="J1314" t="str">
            <v>3076</v>
          </cell>
          <cell r="K1314" t="str">
            <v/>
          </cell>
          <cell r="L1314" t="str">
            <v>200</v>
          </cell>
          <cell r="M1314" t="str">
            <v>BEZ SIECI</v>
          </cell>
          <cell r="N1314" t="str">
            <v/>
          </cell>
        </row>
        <row r="1315">
          <cell r="A1315" t="str">
            <v>STACJA ROBOCZA</v>
          </cell>
          <cell r="B1315" t="str">
            <v>DELL Optiplex GX260 SD</v>
          </cell>
          <cell r="C1315" t="str">
            <v>491-5027</v>
          </cell>
          <cell r="D1315" t="str">
            <v>8MPFL0J</v>
          </cell>
          <cell r="E1315" t="str">
            <v xml:space="preserve">WS </v>
          </cell>
          <cell r="F1315" t="str">
            <v xml:space="preserve">WĄSOWICZ                 PAWEŁ          </v>
          </cell>
          <cell r="G1315" t="str">
            <v>U-21</v>
          </cell>
          <cell r="H1315" t="str">
            <v>3</v>
          </cell>
          <cell r="I1315" t="str">
            <v>13-67</v>
          </cell>
          <cell r="J1315" t="str">
            <v>4801</v>
          </cell>
          <cell r="K1315" t="str">
            <v>491-05027</v>
          </cell>
          <cell r="L1315" t="str">
            <v>2400</v>
          </cell>
          <cell r="M1315" t="str">
            <v/>
          </cell>
          <cell r="N1315" t="str">
            <v>254</v>
          </cell>
        </row>
        <row r="1316">
          <cell r="A1316" t="str">
            <v>STACJA ROBOCZA</v>
          </cell>
          <cell r="B1316" t="str">
            <v>ZENITH Z STATION P166</v>
          </cell>
          <cell r="C1316" t="str">
            <v>491-2995</v>
          </cell>
          <cell r="D1316" t="str">
            <v>GVDD72904617</v>
          </cell>
          <cell r="E1316" t="str">
            <v xml:space="preserve">WS </v>
          </cell>
          <cell r="F1316" t="str">
            <v xml:space="preserve">WARYCH                   SYLWESTER      </v>
          </cell>
          <cell r="G1316" t="str">
            <v>NASTAWNIA IOS</v>
          </cell>
          <cell r="H1316" t="str">
            <v>R31/1</v>
          </cell>
          <cell r="I1316" t="str">
            <v>21-59</v>
          </cell>
          <cell r="J1316" t="str">
            <v>4654</v>
          </cell>
          <cell r="K1316" t="str">
            <v>WSPAWELW</v>
          </cell>
          <cell r="L1316" t="str">
            <v>166</v>
          </cell>
          <cell r="M1316" t="str">
            <v/>
          </cell>
          <cell r="N1316" t="str">
            <v/>
          </cell>
        </row>
        <row r="1317">
          <cell r="A1317" t="str">
            <v>STACJA ROBOCZA</v>
          </cell>
          <cell r="B1317" t="str">
            <v>NEC PowerMate VT Destop P III 450</v>
          </cell>
          <cell r="C1317" t="str">
            <v>491-4031</v>
          </cell>
          <cell r="D1317" t="str">
            <v>0218109</v>
          </cell>
          <cell r="E1317" t="str">
            <v xml:space="preserve">WS </v>
          </cell>
          <cell r="F1317" t="str">
            <v xml:space="preserve">MŁYNARSKI                ROBERT         </v>
          </cell>
          <cell r="G1317" t="str">
            <v>U-21</v>
          </cell>
          <cell r="H1317" t="str">
            <v>31</v>
          </cell>
          <cell r="I1317" t="str">
            <v>13-34</v>
          </cell>
          <cell r="J1317" t="str">
            <v>601</v>
          </cell>
          <cell r="K1317" t="str">
            <v>491-04031</v>
          </cell>
          <cell r="L1317" t="str">
            <v>450</v>
          </cell>
          <cell r="M1317" t="str">
            <v/>
          </cell>
          <cell r="N1317" t="str">
            <v>64</v>
          </cell>
        </row>
        <row r="1318">
          <cell r="A1318" t="str">
            <v>STACJA ROBOCZA</v>
          </cell>
          <cell r="B1318" t="str">
            <v>NEC PowerMate VT Destop P III 450</v>
          </cell>
          <cell r="C1318" t="str">
            <v>491-4032</v>
          </cell>
          <cell r="D1318" t="str">
            <v>0211109</v>
          </cell>
          <cell r="E1318" t="str">
            <v xml:space="preserve">WS </v>
          </cell>
          <cell r="F1318" t="str">
            <v xml:space="preserve">JURKOWSKI                JACEK          </v>
          </cell>
          <cell r="G1318" t="str">
            <v>U-21</v>
          </cell>
          <cell r="H1318" t="str">
            <v>3</v>
          </cell>
          <cell r="I1318" t="str">
            <v/>
          </cell>
          <cell r="J1318" t="str">
            <v>9199</v>
          </cell>
          <cell r="K1318" t="str">
            <v>491-04032</v>
          </cell>
          <cell r="L1318" t="str">
            <v>450</v>
          </cell>
          <cell r="M1318" t="str">
            <v/>
          </cell>
          <cell r="N1318" t="str">
            <v>64</v>
          </cell>
        </row>
        <row r="1319">
          <cell r="A1319" t="str">
            <v>STACJA ROBOCZA</v>
          </cell>
          <cell r="B1319" t="str">
            <v>KOMPUTER PC/AT</v>
          </cell>
          <cell r="C1319" t="str">
            <v>491-1620/1696</v>
          </cell>
          <cell r="D1319" t="str">
            <v>238019</v>
          </cell>
          <cell r="E1319" t="str">
            <v xml:space="preserve">WS </v>
          </cell>
          <cell r="F1319" t="str">
            <v xml:space="preserve">ŁUCZAK                   ROBERT         </v>
          </cell>
          <cell r="G1319" t="str">
            <v>R31/1</v>
          </cell>
          <cell r="H1319" t="str">
            <v>1</v>
          </cell>
          <cell r="I1319" t="str">
            <v>21-50</v>
          </cell>
          <cell r="J1319" t="str">
            <v>1961</v>
          </cell>
          <cell r="K1319" t="str">
            <v>491-01620-1696</v>
          </cell>
          <cell r="L1319" t="str">
            <v>500</v>
          </cell>
          <cell r="M1319" t="str">
            <v/>
          </cell>
          <cell r="N1319" t="str">
            <v>128</v>
          </cell>
        </row>
        <row r="1320">
          <cell r="A1320" t="str">
            <v>STACJA ROBOCZA</v>
          </cell>
          <cell r="B1320" t="str">
            <v>COMPAQ DESKPRO EXD PIII 733</v>
          </cell>
          <cell r="C1320" t="str">
            <v>491-4403</v>
          </cell>
          <cell r="D1320" t="str">
            <v>8036FR4ZE234</v>
          </cell>
          <cell r="E1320" t="str">
            <v xml:space="preserve">WS </v>
          </cell>
          <cell r="F1320" t="str">
            <v xml:space="preserve">KOSTRZEWSKA              RENATA         </v>
          </cell>
          <cell r="G1320" t="str">
            <v>U-21</v>
          </cell>
          <cell r="H1320" t="str">
            <v>16</v>
          </cell>
          <cell r="I1320" t="str">
            <v/>
          </cell>
          <cell r="J1320" t="str">
            <v>627</v>
          </cell>
          <cell r="K1320" t="str">
            <v>491-04403</v>
          </cell>
          <cell r="L1320" t="str">
            <v>733</v>
          </cell>
          <cell r="M1320" t="str">
            <v/>
          </cell>
          <cell r="N1320" t="str">
            <v>127</v>
          </cell>
        </row>
        <row r="1321">
          <cell r="A1321" t="str">
            <v>STACJA ROBOCZA</v>
          </cell>
          <cell r="B1321" t="str">
            <v>DELL Optiplex GX260 SD</v>
          </cell>
          <cell r="C1321" t="str">
            <v>491-5028</v>
          </cell>
          <cell r="D1321" t="str">
            <v>8NPFL0J</v>
          </cell>
          <cell r="E1321" t="str">
            <v xml:space="preserve">WS </v>
          </cell>
          <cell r="F1321" t="str">
            <v xml:space="preserve">BĄBOL                    WŁODZIMIERZ    </v>
          </cell>
          <cell r="G1321" t="str">
            <v>NASTAWNIA IOS</v>
          </cell>
          <cell r="H1321" t="str">
            <v>1</v>
          </cell>
          <cell r="I1321" t="str">
            <v>21-50</v>
          </cell>
          <cell r="J1321" t="str">
            <v>2426</v>
          </cell>
          <cell r="K1321" t="str">
            <v>491-05028</v>
          </cell>
          <cell r="L1321" t="str">
            <v>2400</v>
          </cell>
          <cell r="M1321" t="str">
            <v/>
          </cell>
          <cell r="N1321" t="str">
            <v>254</v>
          </cell>
        </row>
        <row r="1322">
          <cell r="A1322" t="str">
            <v>STACJA ROBOCZA</v>
          </cell>
          <cell r="B1322" t="str">
            <v>NEC PowerMate VT Destop P III 450</v>
          </cell>
          <cell r="C1322" t="str">
            <v>491-4027</v>
          </cell>
          <cell r="D1322" t="str">
            <v>0670109</v>
          </cell>
          <cell r="E1322" t="str">
            <v xml:space="preserve">WS </v>
          </cell>
          <cell r="F1322" t="str">
            <v xml:space="preserve">MIELCZAREK               DOROTA         </v>
          </cell>
          <cell r="G1322" t="str">
            <v>U-21</v>
          </cell>
          <cell r="H1322" t="str">
            <v>3</v>
          </cell>
          <cell r="I1322" t="str">
            <v>11-82</v>
          </cell>
          <cell r="J1322" t="str">
            <v>619</v>
          </cell>
          <cell r="K1322" t="str">
            <v>491-04027</v>
          </cell>
          <cell r="L1322" t="str">
            <v>450</v>
          </cell>
          <cell r="M1322" t="str">
            <v/>
          </cell>
          <cell r="N1322" t="str">
            <v>64</v>
          </cell>
        </row>
        <row r="1323">
          <cell r="A1323" t="str">
            <v>STACJA ROBOCZA</v>
          </cell>
          <cell r="B1323" t="str">
            <v>COMPAQ DESKPRO EXD PIII 733</v>
          </cell>
          <cell r="C1323" t="str">
            <v>491-4388</v>
          </cell>
          <cell r="D1323" t="str">
            <v>8037FR4ZE297</v>
          </cell>
          <cell r="E1323" t="str">
            <v xml:space="preserve">WS </v>
          </cell>
          <cell r="F1323" t="str">
            <v xml:space="preserve">KOSOWSKI                 EMIL           </v>
          </cell>
          <cell r="G1323" t="str">
            <v>U-21</v>
          </cell>
          <cell r="H1323" t="str">
            <v>16</v>
          </cell>
          <cell r="I1323" t="str">
            <v/>
          </cell>
          <cell r="J1323" t="str">
            <v>9090</v>
          </cell>
          <cell r="K1323" t="str">
            <v>491-04388</v>
          </cell>
          <cell r="L1323" t="str">
            <v>733</v>
          </cell>
          <cell r="M1323" t="str">
            <v/>
          </cell>
          <cell r="N1323" t="str">
            <v>127</v>
          </cell>
        </row>
        <row r="1324">
          <cell r="A1324" t="str">
            <v>STACJA ROBOCZA</v>
          </cell>
          <cell r="B1324" t="str">
            <v>COMPAQ DESKPRO EXD PIII 733</v>
          </cell>
          <cell r="C1324" t="str">
            <v>491-4295</v>
          </cell>
          <cell r="D1324" t="str">
            <v>8036FR4ZE512</v>
          </cell>
          <cell r="E1324" t="str">
            <v xml:space="preserve">WS </v>
          </cell>
          <cell r="F1324" t="str">
            <v xml:space="preserve">CZYŻEWSKI                KRZYSZTOF      </v>
          </cell>
          <cell r="G1324" t="str">
            <v>U-21</v>
          </cell>
          <cell r="H1324" t="str">
            <v>16</v>
          </cell>
          <cell r="I1324" t="str">
            <v>11-82</v>
          </cell>
          <cell r="J1324" t="str">
            <v>101</v>
          </cell>
          <cell r="K1324" t="str">
            <v>491-04295</v>
          </cell>
          <cell r="L1324" t="str">
            <v>733</v>
          </cell>
          <cell r="M1324" t="str">
            <v/>
          </cell>
          <cell r="N1324" t="str">
            <v>127</v>
          </cell>
        </row>
        <row r="1325">
          <cell r="A1325" t="str">
            <v>STACJA ROBOCZA</v>
          </cell>
          <cell r="B1325" t="str">
            <v>DELL Optiplex GX1L 266</v>
          </cell>
          <cell r="C1325" t="str">
            <v>491-3396</v>
          </cell>
          <cell r="D1325" t="str">
            <v>NM1D3</v>
          </cell>
          <cell r="E1325" t="str">
            <v xml:space="preserve">WS </v>
          </cell>
          <cell r="F1325" t="str">
            <v xml:space="preserve">SOWIŃSKI                 JAKUB          </v>
          </cell>
          <cell r="G1325" t="str">
            <v/>
          </cell>
          <cell r="H1325" t="str">
            <v/>
          </cell>
          <cell r="I1325" t="str">
            <v/>
          </cell>
          <cell r="J1325" t="str">
            <v>1642</v>
          </cell>
          <cell r="K1325" t="str">
            <v>491-03396</v>
          </cell>
          <cell r="L1325" t="str">
            <v>266</v>
          </cell>
          <cell r="M1325" t="str">
            <v/>
          </cell>
          <cell r="N1325" t="str">
            <v>128</v>
          </cell>
        </row>
        <row r="1326">
          <cell r="A1326" t="str">
            <v>STACJA ROBOCZA</v>
          </cell>
          <cell r="B1326" t="str">
            <v>OPTIMUS 386DX</v>
          </cell>
          <cell r="C1326" t="str">
            <v>491-1934</v>
          </cell>
          <cell r="D1326" t="str">
            <v>202015</v>
          </cell>
          <cell r="E1326" t="str">
            <v xml:space="preserve">WT </v>
          </cell>
          <cell r="F1326" t="str">
            <v xml:space="preserve">GRZESIŃSKI               MIROSŁAW       </v>
          </cell>
          <cell r="G1326" t="str">
            <v>U-12</v>
          </cell>
          <cell r="H1326" t="str">
            <v>303</v>
          </cell>
          <cell r="I1326" t="str">
            <v>14-04</v>
          </cell>
          <cell r="J1326" t="str">
            <v>3606</v>
          </cell>
          <cell r="K1326" t="str">
            <v>BL3-4</v>
          </cell>
          <cell r="L1326" t="str">
            <v>400</v>
          </cell>
          <cell r="M1326" t="str">
            <v/>
          </cell>
          <cell r="N1326" t="str">
            <v>128</v>
          </cell>
        </row>
        <row r="1327">
          <cell r="A1327" t="str">
            <v>STACJA ROBOCZA</v>
          </cell>
          <cell r="B1327" t="str">
            <v>DELL Optiplex GX1L 266</v>
          </cell>
          <cell r="C1327" t="str">
            <v>491-3319</v>
          </cell>
          <cell r="D1327" t="str">
            <v>NM186</v>
          </cell>
          <cell r="E1327" t="str">
            <v xml:space="preserve">WT </v>
          </cell>
          <cell r="F1327" t="str">
            <v xml:space="preserve">BRZEZOWSKI               JACEK          </v>
          </cell>
          <cell r="G1327" t="str">
            <v>U-12</v>
          </cell>
          <cell r="H1327" t="str">
            <v>326</v>
          </cell>
          <cell r="I1327" t="str">
            <v>14-02</v>
          </cell>
          <cell r="J1327" t="str">
            <v>5435</v>
          </cell>
          <cell r="K1327" t="str">
            <v>491-03319</v>
          </cell>
          <cell r="L1327" t="str">
            <v>266</v>
          </cell>
          <cell r="M1327" t="str">
            <v/>
          </cell>
          <cell r="N1327" t="str">
            <v>64</v>
          </cell>
        </row>
        <row r="1328">
          <cell r="A1328" t="str">
            <v>STACJA ROBOCZA</v>
          </cell>
          <cell r="B1328" t="str">
            <v>DELL Optiplex GX1L 266</v>
          </cell>
          <cell r="C1328" t="str">
            <v>491-3244</v>
          </cell>
          <cell r="D1328" t="str">
            <v>NM19S</v>
          </cell>
          <cell r="E1328" t="str">
            <v xml:space="preserve">WT </v>
          </cell>
          <cell r="F1328" t="str">
            <v xml:space="preserve">LESZCZYŃSKA              KRYSTYNA       </v>
          </cell>
          <cell r="G1328" t="str">
            <v>U-11</v>
          </cell>
          <cell r="H1328" t="str">
            <v>804</v>
          </cell>
          <cell r="I1328" t="str">
            <v>12-60</v>
          </cell>
          <cell r="J1328" t="str">
            <v>3300</v>
          </cell>
          <cell r="K1328" t="str">
            <v>491-03244</v>
          </cell>
          <cell r="L1328" t="str">
            <v>266</v>
          </cell>
          <cell r="M1328" t="str">
            <v/>
          </cell>
          <cell r="N1328" t="str">
            <v>32</v>
          </cell>
        </row>
        <row r="1329">
          <cell r="A1329" t="str">
            <v>STACJA ROBOCZA</v>
          </cell>
          <cell r="B1329" t="str">
            <v>DELL Optiplex GX1L 266</v>
          </cell>
          <cell r="C1329" t="str">
            <v>491-3216</v>
          </cell>
          <cell r="D1329" t="str">
            <v>NM15D</v>
          </cell>
          <cell r="E1329" t="str">
            <v xml:space="preserve">WT </v>
          </cell>
          <cell r="F1329" t="str">
            <v xml:space="preserve">GÓRAJEK                  ANDRZEJ        </v>
          </cell>
          <cell r="G1329" t="str">
            <v>U-12</v>
          </cell>
          <cell r="H1329" t="str">
            <v>211</v>
          </cell>
          <cell r="I1329" t="str">
            <v>22-02</v>
          </cell>
          <cell r="J1329" t="str">
            <v>247</v>
          </cell>
          <cell r="K1329" t="str">
            <v>491-03216</v>
          </cell>
          <cell r="L1329" t="str">
            <v>266</v>
          </cell>
          <cell r="M1329" t="str">
            <v/>
          </cell>
          <cell r="N1329" t="str">
            <v>96</v>
          </cell>
        </row>
        <row r="1330">
          <cell r="A1330" t="str">
            <v>STACJA ROBOCZA</v>
          </cell>
          <cell r="B1330" t="str">
            <v>ZENITH Z STATION P200</v>
          </cell>
          <cell r="C1330" t="str">
            <v>491-3045</v>
          </cell>
          <cell r="D1330" t="str">
            <v>GVDD72905440</v>
          </cell>
          <cell r="E1330" t="str">
            <v xml:space="preserve">WT </v>
          </cell>
          <cell r="F1330" t="str">
            <v xml:space="preserve">PARADOWSKA               ELŻBIETA       </v>
          </cell>
          <cell r="G1330" t="str">
            <v>U-12</v>
          </cell>
          <cell r="H1330" t="str">
            <v>327</v>
          </cell>
          <cell r="I1330" t="str">
            <v>40-95</v>
          </cell>
          <cell r="J1330" t="str">
            <v>3301</v>
          </cell>
          <cell r="K1330" t="str">
            <v>491-03045</v>
          </cell>
          <cell r="L1330" t="str">
            <v>200</v>
          </cell>
          <cell r="M1330" t="str">
            <v/>
          </cell>
          <cell r="N1330" t="str">
            <v/>
          </cell>
        </row>
        <row r="1331">
          <cell r="A1331" t="str">
            <v>STACJA ROBOCZA</v>
          </cell>
          <cell r="B1331" t="str">
            <v>DELL Optiplex GX1MT 350</v>
          </cell>
          <cell r="C1331" t="str">
            <v>491-3509</v>
          </cell>
          <cell r="D1331" t="str">
            <v>PKN39</v>
          </cell>
          <cell r="E1331" t="str">
            <v xml:space="preserve">WT </v>
          </cell>
          <cell r="F1331" t="str">
            <v xml:space="preserve">KRÓLICZAK                URSZULA        </v>
          </cell>
          <cell r="G1331" t="str">
            <v>U-12</v>
          </cell>
          <cell r="H1331" t="str">
            <v>327</v>
          </cell>
          <cell r="I1331" t="str">
            <v>22-03</v>
          </cell>
          <cell r="J1331" t="str">
            <v>3607</v>
          </cell>
          <cell r="K1331" t="str">
            <v>491-03509</v>
          </cell>
          <cell r="L1331" t="str">
            <v>350</v>
          </cell>
          <cell r="M1331" t="str">
            <v/>
          </cell>
          <cell r="N1331" t="str">
            <v>128</v>
          </cell>
        </row>
        <row r="1332">
          <cell r="A1332" t="str">
            <v>STACJA ROBOCZA</v>
          </cell>
          <cell r="B1332" t="str">
            <v>NEC Direction Minitower P III 450</v>
          </cell>
          <cell r="C1332" t="str">
            <v>491-3748</v>
          </cell>
          <cell r="D1332" t="str">
            <v>0155109</v>
          </cell>
          <cell r="E1332" t="str">
            <v xml:space="preserve">WT </v>
          </cell>
          <cell r="F1332" t="str">
            <v xml:space="preserve">SZTEJNBIS                IRENEUSZ       </v>
          </cell>
          <cell r="G1332" t="str">
            <v>U-12</v>
          </cell>
          <cell r="H1332" t="str">
            <v>327</v>
          </cell>
          <cell r="I1332" t="str">
            <v>13-55</v>
          </cell>
          <cell r="J1332" t="str">
            <v>917</v>
          </cell>
          <cell r="K1332" t="str">
            <v>491-03748</v>
          </cell>
          <cell r="L1332" t="str">
            <v>450</v>
          </cell>
          <cell r="M1332" t="str">
            <v/>
          </cell>
          <cell r="N1332" t="str">
            <v>192</v>
          </cell>
        </row>
        <row r="1333">
          <cell r="A1333" t="str">
            <v>STACJA ROBOCZA</v>
          </cell>
          <cell r="B1333" t="str">
            <v>DELL Optiplex GX1L 266</v>
          </cell>
          <cell r="C1333" t="str">
            <v>491-3291</v>
          </cell>
          <cell r="D1333" t="str">
            <v>NM17R</v>
          </cell>
          <cell r="E1333" t="str">
            <v xml:space="preserve">WT </v>
          </cell>
          <cell r="F1333" t="str">
            <v xml:space="preserve">DURAJ                    ZBIGNIEW       </v>
          </cell>
          <cell r="G1333" t="str">
            <v>U-12</v>
          </cell>
          <cell r="H1333" t="str">
            <v>303</v>
          </cell>
          <cell r="I1333" t="str">
            <v>1404</v>
          </cell>
          <cell r="J1333" t="str">
            <v>4712</v>
          </cell>
          <cell r="K1333" t="str">
            <v>491-03291</v>
          </cell>
          <cell r="L1333" t="str">
            <v>266</v>
          </cell>
          <cell r="M1333" t="str">
            <v>OK56M</v>
          </cell>
          <cell r="N1333" t="str">
            <v>64</v>
          </cell>
        </row>
        <row r="1334">
          <cell r="A1334" t="str">
            <v>STACJA ROBOCZA</v>
          </cell>
          <cell r="B1334" t="str">
            <v>DELL Optiplex GX1M 350</v>
          </cell>
          <cell r="C1334" t="str">
            <v>491-3604</v>
          </cell>
          <cell r="D1334" t="str">
            <v>PKGN5</v>
          </cell>
          <cell r="E1334" t="str">
            <v xml:space="preserve">WT </v>
          </cell>
          <cell r="F1334" t="str">
            <v xml:space="preserve">WOJCIECHOWSKA            DANUTA         </v>
          </cell>
          <cell r="G1334" t="str">
            <v>U-11</v>
          </cell>
          <cell r="H1334" t="str">
            <v>804</v>
          </cell>
          <cell r="I1334" t="str">
            <v>12-60</v>
          </cell>
          <cell r="J1334" t="str">
            <v>1103</v>
          </cell>
          <cell r="K1334" t="str">
            <v>491-03604</v>
          </cell>
          <cell r="L1334" t="str">
            <v>350</v>
          </cell>
          <cell r="M1334" t="str">
            <v/>
          </cell>
          <cell r="N1334" t="str">
            <v>64</v>
          </cell>
        </row>
        <row r="1335">
          <cell r="A1335" t="str">
            <v>STACJA ROBOCZA</v>
          </cell>
          <cell r="B1335" t="str">
            <v>COMPAQ DESKPRO EXD PIII 733</v>
          </cell>
          <cell r="C1335" t="str">
            <v>491-4331</v>
          </cell>
          <cell r="D1335" t="str">
            <v>8036FR4ZE439</v>
          </cell>
          <cell r="E1335" t="str">
            <v xml:space="preserve">WT </v>
          </cell>
          <cell r="F1335" t="str">
            <v xml:space="preserve">GRZESIŃSKI               MIROSŁAW       </v>
          </cell>
          <cell r="G1335" t="str">
            <v>U-12</v>
          </cell>
          <cell r="H1335" t="str">
            <v>303</v>
          </cell>
          <cell r="I1335" t="str">
            <v>14-04</v>
          </cell>
          <cell r="J1335" t="str">
            <v>3606</v>
          </cell>
          <cell r="K1335" t="str">
            <v>491-04331</v>
          </cell>
          <cell r="L1335" t="str">
            <v>733</v>
          </cell>
          <cell r="M1335" t="str">
            <v/>
          </cell>
          <cell r="N1335" t="str">
            <v>127</v>
          </cell>
        </row>
        <row r="1336">
          <cell r="A1336" t="str">
            <v>NOTEBOOK</v>
          </cell>
          <cell r="B1336" t="str">
            <v>COMPAQ ARMADA E500  PIII 600</v>
          </cell>
          <cell r="C1336" t="str">
            <v>491-4353</v>
          </cell>
          <cell r="D1336" t="str">
            <v>7J0ADN98Y00F</v>
          </cell>
          <cell r="E1336" t="str">
            <v xml:space="preserve">WT </v>
          </cell>
          <cell r="F1336" t="str">
            <v xml:space="preserve">GRZESIŃSKI               MIROSŁAW       </v>
          </cell>
          <cell r="G1336" t="str">
            <v>U-12</v>
          </cell>
          <cell r="H1336" t="str">
            <v>303</v>
          </cell>
          <cell r="I1336" t="str">
            <v>14-04</v>
          </cell>
          <cell r="J1336" t="str">
            <v>3606</v>
          </cell>
          <cell r="K1336" t="str">
            <v/>
          </cell>
          <cell r="L1336" t="str">
            <v>600</v>
          </cell>
          <cell r="M1336" t="str">
            <v/>
          </cell>
          <cell r="N1336" t="str">
            <v/>
          </cell>
        </row>
        <row r="1337">
          <cell r="A1337" t="str">
            <v>STACJA ROBOCZA</v>
          </cell>
          <cell r="B1337" t="str">
            <v>DELL Optiplex GX150</v>
          </cell>
          <cell r="C1337" t="str">
            <v>491-4758</v>
          </cell>
          <cell r="D1337" t="str">
            <v>99QX60J</v>
          </cell>
          <cell r="E1337" t="str">
            <v xml:space="preserve">WU </v>
          </cell>
          <cell r="F1337" t="str">
            <v xml:space="preserve">STEFANEK                 KAZIMIERZ      </v>
          </cell>
          <cell r="G1337" t="str">
            <v>U-3</v>
          </cell>
          <cell r="H1337" t="str">
            <v>304</v>
          </cell>
          <cell r="I1337" t="str">
            <v>11-04</v>
          </cell>
          <cell r="J1337" t="str">
            <v>892</v>
          </cell>
          <cell r="K1337" t="str">
            <v>491-04758</v>
          </cell>
          <cell r="L1337" t="str">
            <v>1000</v>
          </cell>
          <cell r="M1337" t="str">
            <v/>
          </cell>
          <cell r="N1337" t="str">
            <v>255</v>
          </cell>
        </row>
        <row r="1338">
          <cell r="A1338" t="str">
            <v>STACJA ROBOCZA</v>
          </cell>
          <cell r="B1338" t="str">
            <v>DELL Optiplex GX1L 266</v>
          </cell>
          <cell r="C1338" t="str">
            <v>491-3292</v>
          </cell>
          <cell r="D1338" t="str">
            <v>NM17Z</v>
          </cell>
          <cell r="E1338" t="str">
            <v xml:space="preserve">WU </v>
          </cell>
          <cell r="F1338" t="str">
            <v xml:space="preserve">TUTAK                    RYSZARD        </v>
          </cell>
          <cell r="G1338" t="str">
            <v>U-12</v>
          </cell>
          <cell r="H1338" t="str">
            <v>208</v>
          </cell>
          <cell r="I1338" t="str">
            <v>28-52</v>
          </cell>
          <cell r="J1338" t="str">
            <v>1007</v>
          </cell>
          <cell r="K1338" t="str">
            <v>491-03292</v>
          </cell>
          <cell r="L1338" t="str">
            <v>266</v>
          </cell>
          <cell r="M1338" t="str">
            <v/>
          </cell>
          <cell r="N1338" t="str">
            <v>96</v>
          </cell>
        </row>
        <row r="1339">
          <cell r="A1339" t="str">
            <v>STACJA ROBOCZA</v>
          </cell>
          <cell r="B1339" t="str">
            <v>NEC PMVT Desktop P III 450</v>
          </cell>
          <cell r="C1339" t="str">
            <v>491-3830</v>
          </cell>
          <cell r="D1339" t="str">
            <v>0215109</v>
          </cell>
          <cell r="E1339" t="str">
            <v xml:space="preserve">WU </v>
          </cell>
          <cell r="F1339" t="str">
            <v xml:space="preserve">DZIUBA                   ANDRZEJ        </v>
          </cell>
          <cell r="G1339" t="str">
            <v>U-3</v>
          </cell>
          <cell r="H1339" t="str">
            <v>207A</v>
          </cell>
          <cell r="I1339" t="str">
            <v>21-47</v>
          </cell>
          <cell r="J1339" t="str">
            <v>151</v>
          </cell>
          <cell r="K1339" t="str">
            <v>491-03830</v>
          </cell>
          <cell r="L1339" t="str">
            <v>450</v>
          </cell>
          <cell r="M1339" t="str">
            <v/>
          </cell>
          <cell r="N1339" t="str">
            <v>128</v>
          </cell>
        </row>
        <row r="1340">
          <cell r="A1340" t="str">
            <v>STACJA ROBOCZA</v>
          </cell>
          <cell r="B1340" t="str">
            <v>KOMPUTER 486DX</v>
          </cell>
          <cell r="C1340" t="str">
            <v>491-1620/11316</v>
          </cell>
          <cell r="D1340" t="str">
            <v>11316/075</v>
          </cell>
          <cell r="E1340" t="str">
            <v xml:space="preserve">WU </v>
          </cell>
          <cell r="F1340" t="str">
            <v xml:space="preserve">ZARZYCKA                 ANNA           </v>
          </cell>
          <cell r="G1340" t="str">
            <v>U-3</v>
          </cell>
          <cell r="H1340" t="str">
            <v>301</v>
          </cell>
          <cell r="I1340" t="str">
            <v>22-83</v>
          </cell>
          <cell r="J1340" t="str">
            <v>8201</v>
          </cell>
          <cell r="K1340" t="str">
            <v>491-01620-11316</v>
          </cell>
          <cell r="L1340" t="str">
            <v>366</v>
          </cell>
          <cell r="M1340" t="str">
            <v/>
          </cell>
          <cell r="N1340" t="str">
            <v>64</v>
          </cell>
        </row>
        <row r="1341">
          <cell r="A1341" t="str">
            <v>STACJA ROBOCZA</v>
          </cell>
          <cell r="B1341" t="str">
            <v>COMPAQ DESKPRO EXD PIII 733</v>
          </cell>
          <cell r="C1341" t="str">
            <v>491-4313</v>
          </cell>
          <cell r="D1341" t="str">
            <v>8036FR4ZE393</v>
          </cell>
          <cell r="E1341" t="str">
            <v xml:space="preserve">WU </v>
          </cell>
          <cell r="F1341" t="str">
            <v xml:space="preserve">WIŚNIEWSKI               EUGENIUSZ      </v>
          </cell>
          <cell r="G1341" t="str">
            <v>U-3</v>
          </cell>
          <cell r="H1341" t="str">
            <v>305B</v>
          </cell>
          <cell r="I1341" t="str">
            <v>27-49</v>
          </cell>
          <cell r="J1341" t="str">
            <v>1112</v>
          </cell>
          <cell r="K1341" t="str">
            <v>491-04313</v>
          </cell>
          <cell r="L1341" t="str">
            <v>733</v>
          </cell>
          <cell r="M1341" t="str">
            <v/>
          </cell>
          <cell r="N1341" t="str">
            <v>255</v>
          </cell>
        </row>
        <row r="1342">
          <cell r="A1342" t="str">
            <v>STACJA ROBOCZA</v>
          </cell>
          <cell r="B1342" t="str">
            <v>DELL Optiplex GX1L 350</v>
          </cell>
          <cell r="C1342" t="str">
            <v>491-3522</v>
          </cell>
          <cell r="D1342" t="str">
            <v>PKGPG</v>
          </cell>
          <cell r="E1342" t="str">
            <v xml:space="preserve">WU </v>
          </cell>
          <cell r="F1342" t="str">
            <v xml:space="preserve">SZYPROWSKA               MARIA          </v>
          </cell>
          <cell r="G1342" t="str">
            <v>U-2/3</v>
          </cell>
          <cell r="H1342" t="str">
            <v>312</v>
          </cell>
          <cell r="I1342" t="str">
            <v>10-88</v>
          </cell>
          <cell r="J1342" t="str">
            <v>210</v>
          </cell>
          <cell r="K1342" t="str">
            <v>491-03522</v>
          </cell>
          <cell r="L1342" t="str">
            <v>350</v>
          </cell>
          <cell r="M1342" t="str">
            <v/>
          </cell>
          <cell r="N1342" t="str">
            <v>128</v>
          </cell>
        </row>
        <row r="1343">
          <cell r="A1343" t="str">
            <v>STACJA ROBOCZA</v>
          </cell>
          <cell r="B1343" t="str">
            <v>NEC PowerMate VT Destop P III 450</v>
          </cell>
          <cell r="C1343" t="str">
            <v>491-3855</v>
          </cell>
          <cell r="D1343" t="str">
            <v>0227109</v>
          </cell>
          <cell r="E1343" t="str">
            <v xml:space="preserve">WU </v>
          </cell>
          <cell r="F1343" t="str">
            <v xml:space="preserve">WALORYSZAK               ZYGMUNT        </v>
          </cell>
          <cell r="G1343" t="str">
            <v>U-3</v>
          </cell>
          <cell r="H1343" t="str">
            <v>305B</v>
          </cell>
          <cell r="I1343" t="str">
            <v>18-23</v>
          </cell>
          <cell r="J1343" t="str">
            <v>1039</v>
          </cell>
          <cell r="K1343" t="str">
            <v>491-03855</v>
          </cell>
          <cell r="L1343" t="str">
            <v>450</v>
          </cell>
          <cell r="M1343" t="str">
            <v/>
          </cell>
          <cell r="N1343" t="str">
            <v>192</v>
          </cell>
        </row>
        <row r="1344">
          <cell r="A1344" t="str">
            <v>STACJA ROBOCZA</v>
          </cell>
          <cell r="B1344" t="str">
            <v>DELL Optiplex GX1L 350</v>
          </cell>
          <cell r="C1344" t="str">
            <v>491-3519</v>
          </cell>
          <cell r="D1344" t="str">
            <v>PKGN2</v>
          </cell>
          <cell r="E1344" t="str">
            <v xml:space="preserve">WU </v>
          </cell>
          <cell r="F1344" t="str">
            <v xml:space="preserve">STOPYRA                  GABRIELA       </v>
          </cell>
          <cell r="G1344" t="str">
            <v>U-3</v>
          </cell>
          <cell r="H1344" t="str">
            <v>301</v>
          </cell>
          <cell r="I1344" t="str">
            <v>21-47</v>
          </cell>
          <cell r="J1344" t="str">
            <v>441</v>
          </cell>
          <cell r="K1344" t="str">
            <v>491-03519</v>
          </cell>
          <cell r="L1344" t="str">
            <v>350</v>
          </cell>
          <cell r="M1344" t="str">
            <v/>
          </cell>
          <cell r="N1344" t="str">
            <v>128</v>
          </cell>
        </row>
        <row r="1345">
          <cell r="A1345" t="str">
            <v>STACJA ROBOCZA</v>
          </cell>
          <cell r="B1345" t="str">
            <v>DELL Optiplex GX1M 350</v>
          </cell>
          <cell r="C1345" t="str">
            <v>491-3570</v>
          </cell>
          <cell r="D1345" t="str">
            <v>PKGPZ</v>
          </cell>
          <cell r="E1345" t="str">
            <v xml:space="preserve">WU </v>
          </cell>
          <cell r="F1345" t="str">
            <v xml:space="preserve">MODLIŃSKI                TADEUSZ        </v>
          </cell>
          <cell r="G1345" t="str">
            <v>U-3</v>
          </cell>
          <cell r="H1345" t="str">
            <v>304B</v>
          </cell>
          <cell r="I1345" t="str">
            <v>18-50</v>
          </cell>
          <cell r="J1345" t="str">
            <v>570</v>
          </cell>
          <cell r="K1345" t="str">
            <v>491-03570</v>
          </cell>
          <cell r="L1345" t="str">
            <v>350</v>
          </cell>
          <cell r="M1345" t="str">
            <v/>
          </cell>
          <cell r="N1345" t="str">
            <v>64</v>
          </cell>
        </row>
        <row r="1346">
          <cell r="A1346" t="str">
            <v>STACJA ROBOCZA</v>
          </cell>
          <cell r="B1346" t="str">
            <v>NEC Direction Minitower P III 450</v>
          </cell>
          <cell r="C1346" t="str">
            <v>491-3769</v>
          </cell>
          <cell r="D1346" t="str">
            <v>0166109</v>
          </cell>
          <cell r="E1346" t="str">
            <v xml:space="preserve">WW </v>
          </cell>
          <cell r="F1346" t="str">
            <v xml:space="preserve">KRAWCZYK                 ANDRZEJ        </v>
          </cell>
          <cell r="G1346" t="str">
            <v>W6/2</v>
          </cell>
          <cell r="H1346" t="str">
            <v>103</v>
          </cell>
          <cell r="I1346" t="str">
            <v>14-63</v>
          </cell>
          <cell r="J1346" t="str">
            <v>366</v>
          </cell>
          <cell r="K1346" t="str">
            <v>491-03769</v>
          </cell>
          <cell r="L1346" t="str">
            <v>450</v>
          </cell>
          <cell r="M1346" t="str">
            <v/>
          </cell>
          <cell r="N1346" t="str">
            <v>256</v>
          </cell>
        </row>
        <row r="1347">
          <cell r="A1347" t="str">
            <v>STACJA ROBOCZA</v>
          </cell>
          <cell r="B1347" t="str">
            <v>KOMPUTER 386DX</v>
          </cell>
          <cell r="C1347" t="str">
            <v>491-2051</v>
          </cell>
          <cell r="D1347" t="str">
            <v>3799/053</v>
          </cell>
          <cell r="E1347" t="str">
            <v xml:space="preserve">WW </v>
          </cell>
          <cell r="F1347" t="str">
            <v xml:space="preserve">PAPROCKA                 RENATA         </v>
          </cell>
          <cell r="G1347" t="str">
            <v>W6/2</v>
          </cell>
          <cell r="H1347" t="str">
            <v>109</v>
          </cell>
          <cell r="I1347" t="str">
            <v>11-74</v>
          </cell>
          <cell r="J1347" t="str">
            <v>807</v>
          </cell>
          <cell r="K1347" t="str">
            <v/>
          </cell>
          <cell r="L1347" t="str">
            <v>0</v>
          </cell>
          <cell r="M1347" t="str">
            <v/>
          </cell>
          <cell r="N1347" t="str">
            <v/>
          </cell>
        </row>
        <row r="1348">
          <cell r="A1348" t="str">
            <v>STACJA ROBOCZA</v>
          </cell>
          <cell r="B1348" t="str">
            <v>DELL Optiplex GX260 SD</v>
          </cell>
          <cell r="C1348" t="str">
            <v>491-5024</v>
          </cell>
          <cell r="D1348" t="str">
            <v>6NPFL0J</v>
          </cell>
          <cell r="E1348" t="str">
            <v xml:space="preserve">WW </v>
          </cell>
          <cell r="F1348" t="str">
            <v xml:space="preserve">GATNIEJEWSKI             MAREK          </v>
          </cell>
          <cell r="G1348" t="str">
            <v>W6/2</v>
          </cell>
          <cell r="H1348" t="str">
            <v>101</v>
          </cell>
          <cell r="I1348" t="str">
            <v>13-08</v>
          </cell>
          <cell r="J1348" t="str">
            <v>220</v>
          </cell>
          <cell r="K1348" t="str">
            <v>491-05024</v>
          </cell>
          <cell r="L1348" t="str">
            <v>2400</v>
          </cell>
          <cell r="M1348" t="str">
            <v/>
          </cell>
          <cell r="N1348" t="str">
            <v>254</v>
          </cell>
        </row>
        <row r="1349">
          <cell r="A1349" t="str">
            <v>STACJA ROBOCZA</v>
          </cell>
          <cell r="B1349" t="str">
            <v>COMPAQ DESKPRO EXD PIII 733</v>
          </cell>
          <cell r="C1349" t="str">
            <v>491-4407</v>
          </cell>
          <cell r="D1349" t="str">
            <v>8036FR4ZE220</v>
          </cell>
          <cell r="E1349" t="str">
            <v xml:space="preserve">WW </v>
          </cell>
          <cell r="F1349" t="str">
            <v xml:space="preserve">PAPROCKA                 RENATA         </v>
          </cell>
          <cell r="G1349" t="str">
            <v>W6/2</v>
          </cell>
          <cell r="H1349" t="str">
            <v>109</v>
          </cell>
          <cell r="I1349" t="str">
            <v>11-74</v>
          </cell>
          <cell r="J1349" t="str">
            <v>807</v>
          </cell>
          <cell r="K1349" t="str">
            <v>491-04407</v>
          </cell>
          <cell r="L1349" t="str">
            <v>733</v>
          </cell>
          <cell r="M1349" t="str">
            <v/>
          </cell>
          <cell r="N1349" t="str">
            <v>127</v>
          </cell>
        </row>
        <row r="1350">
          <cell r="A1350" t="str">
            <v>STACJA ROBOCZA</v>
          </cell>
          <cell r="B1350" t="str">
            <v>DELL Optiplex GX1MT 350</v>
          </cell>
          <cell r="C1350" t="str">
            <v>491-3512</v>
          </cell>
          <cell r="D1350" t="str">
            <v>PKN30</v>
          </cell>
          <cell r="E1350" t="str">
            <v xml:space="preserve">WW </v>
          </cell>
          <cell r="F1350" t="str">
            <v xml:space="preserve">GALEWSKI                 JAN            </v>
          </cell>
          <cell r="G1350" t="str">
            <v>W6/2</v>
          </cell>
          <cell r="H1350" t="str">
            <v>1</v>
          </cell>
          <cell r="I1350" t="str">
            <v>14-46</v>
          </cell>
          <cell r="J1350" t="str">
            <v>260</v>
          </cell>
          <cell r="K1350" t="str">
            <v>491-03512</v>
          </cell>
          <cell r="L1350" t="str">
            <v>350</v>
          </cell>
          <cell r="M1350" t="str">
            <v/>
          </cell>
          <cell r="N1350" t="str">
            <v>64</v>
          </cell>
        </row>
        <row r="1351">
          <cell r="A1351" t="str">
            <v>STACJA ROBOCZA</v>
          </cell>
          <cell r="B1351" t="str">
            <v>DELL Optiplex GX150</v>
          </cell>
          <cell r="C1351" t="str">
            <v>491-4812</v>
          </cell>
          <cell r="D1351" t="str">
            <v>4TPX60J</v>
          </cell>
          <cell r="E1351" t="str">
            <v xml:space="preserve">WW </v>
          </cell>
          <cell r="F1351" t="str">
            <v xml:space="preserve">ROJEWSKI                 ZDZISŁAW       </v>
          </cell>
          <cell r="G1351" t="str">
            <v>W6/2</v>
          </cell>
          <cell r="H1351" t="str">
            <v>21</v>
          </cell>
          <cell r="I1351" t="str">
            <v>22-60</v>
          </cell>
          <cell r="J1351" t="str">
            <v>860</v>
          </cell>
          <cell r="K1351" t="str">
            <v>491-04812</v>
          </cell>
          <cell r="L1351" t="str">
            <v>1000</v>
          </cell>
          <cell r="M1351" t="str">
            <v/>
          </cell>
          <cell r="N1351" t="str">
            <v>255</v>
          </cell>
        </row>
        <row r="1352">
          <cell r="A1352" t="str">
            <v>STACJA ROBOCZA</v>
          </cell>
          <cell r="B1352" t="str">
            <v>DELL Optiplex GX1L 266</v>
          </cell>
          <cell r="C1352" t="str">
            <v>491-3367</v>
          </cell>
          <cell r="D1352" t="str">
            <v>NM1BS</v>
          </cell>
          <cell r="E1352" t="str">
            <v xml:space="preserve">WW </v>
          </cell>
          <cell r="F1352" t="str">
            <v xml:space="preserve">KALECIŃSKI               SYLWERIUSZ     </v>
          </cell>
          <cell r="G1352" t="str">
            <v>W6/2</v>
          </cell>
          <cell r="H1352" t="str">
            <v>108</v>
          </cell>
          <cell r="I1352" t="str">
            <v>25-72</v>
          </cell>
          <cell r="J1352" t="str">
            <v>457</v>
          </cell>
          <cell r="K1352" t="str">
            <v>491-03367</v>
          </cell>
          <cell r="L1352" t="str">
            <v>266</v>
          </cell>
          <cell r="M1352" t="str">
            <v/>
          </cell>
          <cell r="N1352" t="str">
            <v>96</v>
          </cell>
        </row>
        <row r="1353">
          <cell r="A1353" t="str">
            <v>STACJA ROBOCZA</v>
          </cell>
          <cell r="B1353" t="str">
            <v>ZENITH Z STATION P200</v>
          </cell>
          <cell r="C1353" t="str">
            <v>491-3049</v>
          </cell>
          <cell r="D1353" t="str">
            <v>GVDD72904636</v>
          </cell>
          <cell r="E1353" t="str">
            <v xml:space="preserve">WW </v>
          </cell>
          <cell r="F1353" t="str">
            <v xml:space="preserve">GATNIEJEWSKI             MAREK          </v>
          </cell>
          <cell r="G1353" t="str">
            <v>W6/2</v>
          </cell>
          <cell r="H1353" t="str">
            <v>101</v>
          </cell>
          <cell r="I1353" t="str">
            <v>13-08</v>
          </cell>
          <cell r="J1353" t="str">
            <v>220</v>
          </cell>
          <cell r="K1353" t="str">
            <v>491-03049</v>
          </cell>
          <cell r="L1353" t="str">
            <v>200</v>
          </cell>
          <cell r="M1353" t="str">
            <v>OK56J</v>
          </cell>
          <cell r="N1353" t="str">
            <v>96</v>
          </cell>
        </row>
        <row r="1354">
          <cell r="A1354" t="str">
            <v>STACJA ROBOCZA</v>
          </cell>
          <cell r="B1354" t="str">
            <v>KOMPUTER PC/AT</v>
          </cell>
          <cell r="C1354" t="str">
            <v>491-1620/1695</v>
          </cell>
          <cell r="D1354" t="str">
            <v>238109</v>
          </cell>
          <cell r="E1354" t="str">
            <v xml:space="preserve">WW </v>
          </cell>
          <cell r="F1354" t="str">
            <v xml:space="preserve">KACZMAREK                ANNA           </v>
          </cell>
          <cell r="G1354" t="str">
            <v>W6/2</v>
          </cell>
          <cell r="H1354" t="str">
            <v>104</v>
          </cell>
          <cell r="I1354" t="str">
            <v>29-70</v>
          </cell>
          <cell r="J1354" t="str">
            <v>275</v>
          </cell>
          <cell r="K1354" t="str">
            <v>491-01620-1695</v>
          </cell>
          <cell r="L1354" t="str">
            <v>500</v>
          </cell>
          <cell r="M1354" t="str">
            <v>OK56J</v>
          </cell>
          <cell r="N1354" t="str">
            <v>128</v>
          </cell>
        </row>
        <row r="1355">
          <cell r="A1355" t="str">
            <v>STACJA ROBOCZA</v>
          </cell>
          <cell r="B1355" t="str">
            <v>DELL Optiplex GX150</v>
          </cell>
          <cell r="C1355" t="str">
            <v>491-4810</v>
          </cell>
          <cell r="D1355" t="str">
            <v>CM3Y60J</v>
          </cell>
          <cell r="E1355" t="str">
            <v xml:space="preserve">WW </v>
          </cell>
          <cell r="F1355" t="str">
            <v xml:space="preserve">MUSIAŁ                   MIROSŁAW       </v>
          </cell>
          <cell r="G1355" t="str">
            <v>W6/2</v>
          </cell>
          <cell r="H1355" t="str">
            <v>110</v>
          </cell>
          <cell r="I1355" t="str">
            <v>11-74</v>
          </cell>
          <cell r="J1355" t="str">
            <v>578</v>
          </cell>
          <cell r="K1355" t="str">
            <v>491-04810</v>
          </cell>
          <cell r="L1355" t="str">
            <v>1000</v>
          </cell>
          <cell r="M1355" t="str">
            <v/>
          </cell>
          <cell r="N1355" t="str">
            <v>255</v>
          </cell>
        </row>
        <row r="1356">
          <cell r="A1356" t="str">
            <v>STACJA ROBOCZA</v>
          </cell>
          <cell r="B1356" t="str">
            <v>NEC PMVT Desktop P III 450</v>
          </cell>
          <cell r="C1356" t="str">
            <v>491-3806</v>
          </cell>
          <cell r="D1356" t="str">
            <v>0231109</v>
          </cell>
          <cell r="E1356" t="str">
            <v xml:space="preserve">WW </v>
          </cell>
          <cell r="F1356" t="str">
            <v xml:space="preserve">PŁAZA                    ZBIGNIEW       </v>
          </cell>
          <cell r="G1356" t="str">
            <v>W6/2</v>
          </cell>
          <cell r="H1356" t="str">
            <v>103</v>
          </cell>
          <cell r="I1356" t="str">
            <v>13-46</v>
          </cell>
          <cell r="J1356" t="str">
            <v>7321</v>
          </cell>
          <cell r="K1356" t="str">
            <v>491-03806</v>
          </cell>
          <cell r="L1356" t="str">
            <v>450</v>
          </cell>
          <cell r="M1356" t="str">
            <v/>
          </cell>
          <cell r="N1356" t="str">
            <v>128</v>
          </cell>
        </row>
        <row r="1357">
          <cell r="A1357" t="str">
            <v>STACJA ROBOCZA</v>
          </cell>
          <cell r="B1357" t="str">
            <v>DELL Optiplex GX150</v>
          </cell>
          <cell r="C1357" t="str">
            <v>491-4811</v>
          </cell>
          <cell r="D1357" t="str">
            <v>8M3Y60J</v>
          </cell>
          <cell r="E1357" t="str">
            <v xml:space="preserve">WW </v>
          </cell>
          <cell r="F1357" t="str">
            <v xml:space="preserve">PAWŁOWICZ                NORBERT        </v>
          </cell>
          <cell r="G1357" t="str">
            <v>W6/2</v>
          </cell>
          <cell r="H1357" t="str">
            <v>44</v>
          </cell>
          <cell r="I1357" t="str">
            <v>14-62</v>
          </cell>
          <cell r="J1357" t="str">
            <v>9320</v>
          </cell>
          <cell r="K1357" t="str">
            <v>491-04811</v>
          </cell>
          <cell r="L1357" t="str">
            <v>1000</v>
          </cell>
          <cell r="M1357" t="str">
            <v/>
          </cell>
          <cell r="N1357" t="str">
            <v>255</v>
          </cell>
        </row>
        <row r="1358">
          <cell r="A1358" t="str">
            <v>STACJA ROBOCZA</v>
          </cell>
          <cell r="B1358" t="str">
            <v>ZENITH Z STATION P166</v>
          </cell>
          <cell r="C1358" t="str">
            <v>491-2975</v>
          </cell>
          <cell r="D1358" t="str">
            <v>GVDD72904933</v>
          </cell>
          <cell r="E1358" t="str">
            <v xml:space="preserve">WW </v>
          </cell>
          <cell r="F1358" t="str">
            <v xml:space="preserve">OSTROWICZ                ARKADIUSZ      </v>
          </cell>
          <cell r="G1358" t="str">
            <v>S-7</v>
          </cell>
          <cell r="H1358" t="str">
            <v>S-7</v>
          </cell>
          <cell r="I1358" t="str">
            <v>17-82</v>
          </cell>
          <cell r="J1358" t="str">
            <v>689</v>
          </cell>
          <cell r="K1358" t="str">
            <v>491-02975</v>
          </cell>
          <cell r="L1358" t="str">
            <v>166</v>
          </cell>
          <cell r="M1358" t="str">
            <v/>
          </cell>
          <cell r="N1358" t="str">
            <v>128</v>
          </cell>
        </row>
        <row r="1359">
          <cell r="A1359" t="str">
            <v>STACJA ROBOCZA</v>
          </cell>
          <cell r="B1359" t="str">
            <v>DELL Optiplex GX150</v>
          </cell>
          <cell r="C1359" t="str">
            <v>491-4809</v>
          </cell>
          <cell r="D1359" t="str">
            <v>7L3Y60J</v>
          </cell>
          <cell r="E1359" t="str">
            <v xml:space="preserve">WW </v>
          </cell>
          <cell r="F1359" t="str">
            <v xml:space="preserve">ZIELIŃSKI                SŁAWOMIR       </v>
          </cell>
          <cell r="G1359" t="str">
            <v>U-6.2</v>
          </cell>
          <cell r="H1359" t="str">
            <v>45</v>
          </cell>
          <cell r="I1359" t="str">
            <v>14-45</v>
          </cell>
          <cell r="J1359" t="str">
            <v>1147</v>
          </cell>
          <cell r="K1359" t="str">
            <v>491-04809</v>
          </cell>
          <cell r="L1359" t="str">
            <v>1000</v>
          </cell>
          <cell r="M1359" t="str">
            <v/>
          </cell>
          <cell r="N1359" t="str">
            <v>255</v>
          </cell>
        </row>
        <row r="1360">
          <cell r="A1360" t="str">
            <v>STACJA ROBOCZA</v>
          </cell>
          <cell r="B1360" t="str">
            <v>DELL Optiplex GX1L 266</v>
          </cell>
          <cell r="C1360" t="str">
            <v>491-3369</v>
          </cell>
          <cell r="D1360" t="str">
            <v>NM1C5</v>
          </cell>
          <cell r="E1360" t="str">
            <v xml:space="preserve">WW </v>
          </cell>
          <cell r="F1360" t="str">
            <v xml:space="preserve">WARCHOLIŃSKA             BOŻENA         </v>
          </cell>
          <cell r="G1360" t="str">
            <v>W6/2</v>
          </cell>
          <cell r="H1360" t="str">
            <v>102</v>
          </cell>
          <cell r="I1360" t="str">
            <v/>
          </cell>
          <cell r="J1360" t="str">
            <v>8236</v>
          </cell>
          <cell r="K1360" t="str">
            <v>491-03369</v>
          </cell>
          <cell r="L1360" t="str">
            <v>266</v>
          </cell>
          <cell r="M1360" t="str">
            <v/>
          </cell>
          <cell r="N1360" t="str">
            <v>128</v>
          </cell>
        </row>
        <row r="1361">
          <cell r="A1361" t="str">
            <v>STACJA ROBOCZA</v>
          </cell>
          <cell r="B1361" t="str">
            <v>NEC PowerMate VT Destop P III 450</v>
          </cell>
          <cell r="C1361" t="str">
            <v>491-4020</v>
          </cell>
          <cell r="D1361" t="str">
            <v>0194109</v>
          </cell>
          <cell r="E1361" t="str">
            <v xml:space="preserve">WZ </v>
          </cell>
          <cell r="F1361" t="str">
            <v xml:space="preserve">KABZIŃSKA                MAŁGORZATA     </v>
          </cell>
          <cell r="G1361" t="str">
            <v>U-12</v>
          </cell>
          <cell r="H1361" t="str">
            <v>300</v>
          </cell>
          <cell r="I1361" t="str">
            <v>16-84</v>
          </cell>
          <cell r="J1361" t="str">
            <v>538</v>
          </cell>
          <cell r="K1361" t="str">
            <v>491-04020</v>
          </cell>
          <cell r="L1361" t="str">
            <v>450</v>
          </cell>
          <cell r="M1361" t="str">
            <v>OK56M</v>
          </cell>
          <cell r="N1361" t="str">
            <v>64</v>
          </cell>
        </row>
        <row r="1362">
          <cell r="A1362" t="str">
            <v>STACJA ROBOCZA</v>
          </cell>
          <cell r="B1362" t="str">
            <v>DELL Optiplex GX1L 266</v>
          </cell>
          <cell r="C1362" t="str">
            <v>491-3303</v>
          </cell>
          <cell r="D1362" t="str">
            <v>NM18J</v>
          </cell>
          <cell r="E1362" t="str">
            <v xml:space="preserve">WZ </v>
          </cell>
          <cell r="F1362" t="str">
            <v xml:space="preserve">GORCZYCA                 MARIUSZ        </v>
          </cell>
          <cell r="G1362" t="str">
            <v>U-12</v>
          </cell>
          <cell r="H1362" t="str">
            <v>204</v>
          </cell>
          <cell r="I1362" t="str">
            <v>17-78</v>
          </cell>
          <cell r="J1362" t="str">
            <v>274</v>
          </cell>
          <cell r="K1362" t="str">
            <v>491-03303</v>
          </cell>
          <cell r="L1362" t="str">
            <v>266</v>
          </cell>
          <cell r="M1362" t="str">
            <v/>
          </cell>
          <cell r="N1362" t="str">
            <v>192</v>
          </cell>
        </row>
        <row r="1363">
          <cell r="A1363" t="str">
            <v>NOTEBOOK</v>
          </cell>
          <cell r="B1363" t="str">
            <v>Dell Latitude CPi 300XT</v>
          </cell>
          <cell r="C1363" t="str">
            <v>491-3614</v>
          </cell>
          <cell r="D1363" t="str">
            <v>ZL6LV</v>
          </cell>
          <cell r="E1363" t="str">
            <v xml:space="preserve">WZ </v>
          </cell>
          <cell r="F1363" t="str">
            <v xml:space="preserve">STĘPIEŃ                  MARIUSZ        </v>
          </cell>
          <cell r="G1363" t="str">
            <v>U-12</v>
          </cell>
          <cell r="H1363" t="str">
            <v>331</v>
          </cell>
          <cell r="I1363" t="str">
            <v>15-23</v>
          </cell>
          <cell r="J1363" t="str">
            <v>9150</v>
          </cell>
          <cell r="K1363" t="str">
            <v>491-03614</v>
          </cell>
          <cell r="L1363" t="str">
            <v>300</v>
          </cell>
          <cell r="M1363" t="str">
            <v/>
          </cell>
          <cell r="N1363" t="str">
            <v>64</v>
          </cell>
        </row>
        <row r="1364">
          <cell r="A1364" t="str">
            <v>STACJA ROBOCZA</v>
          </cell>
          <cell r="B1364" t="str">
            <v>NEC PowerMate VT Destop P III 450</v>
          </cell>
          <cell r="C1364" t="str">
            <v>491-4039</v>
          </cell>
          <cell r="D1364" t="str">
            <v>0222109</v>
          </cell>
          <cell r="E1364" t="str">
            <v xml:space="preserve">WZ </v>
          </cell>
          <cell r="F1364" t="str">
            <v xml:space="preserve">NOWAKOWSKI               KRZYSZTOF      </v>
          </cell>
          <cell r="G1364" t="str">
            <v>U-12</v>
          </cell>
          <cell r="H1364" t="str">
            <v>343A</v>
          </cell>
          <cell r="I1364" t="str">
            <v>16-90</v>
          </cell>
          <cell r="J1364" t="str">
            <v>667</v>
          </cell>
          <cell r="K1364" t="str">
            <v>491-04039</v>
          </cell>
          <cell r="L1364" t="str">
            <v>450</v>
          </cell>
          <cell r="M1364" t="str">
            <v/>
          </cell>
          <cell r="N1364" t="str">
            <v>128</v>
          </cell>
        </row>
        <row r="1365">
          <cell r="A1365" t="str">
            <v>STACJA ROBOCZA</v>
          </cell>
          <cell r="B1365" t="str">
            <v>DELL Optiplex GX150</v>
          </cell>
          <cell r="C1365" t="str">
            <v>491-4675</v>
          </cell>
          <cell r="D1365" t="str">
            <v>39QX60J</v>
          </cell>
          <cell r="E1365" t="str">
            <v xml:space="preserve">WZ </v>
          </cell>
          <cell r="F1365" t="str">
            <v xml:space="preserve">STĘPIEŃ                  MARIUSZ        </v>
          </cell>
          <cell r="G1365" t="str">
            <v>U-12</v>
          </cell>
          <cell r="H1365" t="str">
            <v>331</v>
          </cell>
          <cell r="I1365" t="str">
            <v>15-23</v>
          </cell>
          <cell r="J1365" t="str">
            <v>9150</v>
          </cell>
          <cell r="K1365" t="str">
            <v>491-04675</v>
          </cell>
          <cell r="L1365" t="str">
            <v>1000</v>
          </cell>
          <cell r="M1365" t="str">
            <v/>
          </cell>
          <cell r="N1365" t="str">
            <v>255</v>
          </cell>
        </row>
        <row r="1366">
          <cell r="A1366" t="str">
            <v>STACJA ROBOCZA</v>
          </cell>
          <cell r="B1366" t="str">
            <v>DELL Optiplex GX150</v>
          </cell>
          <cell r="C1366" t="str">
            <v>491-4676</v>
          </cell>
          <cell r="D1366" t="str">
            <v>G7QX60J</v>
          </cell>
          <cell r="E1366" t="str">
            <v xml:space="preserve">WZ </v>
          </cell>
          <cell r="F1366" t="str">
            <v xml:space="preserve">NOWAKOWSKI               KRZYSZTOF      </v>
          </cell>
          <cell r="G1366" t="str">
            <v>U-12</v>
          </cell>
          <cell r="H1366" t="str">
            <v>343A</v>
          </cell>
          <cell r="I1366" t="str">
            <v>16-90</v>
          </cell>
          <cell r="J1366" t="str">
            <v>667</v>
          </cell>
          <cell r="K1366" t="str">
            <v>491-04676</v>
          </cell>
          <cell r="L1366" t="str">
            <v>1000</v>
          </cell>
          <cell r="M1366" t="str">
            <v/>
          </cell>
          <cell r="N1366" t="str">
            <v>255</v>
          </cell>
        </row>
        <row r="1367">
          <cell r="A1367" t="str">
            <v>STACJA ROBOCZA</v>
          </cell>
          <cell r="B1367" t="str">
            <v>DELL Optiplex GX1L 350</v>
          </cell>
          <cell r="C1367" t="str">
            <v>491-3526</v>
          </cell>
          <cell r="D1367" t="str">
            <v>PKGN1</v>
          </cell>
          <cell r="E1367" t="str">
            <v xml:space="preserve">WZ </v>
          </cell>
          <cell r="F1367" t="str">
            <v xml:space="preserve">HENC                     MIROSŁAW       </v>
          </cell>
          <cell r="G1367" t="str">
            <v>U-12</v>
          </cell>
          <cell r="H1367" t="str">
            <v>343A</v>
          </cell>
          <cell r="I1367" t="str">
            <v>16-90</v>
          </cell>
          <cell r="J1367" t="str">
            <v>286</v>
          </cell>
          <cell r="K1367" t="str">
            <v>491-03526</v>
          </cell>
          <cell r="L1367" t="str">
            <v>350</v>
          </cell>
          <cell r="M1367" t="str">
            <v/>
          </cell>
          <cell r="N1367" t="str">
            <v>128</v>
          </cell>
        </row>
        <row r="1368">
          <cell r="A1368" t="str">
            <v>NOTEBOOK</v>
          </cell>
          <cell r="B1368" t="str">
            <v>Dell Latitude</v>
          </cell>
          <cell r="C1368" t="str">
            <v>491-3335</v>
          </cell>
          <cell r="D1368" t="str">
            <v>Z53KC</v>
          </cell>
          <cell r="E1368" t="str">
            <v xml:space="preserve">WZ </v>
          </cell>
          <cell r="F1368" t="str">
            <v xml:space="preserve">NOWAKOWSKI               KRZYSZTOF      </v>
          </cell>
          <cell r="G1368" t="str">
            <v>U-12</v>
          </cell>
          <cell r="H1368" t="str">
            <v>343A</v>
          </cell>
          <cell r="I1368" t="str">
            <v>16-90</v>
          </cell>
          <cell r="J1368" t="str">
            <v>667</v>
          </cell>
          <cell r="K1368" t="str">
            <v>DELLKN</v>
          </cell>
          <cell r="L1368" t="str">
            <v>233</v>
          </cell>
          <cell r="M1368" t="str">
            <v/>
          </cell>
          <cell r="N1368" t="str">
            <v/>
          </cell>
        </row>
        <row r="1369">
          <cell r="A1369" t="str">
            <v>STACJA ROBOCZA</v>
          </cell>
          <cell r="B1369" t="str">
            <v>NEC PMVT Desktop P III 450</v>
          </cell>
          <cell r="C1369" t="str">
            <v>491-3803</v>
          </cell>
          <cell r="D1369" t="str">
            <v>0226109</v>
          </cell>
          <cell r="E1369" t="str">
            <v xml:space="preserve">WZ </v>
          </cell>
          <cell r="F1369" t="str">
            <v xml:space="preserve">KULESZA                  JAN            </v>
          </cell>
          <cell r="G1369" t="str">
            <v>U-12</v>
          </cell>
          <cell r="H1369" t="str">
            <v>331</v>
          </cell>
          <cell r="I1369" t="str">
            <v>15-23</v>
          </cell>
          <cell r="J1369" t="str">
            <v>459</v>
          </cell>
          <cell r="K1369" t="str">
            <v>491-03803</v>
          </cell>
          <cell r="L1369" t="str">
            <v>450</v>
          </cell>
          <cell r="M1369" t="str">
            <v/>
          </cell>
          <cell r="N1369" t="str">
            <v>192</v>
          </cell>
        </row>
        <row r="1370">
          <cell r="A1370" t="str">
            <v>STACJA ROBOCZA</v>
          </cell>
          <cell r="B1370" t="str">
            <v>DELL Optiplex GX1L 266</v>
          </cell>
          <cell r="C1370" t="str">
            <v>491-3423</v>
          </cell>
          <cell r="D1370" t="str">
            <v>NM1J9</v>
          </cell>
          <cell r="E1370" t="str">
            <v xml:space="preserve">WZ </v>
          </cell>
          <cell r="F1370" t="str">
            <v xml:space="preserve">KABZIŃSKA                MAŁGORZATA     </v>
          </cell>
          <cell r="G1370" t="str">
            <v>U-12</v>
          </cell>
          <cell r="H1370" t="str">
            <v>300</v>
          </cell>
          <cell r="I1370" t="str">
            <v>16-84</v>
          </cell>
          <cell r="J1370" t="str">
            <v>538</v>
          </cell>
          <cell r="K1370" t="str">
            <v>491-03423</v>
          </cell>
          <cell r="L1370" t="str">
            <v>266</v>
          </cell>
          <cell r="M1370" t="str">
            <v/>
          </cell>
          <cell r="N1370" t="str">
            <v>128</v>
          </cell>
        </row>
        <row r="1371">
          <cell r="A1371" t="str">
            <v>STACJA ROBOCZA</v>
          </cell>
          <cell r="B1371" t="str">
            <v>KOMPUTER 486DX</v>
          </cell>
          <cell r="C1371" t="str">
            <v>491-1620/8817</v>
          </cell>
          <cell r="D1371" t="str">
            <v>8817/114</v>
          </cell>
          <cell r="E1371" t="str">
            <v xml:space="preserve">WZ </v>
          </cell>
          <cell r="F1371" t="str">
            <v xml:space="preserve">PRZYBYŁA                 JAN            </v>
          </cell>
          <cell r="G1371" t="str">
            <v>U-12</v>
          </cell>
          <cell r="H1371" t="str">
            <v>331</v>
          </cell>
          <cell r="I1371" t="str">
            <v>34-42</v>
          </cell>
          <cell r="J1371" t="str">
            <v>9123</v>
          </cell>
          <cell r="K1371" t="str">
            <v>491-01620-8817</v>
          </cell>
          <cell r="L1371" t="str">
            <v>500</v>
          </cell>
          <cell r="M1371" t="str">
            <v>OK56M</v>
          </cell>
          <cell r="N1371" t="str">
            <v>128</v>
          </cell>
        </row>
        <row r="1372">
          <cell r="A1372" t="str">
            <v>STACJA ROBOCZA</v>
          </cell>
          <cell r="B1372" t="str">
            <v>NEC PowerMate VT Destop P III 450</v>
          </cell>
          <cell r="C1372" t="str">
            <v>491-3900</v>
          </cell>
          <cell r="D1372" t="str">
            <v>0273109</v>
          </cell>
          <cell r="E1372" t="str">
            <v>WZR</v>
          </cell>
          <cell r="F1372" t="str">
            <v xml:space="preserve">MŁUDZIK                  TERESA         </v>
          </cell>
          <cell r="G1372" t="str">
            <v>U-12</v>
          </cell>
          <cell r="H1372" t="str">
            <v>340</v>
          </cell>
          <cell r="I1372" t="str">
            <v>28-03</v>
          </cell>
          <cell r="J1372" t="str">
            <v>593</v>
          </cell>
          <cell r="K1372" t="str">
            <v>491-03900</v>
          </cell>
          <cell r="L1372" t="str">
            <v>450</v>
          </cell>
          <cell r="M1372" t="str">
            <v/>
          </cell>
          <cell r="N1372" t="str">
            <v>64</v>
          </cell>
        </row>
        <row r="1373">
          <cell r="A1373" t="str">
            <v>STACJA ROBOCZA</v>
          </cell>
          <cell r="B1373" t="str">
            <v>DELL Optiplex GX1L 350</v>
          </cell>
          <cell r="C1373" t="str">
            <v>491-3529</v>
          </cell>
          <cell r="D1373" t="str">
            <v>PKGP7</v>
          </cell>
          <cell r="E1373" t="str">
            <v>WZR</v>
          </cell>
          <cell r="F1373" t="str">
            <v xml:space="preserve">PAPUGA                   STANISŁAW      </v>
          </cell>
          <cell r="G1373" t="str">
            <v>U-14</v>
          </cell>
          <cell r="H1373" t="str">
            <v>202</v>
          </cell>
          <cell r="I1373" t="str">
            <v>11-11</v>
          </cell>
          <cell r="J1373" t="str">
            <v>724</v>
          </cell>
          <cell r="K1373" t="str">
            <v>491-03529</v>
          </cell>
          <cell r="L1373" t="str">
            <v>350</v>
          </cell>
          <cell r="M1373" t="str">
            <v/>
          </cell>
          <cell r="N1373" t="str">
            <v>128</v>
          </cell>
        </row>
        <row r="1374">
          <cell r="A1374" t="str">
            <v>NOTEBOOK</v>
          </cell>
          <cell r="B1374" t="str">
            <v>DELL Latitude C640</v>
          </cell>
          <cell r="C1374" t="str">
            <v>491-5073</v>
          </cell>
          <cell r="D1374" t="str">
            <v>J3RGL0J</v>
          </cell>
          <cell r="E1374" t="str">
            <v>WZR</v>
          </cell>
          <cell r="F1374" t="str">
            <v xml:space="preserve">PAPUGA                   STANISŁAW      </v>
          </cell>
          <cell r="G1374" t="str">
            <v>U-14</v>
          </cell>
          <cell r="H1374" t="str">
            <v>202</v>
          </cell>
          <cell r="I1374" t="str">
            <v>11-11</v>
          </cell>
          <cell r="J1374" t="str">
            <v>724</v>
          </cell>
          <cell r="K1374" t="str">
            <v>491-05073</v>
          </cell>
          <cell r="L1374" t="str">
            <v>1800</v>
          </cell>
          <cell r="M1374" t="str">
            <v/>
          </cell>
          <cell r="N1374" t="str">
            <v>256</v>
          </cell>
        </row>
        <row r="1375">
          <cell r="A1375" t="str">
            <v>STACJA ROBOCZA</v>
          </cell>
          <cell r="B1375" t="str">
            <v>DELL Optiplex GX260 SD</v>
          </cell>
          <cell r="C1375" t="str">
            <v>491-5104</v>
          </cell>
          <cell r="D1375" t="str">
            <v>9KYGL0J</v>
          </cell>
          <cell r="E1375" t="str">
            <v>WZR</v>
          </cell>
          <cell r="F1375" t="str">
            <v xml:space="preserve">ALEKSANDROWICZ           LIDIA          </v>
          </cell>
          <cell r="G1375" t="str">
            <v>U-12</v>
          </cell>
          <cell r="H1375" t="str">
            <v>335</v>
          </cell>
          <cell r="I1375" t="str">
            <v>28-02</v>
          </cell>
          <cell r="J1375" t="str">
            <v>4676</v>
          </cell>
          <cell r="K1375" t="str">
            <v>491-05104</v>
          </cell>
          <cell r="L1375" t="str">
            <v>2400</v>
          </cell>
          <cell r="M1375" t="str">
            <v/>
          </cell>
          <cell r="N1375" t="str">
            <v>254</v>
          </cell>
        </row>
        <row r="1376">
          <cell r="A1376" t="str">
            <v>STACJA ROBOCZA</v>
          </cell>
          <cell r="B1376" t="str">
            <v>NEC PowerMate VT Destop P III 450</v>
          </cell>
          <cell r="C1376" t="str">
            <v>491-4040</v>
          </cell>
          <cell r="D1376" t="str">
            <v>0217109</v>
          </cell>
          <cell r="E1376" t="str">
            <v>WZR</v>
          </cell>
          <cell r="F1376" t="str">
            <v xml:space="preserve">WIJATA                   MICHAŁ         </v>
          </cell>
          <cell r="G1376" t="str">
            <v>U-12</v>
          </cell>
          <cell r="H1376" t="str">
            <v>209</v>
          </cell>
          <cell r="I1376" t="str">
            <v>17-76</v>
          </cell>
          <cell r="J1376" t="str">
            <v>5628</v>
          </cell>
          <cell r="K1376" t="str">
            <v>491-04040</v>
          </cell>
          <cell r="L1376" t="str">
            <v>450</v>
          </cell>
          <cell r="M1376" t="str">
            <v/>
          </cell>
          <cell r="N1376" t="str">
            <v>256</v>
          </cell>
        </row>
        <row r="1377">
          <cell r="A1377" t="str">
            <v>STACJA ROBOCZA</v>
          </cell>
          <cell r="B1377" t="str">
            <v>DELL Optiplex GX1MT 450</v>
          </cell>
          <cell r="C1377" t="str">
            <v>491-3641</v>
          </cell>
          <cell r="D1377" t="str">
            <v>PF14C</v>
          </cell>
          <cell r="E1377" t="str">
            <v>WZR</v>
          </cell>
          <cell r="F1377" t="str">
            <v xml:space="preserve">PAPUGA                   STANISŁAW      </v>
          </cell>
          <cell r="G1377" t="str">
            <v>U-14</v>
          </cell>
          <cell r="H1377" t="str">
            <v>202</v>
          </cell>
          <cell r="I1377" t="str">
            <v>11-11</v>
          </cell>
          <cell r="J1377" t="str">
            <v>724</v>
          </cell>
          <cell r="K1377" t="str">
            <v/>
          </cell>
          <cell r="L1377" t="str">
            <v>450</v>
          </cell>
          <cell r="M1377" t="str">
            <v/>
          </cell>
          <cell r="N1377" t="str">
            <v/>
          </cell>
        </row>
        <row r="1378">
          <cell r="A1378" t="str">
            <v>STACJA ROBOCZA</v>
          </cell>
          <cell r="B1378" t="str">
            <v>NEC Direction Minitower P III 450</v>
          </cell>
          <cell r="C1378" t="str">
            <v>491-3749</v>
          </cell>
          <cell r="D1378" t="str">
            <v>0133109</v>
          </cell>
          <cell r="E1378" t="str">
            <v>WZT</v>
          </cell>
          <cell r="F1378" t="str">
            <v xml:space="preserve">MIDERA                   EDWARD         </v>
          </cell>
          <cell r="G1378" t="str">
            <v>U-12</v>
          </cell>
          <cell r="H1378" t="str">
            <v>300</v>
          </cell>
          <cell r="I1378" t="str">
            <v/>
          </cell>
          <cell r="J1378" t="str">
            <v>546</v>
          </cell>
          <cell r="K1378" t="str">
            <v>491-03749</v>
          </cell>
          <cell r="L1378" t="str">
            <v>450</v>
          </cell>
          <cell r="M1378" t="str">
            <v/>
          </cell>
          <cell r="N1378" t="str">
            <v>64</v>
          </cell>
        </row>
        <row r="1379">
          <cell r="A1379" t="str">
            <v>NOTEBOOK</v>
          </cell>
          <cell r="B1379" t="str">
            <v>DELL Latitude C640</v>
          </cell>
          <cell r="C1379" t="str">
            <v>491-5066</v>
          </cell>
          <cell r="D1379" t="str">
            <v>96RGL0J</v>
          </cell>
          <cell r="E1379" t="str">
            <v>WZT</v>
          </cell>
          <cell r="F1379" t="str">
            <v xml:space="preserve">MIDERA                   EDWARD         </v>
          </cell>
          <cell r="G1379" t="str">
            <v>U-12</v>
          </cell>
          <cell r="H1379" t="str">
            <v>300</v>
          </cell>
          <cell r="I1379" t="str">
            <v/>
          </cell>
          <cell r="J1379" t="str">
            <v>546</v>
          </cell>
          <cell r="K1379" t="str">
            <v>491-05066</v>
          </cell>
          <cell r="L1379" t="str">
            <v>1800</v>
          </cell>
          <cell r="M1379" t="str">
            <v/>
          </cell>
          <cell r="N1379" t="str">
            <v>256</v>
          </cell>
        </row>
        <row r="1380">
          <cell r="A1380" t="str">
            <v>STACJA ROBOCZA</v>
          </cell>
          <cell r="B1380" t="str">
            <v>NEC Direction Minitower P III 450</v>
          </cell>
          <cell r="C1380" t="str">
            <v>491-3800</v>
          </cell>
          <cell r="D1380" t="str">
            <v>0171109</v>
          </cell>
          <cell r="E1380" t="str">
            <v>ZAE</v>
          </cell>
          <cell r="F1380" t="str">
            <v xml:space="preserve">GRZEGORCZYK              TOMASZ         </v>
          </cell>
          <cell r="G1380" t="str">
            <v>U-13</v>
          </cell>
          <cell r="H1380" t="str">
            <v>216</v>
          </cell>
          <cell r="I1380" t="str">
            <v>27-87</v>
          </cell>
          <cell r="J1380" t="str">
            <v>4371</v>
          </cell>
          <cell r="K1380" t="str">
            <v>491-03800</v>
          </cell>
          <cell r="L1380" t="str">
            <v>450</v>
          </cell>
          <cell r="M1380" t="str">
            <v/>
          </cell>
          <cell r="N1380" t="str">
            <v>128</v>
          </cell>
        </row>
        <row r="1381">
          <cell r="A1381" t="str">
            <v>NOTEBOOK</v>
          </cell>
          <cell r="B1381" t="str">
            <v>COMPAQ ARMADA E500  PIII 600</v>
          </cell>
          <cell r="C1381" t="str">
            <v>491-4363</v>
          </cell>
          <cell r="D1381" t="str">
            <v>7J0ADN98Y007</v>
          </cell>
          <cell r="E1381" t="str">
            <v>ZAE</v>
          </cell>
          <cell r="F1381" t="str">
            <v xml:space="preserve">KUCHARSKI                ARKADIUSZ      </v>
          </cell>
          <cell r="G1381" t="str">
            <v>U-13</v>
          </cell>
          <cell r="H1381" t="str">
            <v>215</v>
          </cell>
          <cell r="I1381" t="str">
            <v>24-37</v>
          </cell>
          <cell r="J1381" t="str">
            <v>437</v>
          </cell>
          <cell r="K1381" t="str">
            <v/>
          </cell>
          <cell r="L1381" t="str">
            <v>600</v>
          </cell>
          <cell r="M1381" t="str">
            <v/>
          </cell>
          <cell r="N1381" t="str">
            <v/>
          </cell>
        </row>
        <row r="1382">
          <cell r="A1382" t="str">
            <v>NOTEBOOK</v>
          </cell>
          <cell r="B1382" t="str">
            <v>COMPAQ ARMADA E500  PIII 600</v>
          </cell>
          <cell r="C1382" t="str">
            <v>491-4360</v>
          </cell>
          <cell r="D1382" t="str">
            <v>7J0ADN98Y021</v>
          </cell>
          <cell r="E1382" t="str">
            <v>ZAE</v>
          </cell>
          <cell r="F1382" t="str">
            <v xml:space="preserve">PUDZIANOWSKI             TOMASZ         </v>
          </cell>
          <cell r="G1382" t="str">
            <v>U-13</v>
          </cell>
          <cell r="H1382" t="str">
            <v>215</v>
          </cell>
          <cell r="I1382" t="str">
            <v>34-71</v>
          </cell>
          <cell r="J1382" t="str">
            <v>7379</v>
          </cell>
          <cell r="K1382" t="str">
            <v/>
          </cell>
          <cell r="L1382" t="str">
            <v>600</v>
          </cell>
          <cell r="M1382" t="str">
            <v/>
          </cell>
          <cell r="N1382" t="str">
            <v/>
          </cell>
        </row>
        <row r="1383">
          <cell r="A1383" t="str">
            <v>NOTEBOOK</v>
          </cell>
          <cell r="B1383" t="str">
            <v>COMPAQ ARMADA E500  PIII 600</v>
          </cell>
          <cell r="C1383" t="str">
            <v>491-4364</v>
          </cell>
          <cell r="D1383" t="str">
            <v>7J0ADN98Y001</v>
          </cell>
          <cell r="E1383" t="str">
            <v>ZAE</v>
          </cell>
          <cell r="F1383" t="str">
            <v xml:space="preserve">MUSIAŁ                   JAN            </v>
          </cell>
          <cell r="G1383" t="str">
            <v>U-13</v>
          </cell>
          <cell r="H1383" t="str">
            <v>605</v>
          </cell>
          <cell r="I1383" t="str">
            <v>14-34</v>
          </cell>
          <cell r="J1383" t="str">
            <v>547</v>
          </cell>
          <cell r="K1383" t="str">
            <v/>
          </cell>
          <cell r="L1383" t="str">
            <v>600</v>
          </cell>
          <cell r="M1383" t="str">
            <v/>
          </cell>
          <cell r="N1383" t="str">
            <v/>
          </cell>
        </row>
        <row r="1384">
          <cell r="A1384" t="str">
            <v>STACJA ROBOCZA</v>
          </cell>
          <cell r="B1384" t="str">
            <v>NEC Direction Minitower P III 450</v>
          </cell>
          <cell r="C1384" t="str">
            <v>491-3755</v>
          </cell>
          <cell r="D1384" t="str">
            <v>0141109</v>
          </cell>
          <cell r="E1384" t="str">
            <v>ZAE</v>
          </cell>
          <cell r="F1384" t="str">
            <v xml:space="preserve">MOSKALCZUK               STANISŁAW      </v>
          </cell>
          <cell r="G1384" t="str">
            <v>U-14</v>
          </cell>
          <cell r="H1384" t="str">
            <v>603A</v>
          </cell>
          <cell r="I1384" t="str">
            <v>23-70</v>
          </cell>
          <cell r="J1384" t="str">
            <v>641</v>
          </cell>
          <cell r="K1384" t="str">
            <v>491-03755</v>
          </cell>
          <cell r="L1384" t="str">
            <v>450</v>
          </cell>
          <cell r="M1384" t="str">
            <v/>
          </cell>
          <cell r="N1384" t="str">
            <v/>
          </cell>
        </row>
        <row r="1385">
          <cell r="A1385" t="str">
            <v>STACJA ROBOCZA</v>
          </cell>
          <cell r="B1385" t="str">
            <v>DELL PRECISION  WS330</v>
          </cell>
          <cell r="C1385" t="str">
            <v>491-4831</v>
          </cell>
          <cell r="D1385" t="str">
            <v>5YSX60J</v>
          </cell>
          <cell r="E1385" t="str">
            <v>ZAE</v>
          </cell>
          <cell r="F1385" t="str">
            <v xml:space="preserve">KUCHARSKI                ARKADIUSZ      </v>
          </cell>
          <cell r="G1385" t="str">
            <v>U-13</v>
          </cell>
          <cell r="H1385" t="str">
            <v>215</v>
          </cell>
          <cell r="I1385" t="str">
            <v>24-37</v>
          </cell>
          <cell r="J1385" t="str">
            <v>437</v>
          </cell>
          <cell r="K1385" t="str">
            <v>491-04831</v>
          </cell>
          <cell r="L1385" t="str">
            <v>1400</v>
          </cell>
          <cell r="M1385" t="str">
            <v/>
          </cell>
          <cell r="N1385" t="str">
            <v>1024</v>
          </cell>
        </row>
        <row r="1386">
          <cell r="A1386" t="str">
            <v>STACJA ROBOCZA</v>
          </cell>
          <cell r="B1386" t="str">
            <v>COMPAQ DESKPRO EXD PIII 733</v>
          </cell>
          <cell r="C1386" t="str">
            <v>491-4344</v>
          </cell>
          <cell r="D1386" t="str">
            <v>8037FR4Z2728</v>
          </cell>
          <cell r="E1386" t="str">
            <v>ZAE</v>
          </cell>
          <cell r="F1386" t="str">
            <v xml:space="preserve">MOSKALCZUK               STANISŁAW      </v>
          </cell>
          <cell r="G1386" t="str">
            <v>U-14</v>
          </cell>
          <cell r="H1386" t="str">
            <v>603A</v>
          </cell>
          <cell r="I1386" t="str">
            <v>23-70</v>
          </cell>
          <cell r="J1386" t="str">
            <v>641</v>
          </cell>
          <cell r="K1386" t="str">
            <v>491-04344</v>
          </cell>
          <cell r="L1386" t="str">
            <v>733</v>
          </cell>
          <cell r="M1386" t="str">
            <v/>
          </cell>
          <cell r="N1386" t="str">
            <v>383</v>
          </cell>
        </row>
        <row r="1387">
          <cell r="A1387" t="str">
            <v>NOTEBOOK</v>
          </cell>
          <cell r="B1387" t="str">
            <v>DELL Latitude C640</v>
          </cell>
          <cell r="C1387" t="str">
            <v>491-5060</v>
          </cell>
          <cell r="D1387" t="str">
            <v>26RGL0J</v>
          </cell>
          <cell r="E1387" t="str">
            <v>ZAE</v>
          </cell>
          <cell r="F1387" t="str">
            <v xml:space="preserve">GRZEGORCZYK              TOMASZ         </v>
          </cell>
          <cell r="G1387" t="str">
            <v>U-13</v>
          </cell>
          <cell r="H1387" t="str">
            <v>216</v>
          </cell>
          <cell r="I1387" t="str">
            <v>27-87</v>
          </cell>
          <cell r="J1387" t="str">
            <v>4371</v>
          </cell>
          <cell r="K1387" t="str">
            <v/>
          </cell>
          <cell r="L1387" t="str">
            <v>1800</v>
          </cell>
          <cell r="M1387" t="str">
            <v/>
          </cell>
          <cell r="N1387" t="str">
            <v/>
          </cell>
        </row>
        <row r="1388">
          <cell r="A1388" t="str">
            <v>STACJA ROBOCZA</v>
          </cell>
          <cell r="B1388" t="str">
            <v>COMPAQ DESKPRO EXD PIII 733</v>
          </cell>
          <cell r="C1388" t="str">
            <v>491-4275</v>
          </cell>
          <cell r="D1388" t="str">
            <v>8036FR4Z6067</v>
          </cell>
          <cell r="E1388" t="str">
            <v>ZAE</v>
          </cell>
          <cell r="F1388" t="str">
            <v xml:space="preserve">JARKOWSKI                JERZY          </v>
          </cell>
          <cell r="G1388" t="str">
            <v>U-14</v>
          </cell>
          <cell r="H1388" t="str">
            <v>701</v>
          </cell>
          <cell r="I1388" t="str">
            <v>12-93</v>
          </cell>
          <cell r="J1388" t="str">
            <v>307</v>
          </cell>
          <cell r="K1388" t="str">
            <v>491-04275</v>
          </cell>
          <cell r="L1388" t="str">
            <v>733</v>
          </cell>
          <cell r="M1388" t="str">
            <v/>
          </cell>
          <cell r="N1388" t="str">
            <v/>
          </cell>
        </row>
        <row r="1389">
          <cell r="A1389" t="str">
            <v>STACJA ROBOCZA</v>
          </cell>
          <cell r="B1389" t="str">
            <v>KOMPUTER 386SX</v>
          </cell>
          <cell r="C1389" t="str">
            <v>491-1814</v>
          </cell>
          <cell r="D1389" t="str">
            <v>019026/1681</v>
          </cell>
          <cell r="E1389" t="str">
            <v>ZAE</v>
          </cell>
          <cell r="F1389" t="str">
            <v xml:space="preserve">PUDZIANOWSKI             TOMASZ         </v>
          </cell>
          <cell r="G1389" t="str">
            <v>U-13</v>
          </cell>
          <cell r="H1389" t="str">
            <v>215</v>
          </cell>
          <cell r="I1389" t="str">
            <v>34-71</v>
          </cell>
          <cell r="J1389" t="str">
            <v>7379</v>
          </cell>
          <cell r="K1389" t="str">
            <v/>
          </cell>
          <cell r="L1389" t="str">
            <v>0</v>
          </cell>
          <cell r="M1389" t="str">
            <v/>
          </cell>
          <cell r="N1389" t="str">
            <v/>
          </cell>
        </row>
        <row r="1390">
          <cell r="A1390" t="str">
            <v>STACJA ROBOCZA</v>
          </cell>
          <cell r="B1390" t="str">
            <v>DELL Optiplex GX150</v>
          </cell>
          <cell r="C1390" t="str">
            <v>491-4900</v>
          </cell>
          <cell r="D1390" t="str">
            <v>3WLZ60J</v>
          </cell>
          <cell r="E1390" t="str">
            <v>ZAE</v>
          </cell>
          <cell r="F1390" t="str">
            <v xml:space="preserve">MUSIAŁ                   JAN            </v>
          </cell>
          <cell r="G1390" t="str">
            <v>U-13</v>
          </cell>
          <cell r="H1390" t="str">
            <v>605</v>
          </cell>
          <cell r="I1390" t="str">
            <v>14-34</v>
          </cell>
          <cell r="J1390" t="str">
            <v>547</v>
          </cell>
          <cell r="K1390" t="str">
            <v>491-04900</v>
          </cell>
          <cell r="L1390" t="str">
            <v>1000</v>
          </cell>
          <cell r="M1390" t="str">
            <v/>
          </cell>
          <cell r="N1390" t="str">
            <v>255</v>
          </cell>
        </row>
        <row r="1391">
          <cell r="A1391" t="str">
            <v>STACJA ROBOCZA</v>
          </cell>
          <cell r="B1391" t="str">
            <v>NEC Direction Minitower P III 450</v>
          </cell>
          <cell r="C1391" t="str">
            <v>491-3801</v>
          </cell>
          <cell r="D1391" t="str">
            <v>0167109</v>
          </cell>
          <cell r="E1391" t="str">
            <v>ZAE</v>
          </cell>
          <cell r="F1391" t="str">
            <v xml:space="preserve">PABJAŃCZYK               TADEUSZ        </v>
          </cell>
          <cell r="G1391" t="str">
            <v>U-14</v>
          </cell>
          <cell r="H1391" t="str">
            <v>701</v>
          </cell>
          <cell r="I1391" t="str">
            <v>39-85</v>
          </cell>
          <cell r="J1391" t="str">
            <v>727</v>
          </cell>
          <cell r="K1391" t="str">
            <v>491-03801</v>
          </cell>
          <cell r="L1391" t="str">
            <v>450</v>
          </cell>
          <cell r="M1391" t="str">
            <v/>
          </cell>
          <cell r="N1391" t="str">
            <v/>
          </cell>
        </row>
        <row r="1392">
          <cell r="A1392" t="str">
            <v>STACJA ROBOCZA</v>
          </cell>
          <cell r="B1392" t="str">
            <v>NEC PMVT Desktop P III 450</v>
          </cell>
          <cell r="C1392" t="str">
            <v>491-3788</v>
          </cell>
          <cell r="D1392" t="str">
            <v>0190109</v>
          </cell>
          <cell r="E1392" t="str">
            <v>ZAE</v>
          </cell>
          <cell r="F1392" t="str">
            <v xml:space="preserve">PAWŁOWSKA                MAŁGORZATA     </v>
          </cell>
          <cell r="G1392" t="str">
            <v>U-14</v>
          </cell>
          <cell r="H1392" t="str">
            <v>605A</v>
          </cell>
          <cell r="I1392" t="str">
            <v>20-75</v>
          </cell>
          <cell r="J1392" t="str">
            <v>3322</v>
          </cell>
          <cell r="K1392" t="str">
            <v>491-03788</v>
          </cell>
          <cell r="L1392" t="str">
            <v>450</v>
          </cell>
          <cell r="M1392" t="str">
            <v/>
          </cell>
          <cell r="N1392" t="str">
            <v>128</v>
          </cell>
        </row>
        <row r="1393">
          <cell r="A1393" t="str">
            <v>STACJA ROBOCZA</v>
          </cell>
          <cell r="B1393" t="str">
            <v>DELL Optiplex GX260 SD</v>
          </cell>
          <cell r="C1393" t="str">
            <v>491-5117</v>
          </cell>
          <cell r="D1393" t="str">
            <v>7LYGL0J</v>
          </cell>
          <cell r="E1393" t="str">
            <v>ZAE</v>
          </cell>
          <cell r="F1393" t="str">
            <v xml:space="preserve">DOMAGAŁA                 KRZYSZTOF      </v>
          </cell>
          <cell r="G1393" t="str">
            <v>U-14</v>
          </cell>
          <cell r="H1393" t="str">
            <v>606</v>
          </cell>
          <cell r="I1393" t="str">
            <v>14-70</v>
          </cell>
          <cell r="J1393" t="str">
            <v>145</v>
          </cell>
          <cell r="K1393" t="str">
            <v>491-05117</v>
          </cell>
          <cell r="L1393" t="str">
            <v>2400</v>
          </cell>
          <cell r="M1393" t="str">
            <v/>
          </cell>
          <cell r="N1393" t="str">
            <v>254</v>
          </cell>
        </row>
        <row r="1394">
          <cell r="A1394" t="str">
            <v>STACJA ROBOCZA</v>
          </cell>
          <cell r="B1394" t="str">
            <v>COMPAQ DESKPRO EXD PIII 733</v>
          </cell>
          <cell r="C1394" t="str">
            <v>491-4470</v>
          </cell>
          <cell r="D1394" t="str">
            <v>8036FR4ZE424</v>
          </cell>
          <cell r="E1394" t="str">
            <v>ZAE</v>
          </cell>
          <cell r="F1394" t="str">
            <v xml:space="preserve">PUDZIANOWSKI             TOMASZ         </v>
          </cell>
          <cell r="G1394" t="str">
            <v>U-13</v>
          </cell>
          <cell r="H1394" t="str">
            <v>215</v>
          </cell>
          <cell r="I1394" t="str">
            <v>34-71</v>
          </cell>
          <cell r="J1394" t="str">
            <v>7379</v>
          </cell>
          <cell r="K1394" t="str">
            <v>491-04470</v>
          </cell>
          <cell r="L1394" t="str">
            <v>733</v>
          </cell>
          <cell r="M1394" t="str">
            <v/>
          </cell>
          <cell r="N1394" t="str">
            <v/>
          </cell>
        </row>
        <row r="1395">
          <cell r="A1395" t="str">
            <v>STACJA ROBOCZA</v>
          </cell>
          <cell r="B1395" t="str">
            <v>DELL Optiplex GX260 SD</v>
          </cell>
          <cell r="C1395" t="str">
            <v>491-5121</v>
          </cell>
          <cell r="D1395" t="str">
            <v>2LYGL0J</v>
          </cell>
          <cell r="E1395" t="str">
            <v>ZAE</v>
          </cell>
          <cell r="F1395" t="str">
            <v xml:space="preserve">RABIEGA                  BARBARA        </v>
          </cell>
          <cell r="G1395" t="str">
            <v>U-14</v>
          </cell>
          <cell r="H1395" t="str">
            <v>603A</v>
          </cell>
          <cell r="I1395" t="str">
            <v>21-06</v>
          </cell>
          <cell r="J1395" t="str">
            <v>816</v>
          </cell>
          <cell r="K1395" t="str">
            <v>491-05121</v>
          </cell>
          <cell r="L1395" t="str">
            <v>2400</v>
          </cell>
          <cell r="M1395" t="str">
            <v/>
          </cell>
          <cell r="N1395" t="str">
            <v>254</v>
          </cell>
        </row>
        <row r="1396">
          <cell r="A1396" t="str">
            <v>STACJA ROBOCZA</v>
          </cell>
          <cell r="B1396" t="str">
            <v>DELL Optiplex GX150</v>
          </cell>
          <cell r="C1396" t="str">
            <v>491-4800</v>
          </cell>
          <cell r="D1396" t="str">
            <v>9WLZ60J</v>
          </cell>
          <cell r="E1396" t="str">
            <v xml:space="preserve">ZF </v>
          </cell>
          <cell r="F1396" t="str">
            <v xml:space="preserve">GŁOWACKA                 ANNA           </v>
          </cell>
          <cell r="G1396" t="str">
            <v>U-3</v>
          </cell>
          <cell r="H1396" t="str">
            <v>321</v>
          </cell>
          <cell r="I1396" t="str">
            <v>18-92</v>
          </cell>
          <cell r="J1396" t="str">
            <v>838</v>
          </cell>
          <cell r="K1396" t="str">
            <v>491-04800</v>
          </cell>
          <cell r="L1396" t="str">
            <v>1000</v>
          </cell>
          <cell r="M1396" t="str">
            <v/>
          </cell>
          <cell r="N1396" t="str">
            <v>255</v>
          </cell>
        </row>
        <row r="1397">
          <cell r="A1397" t="str">
            <v>STACJA ROBOCZA</v>
          </cell>
          <cell r="B1397" t="str">
            <v>DELL Optiplex GX1L 266</v>
          </cell>
          <cell r="C1397" t="str">
            <v>491-3251</v>
          </cell>
          <cell r="D1397" t="str">
            <v>NM16C</v>
          </cell>
          <cell r="E1397" t="str">
            <v xml:space="preserve">ZF </v>
          </cell>
          <cell r="F1397" t="str">
            <v xml:space="preserve">ZIELIŃSKA                EWA            </v>
          </cell>
          <cell r="G1397" t="str">
            <v>U-3</v>
          </cell>
          <cell r="H1397" t="str">
            <v>317</v>
          </cell>
          <cell r="I1397" t="str">
            <v>11-55</v>
          </cell>
          <cell r="J1397" t="str">
            <v>1129</v>
          </cell>
          <cell r="K1397" t="str">
            <v>491-03251</v>
          </cell>
          <cell r="L1397" t="str">
            <v>266</v>
          </cell>
          <cell r="M1397" t="str">
            <v/>
          </cell>
          <cell r="N1397" t="str">
            <v>96</v>
          </cell>
        </row>
        <row r="1398">
          <cell r="A1398" t="str">
            <v>STACJA ROBOCZA</v>
          </cell>
          <cell r="B1398" t="str">
            <v>DELL Optiplex GX1L 266</v>
          </cell>
          <cell r="C1398" t="str">
            <v>491-3362</v>
          </cell>
          <cell r="D1398" t="str">
            <v>NM1BW</v>
          </cell>
          <cell r="E1398" t="str">
            <v xml:space="preserve">ZF </v>
          </cell>
          <cell r="F1398" t="str">
            <v xml:space="preserve">LANGNER                  PAWEŁ          </v>
          </cell>
          <cell r="G1398" t="str">
            <v>U-2</v>
          </cell>
          <cell r="H1398" t="str">
            <v>318</v>
          </cell>
          <cell r="I1398" t="str">
            <v>KOMISJA PRZETARGOWA</v>
          </cell>
          <cell r="J1398" t="str">
            <v>519</v>
          </cell>
          <cell r="K1398" t="str">
            <v>491-03362</v>
          </cell>
          <cell r="L1398" t="str">
            <v>266</v>
          </cell>
          <cell r="M1398" t="str">
            <v/>
          </cell>
          <cell r="N1398" t="str">
            <v>128</v>
          </cell>
        </row>
        <row r="1399">
          <cell r="A1399" t="str">
            <v>STACJA ROBOCZA</v>
          </cell>
          <cell r="B1399" t="str">
            <v>KOMPUTER PC/AT</v>
          </cell>
          <cell r="C1399" t="str">
            <v>491-1620/K026</v>
          </cell>
          <cell r="D1399" t="str">
            <v>0B23A</v>
          </cell>
          <cell r="E1399" t="str">
            <v xml:space="preserve">ZF </v>
          </cell>
          <cell r="F1399" t="str">
            <v xml:space="preserve">KOWALSKI                 JANUSZ         </v>
          </cell>
          <cell r="G1399" t="str">
            <v>U-3</v>
          </cell>
          <cell r="H1399" t="str">
            <v>318</v>
          </cell>
          <cell r="I1399" t="str">
            <v>18-96</v>
          </cell>
          <cell r="J1399" t="str">
            <v>375</v>
          </cell>
          <cell r="K1399" t="str">
            <v>491-01620-K026</v>
          </cell>
          <cell r="L1399" t="str">
            <v>366</v>
          </cell>
          <cell r="M1399" t="str">
            <v/>
          </cell>
          <cell r="N1399" t="str">
            <v>160</v>
          </cell>
        </row>
        <row r="1400">
          <cell r="A1400" t="str">
            <v>STACJA ROBOCZA</v>
          </cell>
          <cell r="B1400" t="str">
            <v>ZENITH Z STATION P200</v>
          </cell>
          <cell r="C1400" t="str">
            <v>491-3092</v>
          </cell>
          <cell r="D1400" t="str">
            <v>GCDT74104858</v>
          </cell>
          <cell r="E1400" t="str">
            <v xml:space="preserve">ZF </v>
          </cell>
          <cell r="F1400" t="str">
            <v xml:space="preserve">GŁOWACKA                 ANNA           </v>
          </cell>
          <cell r="G1400" t="str">
            <v>U-3</v>
          </cell>
          <cell r="H1400" t="str">
            <v>321</v>
          </cell>
          <cell r="I1400" t="str">
            <v>18-92</v>
          </cell>
          <cell r="J1400" t="str">
            <v>838</v>
          </cell>
          <cell r="K1400" t="str">
            <v/>
          </cell>
          <cell r="L1400" t="str">
            <v>200</v>
          </cell>
          <cell r="M1400" t="str">
            <v>NIE PODLACZONY</v>
          </cell>
          <cell r="N1400" t="str">
            <v/>
          </cell>
        </row>
        <row r="1401">
          <cell r="A1401" t="str">
            <v>STACJA ROBOCZA</v>
          </cell>
          <cell r="B1401" t="str">
            <v>COMPAQ DESKPRO EXD PIII 800</v>
          </cell>
          <cell r="C1401" t="str">
            <v>491-4519</v>
          </cell>
          <cell r="D1401" t="str">
            <v>8048FR4Z04W7</v>
          </cell>
          <cell r="E1401" t="str">
            <v xml:space="preserve">ZF </v>
          </cell>
          <cell r="F1401" t="str">
            <v xml:space="preserve">OSIŃSKA                  ELŻBIETA       </v>
          </cell>
          <cell r="G1401" t="str">
            <v>U-2</v>
          </cell>
          <cell r="H1401" t="str">
            <v>318</v>
          </cell>
          <cell r="I1401" t="str">
            <v>11-55</v>
          </cell>
          <cell r="J1401" t="str">
            <v>674</v>
          </cell>
          <cell r="K1401" t="str">
            <v>491-04519</v>
          </cell>
          <cell r="L1401" t="str">
            <v>800</v>
          </cell>
          <cell r="M1401" t="str">
            <v/>
          </cell>
          <cell r="N1401" t="str">
            <v>127</v>
          </cell>
        </row>
        <row r="1402">
          <cell r="A1402" t="str">
            <v>STACJA ROBOCZA</v>
          </cell>
          <cell r="B1402" t="str">
            <v>COMPAQ DESKPRO EXD PIII 733</v>
          </cell>
          <cell r="C1402" t="str">
            <v>491-4437</v>
          </cell>
          <cell r="D1402" t="str">
            <v>8036FR4ZE516</v>
          </cell>
          <cell r="E1402" t="str">
            <v xml:space="preserve">ZF </v>
          </cell>
          <cell r="F1402" t="str">
            <v xml:space="preserve">JAKUBOWSKA-MATRAS        EWA            </v>
          </cell>
          <cell r="G1402" t="str">
            <v>U-2/3</v>
          </cell>
          <cell r="H1402" t="str">
            <v>317</v>
          </cell>
          <cell r="I1402" t="str">
            <v>11-55</v>
          </cell>
          <cell r="J1402" t="str">
            <v>315</v>
          </cell>
          <cell r="K1402" t="str">
            <v>491-04437</v>
          </cell>
          <cell r="L1402" t="str">
            <v>733</v>
          </cell>
          <cell r="M1402" t="str">
            <v/>
          </cell>
          <cell r="N1402" t="str">
            <v>127</v>
          </cell>
        </row>
        <row r="1403">
          <cell r="A1403" t="str">
            <v>NOTEBOOK</v>
          </cell>
          <cell r="B1403" t="str">
            <v>COMPAQ ARMADA E500 PIII 800</v>
          </cell>
          <cell r="C1403" t="str">
            <v>491-4623</v>
          </cell>
          <cell r="D1403" t="str">
            <v>7J13JFB3D00Y</v>
          </cell>
          <cell r="E1403" t="str">
            <v xml:space="preserve">ZF </v>
          </cell>
          <cell r="F1403" t="str">
            <v xml:space="preserve">OSIŃSKA                  ELŻBIETA       </v>
          </cell>
          <cell r="G1403" t="str">
            <v>U-2</v>
          </cell>
          <cell r="H1403" t="str">
            <v>318</v>
          </cell>
          <cell r="I1403" t="str">
            <v>11-55</v>
          </cell>
          <cell r="J1403" t="str">
            <v>674</v>
          </cell>
          <cell r="K1403" t="str">
            <v/>
          </cell>
          <cell r="L1403" t="str">
            <v>800</v>
          </cell>
          <cell r="M1403" t="str">
            <v/>
          </cell>
          <cell r="N1403" t="str">
            <v/>
          </cell>
        </row>
        <row r="1404">
          <cell r="A1404" t="str">
            <v>STACJA ROBOCZA</v>
          </cell>
          <cell r="B1404" t="str">
            <v>DELL Optiplex GX1L 266</v>
          </cell>
          <cell r="C1404" t="str">
            <v>491-3315</v>
          </cell>
          <cell r="D1404" t="str">
            <v>NM14P</v>
          </cell>
          <cell r="E1404" t="str">
            <v xml:space="preserve">ZF </v>
          </cell>
          <cell r="F1404" t="str">
            <v xml:space="preserve">BIAŁEK                   IRENA          </v>
          </cell>
          <cell r="G1404" t="str">
            <v>U-3</v>
          </cell>
          <cell r="H1404" t="str">
            <v>317</v>
          </cell>
          <cell r="I1404" t="str">
            <v>11-55</v>
          </cell>
          <cell r="J1404" t="str">
            <v>74</v>
          </cell>
          <cell r="K1404" t="str">
            <v>491-03315</v>
          </cell>
          <cell r="L1404" t="str">
            <v>266</v>
          </cell>
          <cell r="M1404" t="str">
            <v/>
          </cell>
          <cell r="N1404" t="str">
            <v>96</v>
          </cell>
        </row>
        <row r="1405">
          <cell r="A1405" t="str">
            <v>STACJA ROBOCZA</v>
          </cell>
          <cell r="B1405" t="str">
            <v>COMPAQ DESKPRO EXDT</v>
          </cell>
          <cell r="C1405" t="str">
            <v>491-4646</v>
          </cell>
          <cell r="D1405" t="str">
            <v>8124FR4Z0G3N</v>
          </cell>
          <cell r="E1405" t="str">
            <v xml:space="preserve">ZF </v>
          </cell>
          <cell r="F1405" t="str">
            <v xml:space="preserve">SIEMASZKO                BOLESŁAW       </v>
          </cell>
          <cell r="G1405" t="str">
            <v>U-2</v>
          </cell>
          <cell r="H1405" t="str">
            <v>225</v>
          </cell>
          <cell r="I1405" t="str">
            <v>10-53</v>
          </cell>
          <cell r="J1405" t="str">
            <v>933</v>
          </cell>
          <cell r="K1405" t="str">
            <v>491-04646</v>
          </cell>
          <cell r="L1405" t="str">
            <v>1000</v>
          </cell>
          <cell r="M1405" t="str">
            <v/>
          </cell>
          <cell r="N1405" t="str">
            <v>255</v>
          </cell>
        </row>
        <row r="1406">
          <cell r="A1406" t="str">
            <v>STACJA ROBOCZA</v>
          </cell>
          <cell r="B1406" t="str">
            <v>DELL Optiplex GX260 SD</v>
          </cell>
          <cell r="C1406" t="str">
            <v>491-5021</v>
          </cell>
          <cell r="D1406" t="str">
            <v>4NPFL0J</v>
          </cell>
          <cell r="E1406" t="str">
            <v xml:space="preserve">ZF </v>
          </cell>
          <cell r="F1406" t="str">
            <v xml:space="preserve">WITKOWSKA                HALINA         </v>
          </cell>
          <cell r="G1406" t="str">
            <v>U-3</v>
          </cell>
          <cell r="H1406" t="str">
            <v>321</v>
          </cell>
          <cell r="I1406" t="str">
            <v>18-92</v>
          </cell>
          <cell r="J1406" t="str">
            <v>4209</v>
          </cell>
          <cell r="K1406" t="str">
            <v>491-05021</v>
          </cell>
          <cell r="L1406" t="str">
            <v>2400</v>
          </cell>
          <cell r="M1406" t="str">
            <v/>
          </cell>
          <cell r="N1406" t="str">
            <v>254</v>
          </cell>
        </row>
        <row r="1407">
          <cell r="A1407" t="str">
            <v>STACJA ROBOCZA</v>
          </cell>
          <cell r="B1407" t="str">
            <v>ZENITH Z STATION VEGA</v>
          </cell>
          <cell r="C1407" t="str">
            <v>491-3150</v>
          </cell>
          <cell r="D1407" t="str">
            <v>7714200004</v>
          </cell>
          <cell r="E1407" t="str">
            <v xml:space="preserve">ZF </v>
          </cell>
          <cell r="F1407" t="str">
            <v xml:space="preserve">MAKOWSKI                 GRZEGORZ       </v>
          </cell>
          <cell r="G1407" t="str">
            <v>U-3</v>
          </cell>
          <cell r="H1407" t="str">
            <v>321</v>
          </cell>
          <cell r="I1407" t="str">
            <v>11-55</v>
          </cell>
          <cell r="J1407" t="str">
            <v>9416</v>
          </cell>
          <cell r="K1407" t="str">
            <v>491-03150</v>
          </cell>
          <cell r="L1407" t="str">
            <v>1200</v>
          </cell>
          <cell r="M1407" t="str">
            <v/>
          </cell>
          <cell r="N1407" t="str">
            <v>256</v>
          </cell>
        </row>
        <row r="1408">
          <cell r="A1408" t="str">
            <v>STACJA ROBOCZA</v>
          </cell>
          <cell r="B1408" t="str">
            <v>DELL Optiplex GX1L 266</v>
          </cell>
          <cell r="C1408" t="str">
            <v>491-3419</v>
          </cell>
          <cell r="D1408" t="str">
            <v>NM1FM</v>
          </cell>
          <cell r="E1408" t="str">
            <v xml:space="preserve">ZM </v>
          </cell>
          <cell r="F1408" t="str">
            <v xml:space="preserve">LEHMANN                  LESZEK         </v>
          </cell>
          <cell r="G1408" t="str">
            <v>MAG.010</v>
          </cell>
          <cell r="H1408" t="str">
            <v>MAG.010</v>
          </cell>
          <cell r="I1408" t="str">
            <v>15-93</v>
          </cell>
          <cell r="J1408" t="str">
            <v>3167</v>
          </cell>
          <cell r="K1408" t="str">
            <v>491-03419</v>
          </cell>
          <cell r="L1408" t="str">
            <v>266</v>
          </cell>
          <cell r="M1408" t="str">
            <v/>
          </cell>
          <cell r="N1408" t="str">
            <v>64</v>
          </cell>
        </row>
        <row r="1409">
          <cell r="A1409" t="str">
            <v>STACJA ROBOCZA</v>
          </cell>
          <cell r="B1409" t="str">
            <v>DELL Optiplex GX1L 266</v>
          </cell>
          <cell r="C1409" t="str">
            <v>491-3257</v>
          </cell>
          <cell r="D1409" t="str">
            <v>NM16J</v>
          </cell>
          <cell r="E1409" t="str">
            <v xml:space="preserve">ZM </v>
          </cell>
          <cell r="F1409" t="str">
            <v xml:space="preserve">OLEJNIK                  DOROTA         </v>
          </cell>
          <cell r="G1409" t="str">
            <v>MAG.012</v>
          </cell>
          <cell r="H1409" t="str">
            <v>MAG.012</v>
          </cell>
          <cell r="I1409" t="str">
            <v>15-94</v>
          </cell>
          <cell r="J1409" t="str">
            <v>246</v>
          </cell>
          <cell r="K1409" t="str">
            <v>491-03257</v>
          </cell>
          <cell r="L1409" t="str">
            <v>266</v>
          </cell>
          <cell r="M1409" t="str">
            <v/>
          </cell>
          <cell r="N1409" t="str">
            <v>64</v>
          </cell>
        </row>
        <row r="1410">
          <cell r="A1410" t="str">
            <v>STACJA ROBOCZA</v>
          </cell>
          <cell r="B1410" t="str">
            <v>DELL Optiplex GX260 SD</v>
          </cell>
          <cell r="C1410" t="str">
            <v>491-5087</v>
          </cell>
          <cell r="D1410" t="str">
            <v>DHYGL0J</v>
          </cell>
          <cell r="E1410" t="str">
            <v xml:space="preserve">ZM </v>
          </cell>
          <cell r="F1410" t="str">
            <v xml:space="preserve">MALICKI                  ROBERT         </v>
          </cell>
          <cell r="G1410" t="str">
            <v>U-16</v>
          </cell>
          <cell r="H1410" t="str">
            <v>37</v>
          </cell>
          <cell r="I1410" t="str">
            <v>19-50</v>
          </cell>
          <cell r="J1410" t="str">
            <v>9794</v>
          </cell>
          <cell r="K1410" t="str">
            <v>491-05087</v>
          </cell>
          <cell r="L1410" t="str">
            <v>2400</v>
          </cell>
          <cell r="M1410" t="str">
            <v/>
          </cell>
          <cell r="N1410" t="str">
            <v>254</v>
          </cell>
        </row>
        <row r="1411">
          <cell r="A1411" t="str">
            <v>STACJA ROBOCZA</v>
          </cell>
          <cell r="B1411" t="str">
            <v>DELL Optiplex GX260 SD</v>
          </cell>
          <cell r="C1411" t="str">
            <v>491-5088</v>
          </cell>
          <cell r="D1411" t="str">
            <v>CLYGL0J</v>
          </cell>
          <cell r="E1411" t="str">
            <v xml:space="preserve">ZM </v>
          </cell>
          <cell r="F1411" t="str">
            <v xml:space="preserve">NIEWIECZERZAŁ            JAROSŁAW       </v>
          </cell>
          <cell r="G1411" t="str">
            <v>F-3</v>
          </cell>
          <cell r="H1411" t="str">
            <v>2</v>
          </cell>
          <cell r="I1411" t="str">
            <v>15-03</v>
          </cell>
          <cell r="J1411" t="str">
            <v>644</v>
          </cell>
          <cell r="K1411" t="str">
            <v>491-05088</v>
          </cell>
          <cell r="L1411" t="str">
            <v>2400</v>
          </cell>
          <cell r="M1411" t="str">
            <v/>
          </cell>
          <cell r="N1411" t="str">
            <v>254</v>
          </cell>
        </row>
        <row r="1412">
          <cell r="A1412" t="str">
            <v>STACJA ROBOCZA</v>
          </cell>
          <cell r="B1412" t="str">
            <v>DELL Optiplex GX150</v>
          </cell>
          <cell r="C1412" t="str">
            <v>491-4801</v>
          </cell>
          <cell r="D1412" t="str">
            <v>BQRX60J</v>
          </cell>
          <cell r="E1412" t="str">
            <v xml:space="preserve">ZM </v>
          </cell>
          <cell r="F1412" t="str">
            <v xml:space="preserve">LUDWICKI                 JÓZEF          </v>
          </cell>
          <cell r="G1412" t="str">
            <v>F-3</v>
          </cell>
          <cell r="H1412" t="str">
            <v>2</v>
          </cell>
          <cell r="I1412" t="str">
            <v>15-01</v>
          </cell>
          <cell r="J1412" t="str">
            <v>512</v>
          </cell>
          <cell r="K1412" t="str">
            <v>491-04801</v>
          </cell>
          <cell r="L1412" t="str">
            <v>1000</v>
          </cell>
          <cell r="M1412" t="str">
            <v/>
          </cell>
          <cell r="N1412" t="str">
            <v>255</v>
          </cell>
        </row>
        <row r="1413">
          <cell r="A1413" t="str">
            <v>STACJA ROBOCZA</v>
          </cell>
          <cell r="B1413" t="str">
            <v>KOMPUTER PC/AT</v>
          </cell>
          <cell r="C1413" t="str">
            <v>491-1620/K017</v>
          </cell>
          <cell r="D1413" t="str">
            <v>0B23A</v>
          </cell>
          <cell r="E1413" t="str">
            <v xml:space="preserve">ZM </v>
          </cell>
          <cell r="F1413" t="str">
            <v xml:space="preserve">ZIARNIEWICZ              KRYSTYNA       </v>
          </cell>
          <cell r="G1413" t="str">
            <v>MAG.007</v>
          </cell>
          <cell r="H1413" t="str">
            <v>MAG.007</v>
          </cell>
          <cell r="I1413" t="str">
            <v>15-91</v>
          </cell>
          <cell r="J1413" t="str">
            <v>1126</v>
          </cell>
          <cell r="K1413" t="str">
            <v>491-01620-K017</v>
          </cell>
          <cell r="L1413" t="str">
            <v>550</v>
          </cell>
          <cell r="M1413" t="str">
            <v/>
          </cell>
          <cell r="N1413" t="str">
            <v>128</v>
          </cell>
        </row>
        <row r="1414">
          <cell r="A1414" t="str">
            <v>STACJA ROBOCZA</v>
          </cell>
          <cell r="B1414" t="str">
            <v>ZENITH Z STATION P200</v>
          </cell>
          <cell r="C1414" t="str">
            <v>491-3030</v>
          </cell>
          <cell r="D1414" t="str">
            <v>GVDD72905414</v>
          </cell>
          <cell r="E1414" t="str">
            <v xml:space="preserve">ZM </v>
          </cell>
          <cell r="F1414" t="str">
            <v xml:space="preserve">HOPA                     GRZEGORZ       </v>
          </cell>
          <cell r="G1414" t="str">
            <v>MAG.002</v>
          </cell>
          <cell r="H1414" t="str">
            <v>MAG.002</v>
          </cell>
          <cell r="I1414" t="str">
            <v>15-86</v>
          </cell>
          <cell r="J1414" t="str">
            <v>291</v>
          </cell>
          <cell r="K1414" t="str">
            <v>491-03030</v>
          </cell>
          <cell r="L1414" t="str">
            <v>200</v>
          </cell>
          <cell r="M1414" t="str">
            <v/>
          </cell>
          <cell r="N1414" t="str">
            <v>80</v>
          </cell>
        </row>
        <row r="1415">
          <cell r="A1415" t="str">
            <v>STACJA ROBOCZA</v>
          </cell>
          <cell r="B1415" t="str">
            <v>DELL Optiplex GX1L 450</v>
          </cell>
          <cell r="C1415" t="str">
            <v>491-3629</v>
          </cell>
          <cell r="D1415" t="str">
            <v>PF8H6</v>
          </cell>
          <cell r="E1415" t="str">
            <v xml:space="preserve">ZM </v>
          </cell>
          <cell r="F1415" t="str">
            <v xml:space="preserve">JAROCIŃSKA               MAŁGORZATA     </v>
          </cell>
          <cell r="G1415" t="str">
            <v>U-12</v>
          </cell>
          <cell r="H1415" t="str">
            <v>22</v>
          </cell>
          <cell r="I1415" t="str">
            <v>12-21</v>
          </cell>
          <cell r="J1415" t="str">
            <v>1734</v>
          </cell>
          <cell r="K1415" t="str">
            <v>491-03629</v>
          </cell>
          <cell r="L1415" t="str">
            <v>450</v>
          </cell>
          <cell r="M1415" t="str">
            <v/>
          </cell>
          <cell r="N1415" t="str">
            <v>64</v>
          </cell>
        </row>
        <row r="1416">
          <cell r="A1416" t="str">
            <v>STACJA ROBOCZA</v>
          </cell>
          <cell r="B1416" t="str">
            <v>NEC PMVT Desktop P III 450</v>
          </cell>
          <cell r="C1416" t="str">
            <v>491-3836</v>
          </cell>
          <cell r="D1416" t="str">
            <v>0740109</v>
          </cell>
          <cell r="E1416" t="str">
            <v xml:space="preserve">ZM </v>
          </cell>
          <cell r="F1416" t="str">
            <v xml:space="preserve">BILIŃSKA-LARECKA         GRAŻYNA        </v>
          </cell>
          <cell r="G1416" t="str">
            <v>U-16</v>
          </cell>
          <cell r="H1416" t="str">
            <v>30</v>
          </cell>
          <cell r="I1416" t="str">
            <v/>
          </cell>
          <cell r="J1416" t="str">
            <v>47</v>
          </cell>
          <cell r="K1416" t="str">
            <v>491-03836</v>
          </cell>
          <cell r="L1416" t="str">
            <v>450</v>
          </cell>
          <cell r="M1416" t="str">
            <v/>
          </cell>
          <cell r="N1416" t="str">
            <v>64</v>
          </cell>
        </row>
        <row r="1417">
          <cell r="A1417" t="str">
            <v>STACJA ROBOCZA</v>
          </cell>
          <cell r="B1417" t="str">
            <v>COMPAQ DESKPRO EXD PIII 733</v>
          </cell>
          <cell r="C1417" t="str">
            <v>491-4305</v>
          </cell>
          <cell r="D1417" t="str">
            <v>8036FR4Z6623</v>
          </cell>
          <cell r="E1417" t="str">
            <v xml:space="preserve">ZM </v>
          </cell>
          <cell r="F1417" t="str">
            <v xml:space="preserve">LEWANDOWSKI              ANDRZEJ        </v>
          </cell>
          <cell r="G1417" t="str">
            <v>U-16</v>
          </cell>
          <cell r="H1417" t="str">
            <v>18</v>
          </cell>
          <cell r="I1417" t="str">
            <v>15-77</v>
          </cell>
          <cell r="J1417" t="str">
            <v>528</v>
          </cell>
          <cell r="K1417" t="str">
            <v>491-04305</v>
          </cell>
          <cell r="L1417" t="str">
            <v>733</v>
          </cell>
          <cell r="M1417" t="str">
            <v/>
          </cell>
          <cell r="N1417" t="str">
            <v>127</v>
          </cell>
        </row>
        <row r="1418">
          <cell r="A1418" t="str">
            <v>STACJA ROBOCZA</v>
          </cell>
          <cell r="B1418" t="str">
            <v>ZENITH Z STATION EL P200</v>
          </cell>
          <cell r="C1418" t="str">
            <v>491-3155</v>
          </cell>
          <cell r="D1418" t="str">
            <v>7972200096</v>
          </cell>
          <cell r="E1418" t="str">
            <v xml:space="preserve">ZM </v>
          </cell>
          <cell r="F1418" t="str">
            <v xml:space="preserve">NIEWIECZERZAŁ            JAROSŁAW       </v>
          </cell>
          <cell r="G1418" t="str">
            <v>F-3</v>
          </cell>
          <cell r="H1418" t="str">
            <v>2</v>
          </cell>
          <cell r="I1418" t="str">
            <v>15-03</v>
          </cell>
          <cell r="J1418" t="str">
            <v>644</v>
          </cell>
          <cell r="K1418" t="str">
            <v/>
          </cell>
          <cell r="L1418" t="str">
            <v>200</v>
          </cell>
          <cell r="M1418" t="str">
            <v>BEZ SIECI</v>
          </cell>
          <cell r="N1418" t="str">
            <v/>
          </cell>
        </row>
        <row r="1419">
          <cell r="A1419" t="str">
            <v>STACJA ROBOCZA</v>
          </cell>
          <cell r="B1419" t="str">
            <v>NEC PMVT Desktop P III 450</v>
          </cell>
          <cell r="C1419" t="str">
            <v>491-3837</v>
          </cell>
          <cell r="D1419" t="str">
            <v>0671109</v>
          </cell>
          <cell r="E1419" t="str">
            <v xml:space="preserve">ZM </v>
          </cell>
          <cell r="F1419" t="str">
            <v xml:space="preserve">SZCZĘSNA-PODESZWA        ANNA           </v>
          </cell>
          <cell r="G1419" t="str">
            <v>U-16</v>
          </cell>
          <cell r="H1419" t="str">
            <v>31</v>
          </cell>
          <cell r="I1419" t="str">
            <v>19-92</v>
          </cell>
          <cell r="J1419" t="str">
            <v>907</v>
          </cell>
          <cell r="K1419" t="str">
            <v>D0U9R3</v>
          </cell>
          <cell r="L1419" t="str">
            <v>450</v>
          </cell>
          <cell r="M1419" t="str">
            <v/>
          </cell>
          <cell r="N1419" t="str">
            <v/>
          </cell>
        </row>
        <row r="1420">
          <cell r="A1420" t="str">
            <v>STACJA ROBOCZA</v>
          </cell>
          <cell r="B1420" t="str">
            <v>KOMPUTER PC/AT</v>
          </cell>
          <cell r="C1420" t="str">
            <v>491-1620/K013</v>
          </cell>
          <cell r="D1420" t="str">
            <v>0B23A</v>
          </cell>
          <cell r="E1420" t="str">
            <v xml:space="preserve">ZM </v>
          </cell>
          <cell r="F1420" t="str">
            <v xml:space="preserve">KOWALCZYK                MAREK          </v>
          </cell>
          <cell r="G1420" t="str">
            <v>MAG.002</v>
          </cell>
          <cell r="H1420" t="str">
            <v>MAG.002</v>
          </cell>
          <cell r="I1420" t="str">
            <v>26-50</v>
          </cell>
          <cell r="J1420" t="str">
            <v>486</v>
          </cell>
          <cell r="K1420" t="str">
            <v>491-01620-K013</v>
          </cell>
          <cell r="L1420" t="str">
            <v>534</v>
          </cell>
          <cell r="M1420" t="str">
            <v/>
          </cell>
          <cell r="N1420" t="str">
            <v>128</v>
          </cell>
        </row>
        <row r="1421">
          <cell r="A1421" t="str">
            <v>STACJA ROBOCZA</v>
          </cell>
          <cell r="B1421" t="str">
            <v>NEC PMVT Desktop P III 450</v>
          </cell>
          <cell r="C1421" t="str">
            <v>491-3823</v>
          </cell>
          <cell r="D1421" t="str">
            <v>0704109</v>
          </cell>
          <cell r="E1421" t="str">
            <v xml:space="preserve">ZM </v>
          </cell>
          <cell r="F1421" t="str">
            <v xml:space="preserve">SZYDA                    URSZULA        </v>
          </cell>
          <cell r="G1421" t="str">
            <v>U-16</v>
          </cell>
          <cell r="H1421" t="str">
            <v>21</v>
          </cell>
          <cell r="I1421" t="str">
            <v>12-74</v>
          </cell>
          <cell r="J1421" t="str">
            <v>312</v>
          </cell>
          <cell r="K1421" t="str">
            <v>491-03823</v>
          </cell>
          <cell r="L1421" t="str">
            <v>450</v>
          </cell>
          <cell r="M1421" t="str">
            <v/>
          </cell>
          <cell r="N1421" t="str">
            <v>64</v>
          </cell>
        </row>
        <row r="1422">
          <cell r="A1422" t="str">
            <v>STACJA ROBOCZA</v>
          </cell>
          <cell r="B1422" t="str">
            <v>KOMPUTER PC/AT</v>
          </cell>
          <cell r="C1422" t="str">
            <v>491-1620/K014</v>
          </cell>
          <cell r="D1422" t="str">
            <v>0B23A</v>
          </cell>
          <cell r="E1422" t="str">
            <v xml:space="preserve">ZM </v>
          </cell>
          <cell r="F1422" t="str">
            <v xml:space="preserve">BARTOSIK                 TERESA         </v>
          </cell>
          <cell r="G1422" t="str">
            <v>MAG.004</v>
          </cell>
          <cell r="H1422" t="str">
            <v>MAG.004</v>
          </cell>
          <cell r="I1422" t="str">
            <v>15-88</v>
          </cell>
          <cell r="J1422" t="str">
            <v>2350</v>
          </cell>
          <cell r="K1422" t="str">
            <v>491-01620-K014</v>
          </cell>
          <cell r="L1422" t="str">
            <v>400</v>
          </cell>
          <cell r="M1422" t="str">
            <v/>
          </cell>
          <cell r="N1422" t="str">
            <v>64</v>
          </cell>
        </row>
        <row r="1423">
          <cell r="A1423" t="str">
            <v>STACJA ROBOCZA</v>
          </cell>
          <cell r="B1423" t="str">
            <v>KOMPUTER PC/AT</v>
          </cell>
          <cell r="C1423" t="str">
            <v>491-1620/K011</v>
          </cell>
          <cell r="D1423" t="str">
            <v>0B23A</v>
          </cell>
          <cell r="E1423" t="str">
            <v xml:space="preserve">ZM </v>
          </cell>
          <cell r="F1423" t="str">
            <v xml:space="preserve">SARZAŁA                  JADWIGA        </v>
          </cell>
          <cell r="G1423" t="str">
            <v>SPEDYCJA</v>
          </cell>
          <cell r="H1423" t="str">
            <v>SPEDYCJA</v>
          </cell>
          <cell r="I1423" t="str">
            <v>15-96</v>
          </cell>
          <cell r="J1423" t="str">
            <v>945</v>
          </cell>
          <cell r="K1423" t="str">
            <v>491-01620-K011</v>
          </cell>
          <cell r="L1423" t="str">
            <v>333</v>
          </cell>
          <cell r="M1423" t="str">
            <v/>
          </cell>
          <cell r="N1423" t="str">
            <v>64</v>
          </cell>
        </row>
        <row r="1424">
          <cell r="A1424" t="str">
            <v>STACJA ROBOCZA</v>
          </cell>
          <cell r="B1424" t="str">
            <v>KOMPUTER PC/AT</v>
          </cell>
          <cell r="C1424" t="str">
            <v>491-1620/K015</v>
          </cell>
          <cell r="D1424" t="str">
            <v>0B23A</v>
          </cell>
          <cell r="E1424" t="str">
            <v xml:space="preserve">ZM </v>
          </cell>
          <cell r="F1424" t="str">
            <v xml:space="preserve">KASPRZYKOWSKA            ZDZISŁAWA      </v>
          </cell>
          <cell r="G1424" t="str">
            <v>MAG.006</v>
          </cell>
          <cell r="H1424" t="str">
            <v>MAG.006</v>
          </cell>
          <cell r="I1424" t="str">
            <v>15-90</v>
          </cell>
          <cell r="J1424" t="str">
            <v>5420</v>
          </cell>
          <cell r="K1424" t="str">
            <v>491-01620-K015</v>
          </cell>
          <cell r="L1424" t="str">
            <v>550</v>
          </cell>
          <cell r="M1424" t="str">
            <v>OK51J</v>
          </cell>
          <cell r="N1424" t="str">
            <v>64</v>
          </cell>
        </row>
        <row r="1425">
          <cell r="A1425" t="str">
            <v>STACJA ROBOCZA</v>
          </cell>
          <cell r="B1425" t="str">
            <v>ZENITH Z STATION P200</v>
          </cell>
          <cell r="C1425" t="str">
            <v>491-3094</v>
          </cell>
          <cell r="D1425" t="str">
            <v>GCDT74204760</v>
          </cell>
          <cell r="E1425" t="str">
            <v xml:space="preserve">ZM </v>
          </cell>
          <cell r="F1425" t="str">
            <v xml:space="preserve">ZIARNIEWICZ              KRYSTYNA       </v>
          </cell>
          <cell r="G1425" t="str">
            <v>MAG.007</v>
          </cell>
          <cell r="H1425" t="str">
            <v>MAG.007</v>
          </cell>
          <cell r="I1425" t="str">
            <v>15-91</v>
          </cell>
          <cell r="J1425" t="str">
            <v>1126</v>
          </cell>
          <cell r="K1425" t="str">
            <v>491-03094</v>
          </cell>
          <cell r="L1425" t="str">
            <v>200</v>
          </cell>
          <cell r="M1425" t="str">
            <v/>
          </cell>
          <cell r="N1425" t="str">
            <v>96</v>
          </cell>
        </row>
        <row r="1426">
          <cell r="A1426" t="str">
            <v>STACJA ROBOCZA</v>
          </cell>
          <cell r="B1426" t="str">
            <v>KOMPUTER PC/AT</v>
          </cell>
          <cell r="C1426" t="str">
            <v>491-1620/K018</v>
          </cell>
          <cell r="D1426" t="str">
            <v>0B23A</v>
          </cell>
          <cell r="E1426" t="str">
            <v xml:space="preserve">ZM </v>
          </cell>
          <cell r="F1426" t="str">
            <v xml:space="preserve">KLIMCZAK                 MARIA          </v>
          </cell>
          <cell r="G1426" t="str">
            <v>MAG.005</v>
          </cell>
          <cell r="H1426" t="str">
            <v>MAG.005</v>
          </cell>
          <cell r="I1426" t="str">
            <v>15-89</v>
          </cell>
          <cell r="J1426" t="str">
            <v>443</v>
          </cell>
          <cell r="K1426" t="str">
            <v>491-01620-K018</v>
          </cell>
          <cell r="L1426" t="str">
            <v>1200</v>
          </cell>
          <cell r="M1426" t="str">
            <v/>
          </cell>
          <cell r="N1426" t="str">
            <v>256</v>
          </cell>
        </row>
        <row r="1427">
          <cell r="A1427" t="str">
            <v>STACJA ROBOCZA</v>
          </cell>
          <cell r="B1427" t="str">
            <v>ZENITH Z STATION P166</v>
          </cell>
          <cell r="C1427" t="str">
            <v>491-2987</v>
          </cell>
          <cell r="D1427" t="str">
            <v>GVDD72904938</v>
          </cell>
          <cell r="E1427" t="str">
            <v xml:space="preserve">ZM </v>
          </cell>
          <cell r="F1427" t="str">
            <v xml:space="preserve">CIESIELSKA               BARBARA        </v>
          </cell>
          <cell r="G1427" t="str">
            <v>MAG.013</v>
          </cell>
          <cell r="H1427" t="str">
            <v>MAG.013</v>
          </cell>
          <cell r="I1427" t="str">
            <v>17-18</v>
          </cell>
          <cell r="J1427" t="str">
            <v>1334</v>
          </cell>
          <cell r="K1427" t="str">
            <v>491-02987</v>
          </cell>
          <cell r="L1427" t="str">
            <v>166</v>
          </cell>
          <cell r="M1427" t="str">
            <v/>
          </cell>
          <cell r="N1427" t="str">
            <v>80</v>
          </cell>
        </row>
        <row r="1428">
          <cell r="A1428" t="str">
            <v>STACJA ROBOCZA</v>
          </cell>
          <cell r="B1428" t="str">
            <v>KOMPUTER PC/AT</v>
          </cell>
          <cell r="C1428" t="str">
            <v>491-1620/K016</v>
          </cell>
          <cell r="D1428" t="str">
            <v>0B23A</v>
          </cell>
          <cell r="E1428" t="str">
            <v xml:space="preserve">ZM </v>
          </cell>
          <cell r="F1428" t="str">
            <v xml:space="preserve">BARTOSIK                 JAN            </v>
          </cell>
          <cell r="G1428" t="str">
            <v>MAG.004</v>
          </cell>
          <cell r="H1428" t="str">
            <v>MAG.004</v>
          </cell>
          <cell r="I1428" t="str">
            <v>27-53</v>
          </cell>
          <cell r="J1428" t="str">
            <v>38</v>
          </cell>
          <cell r="K1428" t="str">
            <v>K016</v>
          </cell>
          <cell r="L1428" t="str">
            <v>0</v>
          </cell>
          <cell r="M1428" t="str">
            <v/>
          </cell>
          <cell r="N1428" t="str">
            <v/>
          </cell>
        </row>
        <row r="1429">
          <cell r="A1429" t="str">
            <v>STACJA ROBOCZA</v>
          </cell>
          <cell r="B1429" t="str">
            <v>KOMPUTER PC/AT</v>
          </cell>
          <cell r="C1429" t="str">
            <v>491-1620/K019</v>
          </cell>
          <cell r="D1429" t="str">
            <v>0B23A</v>
          </cell>
          <cell r="E1429" t="str">
            <v xml:space="preserve">ZM </v>
          </cell>
          <cell r="F1429" t="str">
            <v xml:space="preserve">WOŹNIAK                  ROMAN          </v>
          </cell>
          <cell r="G1429" t="str">
            <v>MAG.006</v>
          </cell>
          <cell r="H1429" t="str">
            <v>MAG.006</v>
          </cell>
          <cell r="I1429" t="str">
            <v>15-90</v>
          </cell>
          <cell r="J1429" t="str">
            <v>5428</v>
          </cell>
          <cell r="K1429" t="str">
            <v>491-01620-K019</v>
          </cell>
          <cell r="L1429" t="str">
            <v>550</v>
          </cell>
          <cell r="M1429" t="str">
            <v>OK51J</v>
          </cell>
          <cell r="N1429" t="str">
            <v>128</v>
          </cell>
        </row>
        <row r="1430">
          <cell r="A1430" t="str">
            <v>STACJA ROBOCZA</v>
          </cell>
          <cell r="B1430" t="str">
            <v>KOMPUTER 486SX</v>
          </cell>
          <cell r="C1430" t="str">
            <v>491-1620/8891</v>
          </cell>
          <cell r="D1430" t="str">
            <v>8891/114</v>
          </cell>
          <cell r="E1430" t="str">
            <v xml:space="preserve">ZM </v>
          </cell>
          <cell r="F1430" t="str">
            <v xml:space="preserve">ŚNIEŻKO                  MARIA          </v>
          </cell>
          <cell r="G1430" t="str">
            <v>MAG.002</v>
          </cell>
          <cell r="H1430" t="str">
            <v>MAG.002</v>
          </cell>
          <cell r="I1430" t="str">
            <v>15-86</v>
          </cell>
          <cell r="J1430" t="str">
            <v>3320</v>
          </cell>
          <cell r="K1430" t="str">
            <v>491-01620-8891</v>
          </cell>
          <cell r="L1430" t="str">
            <v>550</v>
          </cell>
          <cell r="M1430" t="str">
            <v/>
          </cell>
          <cell r="N1430" t="str">
            <v>128</v>
          </cell>
        </row>
        <row r="1431">
          <cell r="A1431" t="str">
            <v>STACJA ROBOCZA</v>
          </cell>
          <cell r="B1431" t="str">
            <v>KOMPUTER 386DX</v>
          </cell>
          <cell r="C1431" t="str">
            <v>491-2076</v>
          </cell>
          <cell r="D1431" t="str">
            <v>3612/043</v>
          </cell>
          <cell r="E1431" t="str">
            <v xml:space="preserve">ZM </v>
          </cell>
          <cell r="F1431" t="str">
            <v xml:space="preserve">STAWICKA                 TERESA         </v>
          </cell>
          <cell r="G1431" t="str">
            <v>MAG.016</v>
          </cell>
          <cell r="H1431" t="str">
            <v>MAG.016</v>
          </cell>
          <cell r="I1431" t="str">
            <v>17-16</v>
          </cell>
          <cell r="J1431" t="str">
            <v>967</v>
          </cell>
          <cell r="K1431" t="str">
            <v>491-02076</v>
          </cell>
          <cell r="L1431" t="str">
            <v>300</v>
          </cell>
          <cell r="M1431" t="str">
            <v/>
          </cell>
          <cell r="N1431" t="str">
            <v>64</v>
          </cell>
        </row>
        <row r="1432">
          <cell r="A1432" t="str">
            <v>STACJA ROBOCZA</v>
          </cell>
          <cell r="B1432" t="str">
            <v>KOMPUTER 386DX</v>
          </cell>
          <cell r="C1432" t="str">
            <v>491-2028</v>
          </cell>
          <cell r="D1432" t="str">
            <v>3628</v>
          </cell>
          <cell r="E1432" t="str">
            <v xml:space="preserve">ZM </v>
          </cell>
          <cell r="F1432" t="str">
            <v xml:space="preserve">WIŚNIEWSKI               BOGDAN         </v>
          </cell>
          <cell r="G1432" t="str">
            <v>MAG.008</v>
          </cell>
          <cell r="H1432" t="str">
            <v>MAG.008</v>
          </cell>
          <cell r="I1432" t="str">
            <v>15-92</v>
          </cell>
          <cell r="J1432" t="str">
            <v>1043</v>
          </cell>
          <cell r="K1432" t="str">
            <v>491-02028</v>
          </cell>
          <cell r="L1432" t="str">
            <v>366</v>
          </cell>
          <cell r="M1432" t="str">
            <v/>
          </cell>
          <cell r="N1432" t="str">
            <v>64</v>
          </cell>
        </row>
        <row r="1433">
          <cell r="A1433" t="str">
            <v>STACJA ROBOCZA</v>
          </cell>
          <cell r="B1433" t="str">
            <v>KOMPUTER 386DX</v>
          </cell>
          <cell r="C1433" t="str">
            <v>491-2048</v>
          </cell>
          <cell r="D1433" t="str">
            <v>3802/053</v>
          </cell>
          <cell r="E1433" t="str">
            <v xml:space="preserve">ZM </v>
          </cell>
          <cell r="F1433" t="str">
            <v xml:space="preserve">KARASIŃSKI               ROMAN          </v>
          </cell>
          <cell r="G1433" t="str">
            <v>MAG.014</v>
          </cell>
          <cell r="H1433" t="str">
            <v>MAG.014</v>
          </cell>
          <cell r="I1433" t="str">
            <v>21-92</v>
          </cell>
          <cell r="J1433" t="str">
            <v>2152</v>
          </cell>
          <cell r="K1433" t="str">
            <v>036</v>
          </cell>
          <cell r="L1433" t="str">
            <v>550</v>
          </cell>
          <cell r="M1433" t="str">
            <v/>
          </cell>
          <cell r="N1433" t="str">
            <v/>
          </cell>
        </row>
        <row r="1434">
          <cell r="A1434" t="str">
            <v>STACJA ROBOCZA</v>
          </cell>
          <cell r="B1434" t="str">
            <v>NEC PowerMate VT Destop P III 450</v>
          </cell>
          <cell r="C1434" t="str">
            <v>491-3988</v>
          </cell>
          <cell r="D1434" t="str">
            <v>0707109</v>
          </cell>
          <cell r="E1434" t="str">
            <v xml:space="preserve">ZM </v>
          </cell>
          <cell r="F1434" t="str">
            <v xml:space="preserve">LEHMANN                  LESZEK         </v>
          </cell>
          <cell r="G1434" t="str">
            <v>MAG.010</v>
          </cell>
          <cell r="H1434" t="str">
            <v>MAG.010</v>
          </cell>
          <cell r="I1434" t="str">
            <v>15-93</v>
          </cell>
          <cell r="J1434" t="str">
            <v>3167</v>
          </cell>
          <cell r="K1434" t="str">
            <v>491-03988</v>
          </cell>
          <cell r="L1434" t="str">
            <v>450</v>
          </cell>
          <cell r="M1434" t="str">
            <v/>
          </cell>
          <cell r="N1434" t="str">
            <v>64</v>
          </cell>
        </row>
        <row r="1435">
          <cell r="A1435" t="str">
            <v>STACJA ROBOCZA</v>
          </cell>
          <cell r="B1435" t="str">
            <v>COMPAQ DESKPRO 2000 DT 5166 M1620</v>
          </cell>
          <cell r="C1435" t="str">
            <v>491-2889</v>
          </cell>
          <cell r="D1435" t="str">
            <v>8709HVU87641</v>
          </cell>
          <cell r="E1435" t="str">
            <v xml:space="preserve">ZM </v>
          </cell>
          <cell r="F1435" t="str">
            <v xml:space="preserve">KUCHARSKA                DANUTA         </v>
          </cell>
          <cell r="G1435" t="str">
            <v>MAG.008</v>
          </cell>
          <cell r="H1435" t="str">
            <v>MAG.008</v>
          </cell>
          <cell r="I1435" t="str">
            <v>15-92</v>
          </cell>
          <cell r="J1435" t="str">
            <v>5649</v>
          </cell>
          <cell r="K1435" t="str">
            <v>ZENONT</v>
          </cell>
          <cell r="L1435" t="str">
            <v>166</v>
          </cell>
          <cell r="M1435" t="str">
            <v/>
          </cell>
          <cell r="N1435" t="str">
            <v/>
          </cell>
        </row>
        <row r="1436">
          <cell r="A1436" t="str">
            <v>STACJA ROBOCZA</v>
          </cell>
          <cell r="B1436" t="str">
            <v>NEC PowerMate VT Destop P III 450</v>
          </cell>
          <cell r="C1436" t="str">
            <v>491-3994</v>
          </cell>
          <cell r="D1436" t="str">
            <v>0734109</v>
          </cell>
          <cell r="E1436" t="str">
            <v xml:space="preserve">ZM </v>
          </cell>
          <cell r="F1436" t="str">
            <v xml:space="preserve">JAROCIŃSKA               MAŁGORZATA     </v>
          </cell>
          <cell r="G1436" t="str">
            <v>U-12</v>
          </cell>
          <cell r="H1436" t="str">
            <v>22</v>
          </cell>
          <cell r="I1436" t="str">
            <v>12-21</v>
          </cell>
          <cell r="J1436" t="str">
            <v>1734</v>
          </cell>
          <cell r="K1436" t="str">
            <v>491-03994</v>
          </cell>
          <cell r="L1436" t="str">
            <v>450</v>
          </cell>
          <cell r="M1436" t="str">
            <v/>
          </cell>
          <cell r="N1436" t="str">
            <v>192</v>
          </cell>
        </row>
        <row r="1437">
          <cell r="A1437" t="str">
            <v>STACJA ROBOCZA</v>
          </cell>
          <cell r="B1437" t="str">
            <v>COMPAQ DESKPRO 2000 DT 5120 M1080</v>
          </cell>
          <cell r="C1437" t="str">
            <v>491-2784</v>
          </cell>
          <cell r="D1437" t="str">
            <v>8651HVS51504</v>
          </cell>
          <cell r="E1437" t="str">
            <v xml:space="preserve">ZM </v>
          </cell>
          <cell r="F1437" t="str">
            <v xml:space="preserve">NIEMIRSKI                MIECZYSŁAW     </v>
          </cell>
          <cell r="G1437" t="str">
            <v>WAGA</v>
          </cell>
          <cell r="H1437" t="str">
            <v>WAGA</v>
          </cell>
          <cell r="I1437" t="str">
            <v>18-14</v>
          </cell>
          <cell r="J1437" t="str">
            <v>655</v>
          </cell>
          <cell r="K1437" t="str">
            <v/>
          </cell>
          <cell r="L1437" t="str">
            <v>120</v>
          </cell>
          <cell r="M1437" t="str">
            <v>Nie będzie w sieci</v>
          </cell>
          <cell r="N1437" t="str">
            <v/>
          </cell>
        </row>
        <row r="1438">
          <cell r="A1438" t="str">
            <v>STACJA ROBOCZA</v>
          </cell>
          <cell r="B1438" t="str">
            <v>DELL Optiplex GX1M P II 450</v>
          </cell>
          <cell r="C1438" t="str">
            <v>491-3665</v>
          </cell>
          <cell r="D1438" t="str">
            <v>QF01X</v>
          </cell>
          <cell r="E1438" t="str">
            <v xml:space="preserve">ZM </v>
          </cell>
          <cell r="F1438" t="str">
            <v xml:space="preserve">KUMILEWSKI               SŁAWOMIR       </v>
          </cell>
          <cell r="G1438" t="str">
            <v>U-16</v>
          </cell>
          <cell r="H1438" t="str">
            <v>32</v>
          </cell>
          <cell r="I1438" t="str">
            <v>15-79</v>
          </cell>
          <cell r="J1438" t="str">
            <v>3532</v>
          </cell>
          <cell r="K1438" t="str">
            <v>491-03665</v>
          </cell>
          <cell r="L1438" t="str">
            <v>450</v>
          </cell>
          <cell r="M1438" t="str">
            <v/>
          </cell>
          <cell r="N1438" t="str">
            <v>128</v>
          </cell>
        </row>
        <row r="1439">
          <cell r="A1439" t="str">
            <v>STACJA ROBOCZA</v>
          </cell>
          <cell r="B1439" t="str">
            <v>DELL Optiplex GX1M P II 450</v>
          </cell>
          <cell r="C1439" t="str">
            <v>491-3662</v>
          </cell>
          <cell r="D1439" t="str">
            <v>QDXTW</v>
          </cell>
          <cell r="E1439" t="str">
            <v xml:space="preserve">ZM </v>
          </cell>
          <cell r="F1439" t="str">
            <v xml:space="preserve">WIŚNIEWSKI               BOGDAN         </v>
          </cell>
          <cell r="G1439" t="str">
            <v>MAG.008</v>
          </cell>
          <cell r="H1439" t="str">
            <v>MAG.008</v>
          </cell>
          <cell r="I1439" t="str">
            <v>15-92</v>
          </cell>
          <cell r="J1439" t="str">
            <v>1043</v>
          </cell>
          <cell r="K1439" t="str">
            <v>491-03662</v>
          </cell>
          <cell r="L1439" t="str">
            <v>450</v>
          </cell>
          <cell r="M1439" t="str">
            <v/>
          </cell>
          <cell r="N1439" t="str">
            <v>128</v>
          </cell>
        </row>
        <row r="1440">
          <cell r="A1440" t="str">
            <v>STACJA ROBOCZA</v>
          </cell>
          <cell r="B1440" t="str">
            <v>KOMPUTER PC/AT</v>
          </cell>
          <cell r="C1440" t="str">
            <v>491-1620/K023</v>
          </cell>
          <cell r="D1440" t="str">
            <v>0B23A</v>
          </cell>
          <cell r="E1440" t="str">
            <v xml:space="preserve">ZM </v>
          </cell>
          <cell r="F1440" t="str">
            <v xml:space="preserve">STEFANEK                 ANNA           </v>
          </cell>
          <cell r="G1440" t="str">
            <v>MAG.003</v>
          </cell>
          <cell r="H1440" t="str">
            <v>MAG.003</v>
          </cell>
          <cell r="I1440" t="str">
            <v>15-87</v>
          </cell>
          <cell r="J1440" t="str">
            <v>957</v>
          </cell>
          <cell r="K1440" t="str">
            <v>491-01620-K023</v>
          </cell>
          <cell r="L1440" t="str">
            <v>550</v>
          </cell>
          <cell r="M1440" t="str">
            <v/>
          </cell>
          <cell r="N1440" t="str">
            <v>128</v>
          </cell>
        </row>
        <row r="1441">
          <cell r="A1441" t="str">
            <v>STACJA ROBOCZA</v>
          </cell>
          <cell r="B1441" t="str">
            <v>DELL Optiplex GX1L 266</v>
          </cell>
          <cell r="C1441" t="str">
            <v>491-3290</v>
          </cell>
          <cell r="D1441" t="str">
            <v>NM17T</v>
          </cell>
          <cell r="E1441" t="str">
            <v xml:space="preserve">ZM </v>
          </cell>
          <cell r="F1441" t="str">
            <v xml:space="preserve">ŻELASKO                  BOGUSŁAW       </v>
          </cell>
          <cell r="G1441" t="str">
            <v>MAG.001</v>
          </cell>
          <cell r="H1441" t="str">
            <v>MAG.001</v>
          </cell>
          <cell r="I1441" t="str">
            <v>15-85</v>
          </cell>
          <cell r="J1441" t="str">
            <v>1148</v>
          </cell>
          <cell r="K1441" t="str">
            <v>491-03290</v>
          </cell>
          <cell r="L1441" t="str">
            <v>266</v>
          </cell>
          <cell r="M1441" t="str">
            <v/>
          </cell>
          <cell r="N1441" t="str">
            <v>96</v>
          </cell>
        </row>
        <row r="1442">
          <cell r="A1442" t="str">
            <v>STACJA ROBOCZA</v>
          </cell>
          <cell r="B1442" t="str">
            <v>COMPAQ DESKPRO EXDT</v>
          </cell>
          <cell r="C1442" t="str">
            <v>491-4659</v>
          </cell>
          <cell r="D1442" t="str">
            <v>8124FR4Z0G38</v>
          </cell>
          <cell r="E1442" t="str">
            <v xml:space="preserve">ZM </v>
          </cell>
          <cell r="F1442" t="str">
            <v xml:space="preserve">GRZESIAK                 JOLANTA        </v>
          </cell>
          <cell r="G1442" t="str">
            <v>F-3</v>
          </cell>
          <cell r="H1442" t="str">
            <v>2</v>
          </cell>
          <cell r="I1442" t="str">
            <v>27-50</v>
          </cell>
          <cell r="J1442" t="str">
            <v>224</v>
          </cell>
          <cell r="K1442" t="str">
            <v>491-04659</v>
          </cell>
          <cell r="L1442" t="str">
            <v>1000</v>
          </cell>
          <cell r="M1442" t="str">
            <v/>
          </cell>
          <cell r="N1442" t="str">
            <v>63</v>
          </cell>
        </row>
        <row r="1443">
          <cell r="A1443" t="str">
            <v>STACJA ROBOCZA</v>
          </cell>
          <cell r="B1443" t="str">
            <v>DELL Optiplex GX1L 266</v>
          </cell>
          <cell r="C1443" t="str">
            <v>491-3235</v>
          </cell>
          <cell r="D1443" t="str">
            <v>NM17C</v>
          </cell>
          <cell r="E1443" t="str">
            <v xml:space="preserve">ZM </v>
          </cell>
          <cell r="F1443" t="str">
            <v xml:space="preserve">JAROCIŃSKA               MAŁGORZATA     </v>
          </cell>
          <cell r="G1443" t="str">
            <v>U-12</v>
          </cell>
          <cell r="H1443" t="str">
            <v>22</v>
          </cell>
          <cell r="I1443" t="str">
            <v>12-21</v>
          </cell>
          <cell r="J1443" t="str">
            <v>1734</v>
          </cell>
          <cell r="K1443" t="str">
            <v>491-03235</v>
          </cell>
          <cell r="L1443" t="str">
            <v>266</v>
          </cell>
          <cell r="M1443" t="str">
            <v/>
          </cell>
          <cell r="N1443" t="str">
            <v>96</v>
          </cell>
        </row>
        <row r="1444">
          <cell r="A1444" t="str">
            <v>STACJA ROBOCZA</v>
          </cell>
          <cell r="B1444" t="str">
            <v>ZENITH Z STATION P166</v>
          </cell>
          <cell r="C1444" t="str">
            <v>491-3097</v>
          </cell>
          <cell r="D1444" t="str">
            <v>GVDD72905439</v>
          </cell>
          <cell r="E1444" t="str">
            <v xml:space="preserve">ZM </v>
          </cell>
          <cell r="F1444" t="str">
            <v xml:space="preserve">PAKLIKOWSKI              FRANCISZEK     </v>
          </cell>
          <cell r="G1444" t="str">
            <v>MAG.005</v>
          </cell>
          <cell r="H1444" t="str">
            <v>MAG.005</v>
          </cell>
          <cell r="I1444" t="str">
            <v>15-89</v>
          </cell>
          <cell r="J1444" t="str">
            <v>772</v>
          </cell>
          <cell r="K1444" t="str">
            <v>491-03097</v>
          </cell>
          <cell r="L1444" t="str">
            <v>166</v>
          </cell>
          <cell r="M1444" t="str">
            <v/>
          </cell>
          <cell r="N1444" t="str">
            <v>80</v>
          </cell>
        </row>
        <row r="1445">
          <cell r="A1445" t="str">
            <v>STACJA ROBOCZA</v>
          </cell>
          <cell r="B1445" t="str">
            <v>DELL Optiplex GX1L 266</v>
          </cell>
          <cell r="C1445" t="str">
            <v>491-3288</v>
          </cell>
          <cell r="D1445" t="str">
            <v>NM17M</v>
          </cell>
          <cell r="E1445" t="str">
            <v xml:space="preserve">ZM </v>
          </cell>
          <cell r="F1445" t="str">
            <v xml:space="preserve">POLAKIEWICZ              EWA            </v>
          </cell>
          <cell r="G1445" t="str">
            <v>MAG.011</v>
          </cell>
          <cell r="H1445" t="str">
            <v>MAG.011</v>
          </cell>
          <cell r="I1445" t="str">
            <v>17-19</v>
          </cell>
          <cell r="J1445" t="str">
            <v>3603</v>
          </cell>
          <cell r="K1445" t="str">
            <v>491-03288</v>
          </cell>
          <cell r="L1445" t="str">
            <v>266</v>
          </cell>
          <cell r="M1445" t="str">
            <v/>
          </cell>
          <cell r="N1445" t="str">
            <v>96</v>
          </cell>
        </row>
        <row r="1446">
          <cell r="A1446" t="str">
            <v>STACJA ROBOCZA</v>
          </cell>
          <cell r="B1446" t="str">
            <v>COMPAQ DESKPRO EXD PIII 733</v>
          </cell>
          <cell r="C1446" t="str">
            <v>491-4391</v>
          </cell>
          <cell r="D1446" t="str">
            <v>8036FR4ZE293</v>
          </cell>
          <cell r="E1446" t="str">
            <v xml:space="preserve">ZM </v>
          </cell>
          <cell r="F1446" t="str">
            <v xml:space="preserve">KWAŚNIEWSKA              ELŻBIETA       </v>
          </cell>
          <cell r="G1446" t="str">
            <v>U-16</v>
          </cell>
          <cell r="H1446" t="str">
            <v>32</v>
          </cell>
          <cell r="I1446" t="str">
            <v>19-92</v>
          </cell>
          <cell r="J1446" t="str">
            <v>410</v>
          </cell>
          <cell r="K1446" t="str">
            <v>491-04391</v>
          </cell>
          <cell r="L1446" t="str">
            <v>733</v>
          </cell>
          <cell r="M1446" t="str">
            <v/>
          </cell>
          <cell r="N1446" t="str">
            <v>127</v>
          </cell>
        </row>
        <row r="1447">
          <cell r="A1447" t="str">
            <v>STACJA ROBOCZA</v>
          </cell>
          <cell r="B1447" t="str">
            <v>DELL Optiplex GX1L 266</v>
          </cell>
          <cell r="C1447" t="str">
            <v>491-3380</v>
          </cell>
          <cell r="D1447" t="str">
            <v>NM1CM</v>
          </cell>
          <cell r="E1447" t="str">
            <v xml:space="preserve">ZM </v>
          </cell>
          <cell r="F1447" t="str">
            <v xml:space="preserve">JAROCIŃSKA               MAŁGORZATA     </v>
          </cell>
          <cell r="G1447" t="str">
            <v>U-12</v>
          </cell>
          <cell r="H1447" t="str">
            <v>22</v>
          </cell>
          <cell r="I1447" t="str">
            <v>12-21</v>
          </cell>
          <cell r="J1447" t="str">
            <v>1734</v>
          </cell>
          <cell r="K1447" t="str">
            <v>491-03380</v>
          </cell>
          <cell r="L1447" t="str">
            <v>266</v>
          </cell>
          <cell r="M1447" t="str">
            <v/>
          </cell>
          <cell r="N1447" t="str">
            <v>96</v>
          </cell>
        </row>
        <row r="1448">
          <cell r="A1448" t="str">
            <v>STACJA ROBOCZA</v>
          </cell>
          <cell r="B1448" t="str">
            <v>DELL Optiplex GX1L 350</v>
          </cell>
          <cell r="C1448" t="str">
            <v>491-3535</v>
          </cell>
          <cell r="D1448" t="str">
            <v>PDZB4</v>
          </cell>
          <cell r="E1448" t="str">
            <v xml:space="preserve">ZM </v>
          </cell>
          <cell r="F1448" t="str">
            <v xml:space="preserve">JAROCIŃSKA               MAŁGORZATA     </v>
          </cell>
          <cell r="G1448" t="str">
            <v>U-12</v>
          </cell>
          <cell r="H1448" t="str">
            <v>22</v>
          </cell>
          <cell r="I1448" t="str">
            <v>12-21</v>
          </cell>
          <cell r="J1448" t="str">
            <v>1734</v>
          </cell>
          <cell r="K1448" t="str">
            <v>491-03535</v>
          </cell>
          <cell r="L1448" t="str">
            <v>350</v>
          </cell>
          <cell r="M1448" t="str">
            <v/>
          </cell>
          <cell r="N1448" t="str">
            <v>64</v>
          </cell>
        </row>
        <row r="1449">
          <cell r="A1449" t="str">
            <v>STACJA ROBOCZA</v>
          </cell>
          <cell r="B1449" t="str">
            <v>COMPAQ DESKPRO EXD PIII 733</v>
          </cell>
          <cell r="C1449" t="str">
            <v>491-4323</v>
          </cell>
          <cell r="D1449" t="str">
            <v>8036FR4Z3795</v>
          </cell>
          <cell r="E1449" t="str">
            <v xml:space="preserve">ZM </v>
          </cell>
          <cell r="F1449" t="str">
            <v xml:space="preserve">RASZEWSKI                ZYGMUNT        </v>
          </cell>
          <cell r="G1449" t="str">
            <v>U-16</v>
          </cell>
          <cell r="H1449" t="str">
            <v>32</v>
          </cell>
          <cell r="I1449" t="str">
            <v>15-83</v>
          </cell>
          <cell r="J1449" t="str">
            <v>5375</v>
          </cell>
          <cell r="K1449" t="str">
            <v>491-04323</v>
          </cell>
          <cell r="L1449" t="str">
            <v>733</v>
          </cell>
          <cell r="M1449" t="str">
            <v/>
          </cell>
          <cell r="N1449" t="str">
            <v>127</v>
          </cell>
        </row>
        <row r="1450">
          <cell r="A1450" t="str">
            <v>STACJA ROBOCZA</v>
          </cell>
          <cell r="B1450" t="str">
            <v>DELL Optiplex GX1L 266</v>
          </cell>
          <cell r="C1450" t="str">
            <v>491-3237</v>
          </cell>
          <cell r="D1450" t="str">
            <v>NM17D</v>
          </cell>
          <cell r="E1450" t="str">
            <v xml:space="preserve">ZM </v>
          </cell>
          <cell r="F1450" t="str">
            <v xml:space="preserve">GRANOWSKA                ZOFIA          </v>
          </cell>
          <cell r="G1450" t="str">
            <v>U-16</v>
          </cell>
          <cell r="H1450" t="str">
            <v>32</v>
          </cell>
          <cell r="I1450" t="str">
            <v>21-90</v>
          </cell>
          <cell r="J1450" t="str">
            <v>251</v>
          </cell>
          <cell r="K1450" t="str">
            <v>491-03237</v>
          </cell>
          <cell r="L1450" t="str">
            <v>266</v>
          </cell>
          <cell r="M1450" t="str">
            <v/>
          </cell>
          <cell r="N1450" t="str">
            <v>96</v>
          </cell>
        </row>
        <row r="1451">
          <cell r="A1451" t="str">
            <v>STACJA ROBOCZA</v>
          </cell>
          <cell r="B1451" t="str">
            <v>KOMPUTER PC/AT</v>
          </cell>
          <cell r="C1451" t="str">
            <v>491-1718</v>
          </cell>
          <cell r="D1451" t="str">
            <v/>
          </cell>
          <cell r="E1451" t="str">
            <v xml:space="preserve">ZM </v>
          </cell>
          <cell r="F1451" t="str">
            <v xml:space="preserve">GOLA                     WŁADYSŁAW      </v>
          </cell>
          <cell r="G1451" t="str">
            <v>MAG.015</v>
          </cell>
          <cell r="H1451" t="str">
            <v>MAG.015</v>
          </cell>
          <cell r="I1451" t="str">
            <v>25-48</v>
          </cell>
          <cell r="J1451" t="str">
            <v>256</v>
          </cell>
          <cell r="K1451" t="str">
            <v>491-01718</v>
          </cell>
          <cell r="L1451" t="str">
            <v>366</v>
          </cell>
          <cell r="M1451" t="str">
            <v/>
          </cell>
          <cell r="N1451" t="str">
            <v>192</v>
          </cell>
        </row>
        <row r="1452">
          <cell r="A1452" t="str">
            <v>STACJA ROBOCZA</v>
          </cell>
          <cell r="B1452" t="str">
            <v>DELL Optiplex GX260 SD</v>
          </cell>
          <cell r="C1452" t="str">
            <v>491-5095</v>
          </cell>
          <cell r="D1452" t="str">
            <v>DJYGL0J</v>
          </cell>
          <cell r="E1452" t="str">
            <v xml:space="preserve">ZP </v>
          </cell>
          <cell r="F1452" t="str">
            <v xml:space="preserve">KOSTRZEWA                SABINA         </v>
          </cell>
          <cell r="G1452" t="str">
            <v>U-3</v>
          </cell>
          <cell r="H1452" t="str">
            <v>320</v>
          </cell>
          <cell r="I1452" t="str">
            <v/>
          </cell>
          <cell r="J1452" t="str">
            <v>429</v>
          </cell>
          <cell r="K1452" t="str">
            <v>491-05095</v>
          </cell>
          <cell r="L1452" t="str">
            <v>2400</v>
          </cell>
          <cell r="M1452" t="str">
            <v/>
          </cell>
          <cell r="N1452" t="str">
            <v>254</v>
          </cell>
        </row>
        <row r="1453">
          <cell r="A1453" t="str">
            <v>STACJA ROBOCZA</v>
          </cell>
          <cell r="B1453" t="str">
            <v>DELL Optiplex GX1L 350</v>
          </cell>
          <cell r="C1453" t="str">
            <v>491-3587</v>
          </cell>
          <cell r="D1453" t="str">
            <v>PKGYX</v>
          </cell>
          <cell r="E1453" t="str">
            <v>ZRE</v>
          </cell>
          <cell r="F1453" t="str">
            <v xml:space="preserve">SZCZĘSNY                 ROMAN          </v>
          </cell>
          <cell r="G1453" t="str">
            <v>U-2</v>
          </cell>
          <cell r="H1453" t="str">
            <v>108</v>
          </cell>
          <cell r="I1453" t="str">
            <v>16-00</v>
          </cell>
          <cell r="J1453" t="str">
            <v>873</v>
          </cell>
          <cell r="K1453" t="str">
            <v>491-03587</v>
          </cell>
          <cell r="L1453" t="str">
            <v>350</v>
          </cell>
          <cell r="M1453" t="str">
            <v>OK55J</v>
          </cell>
          <cell r="N1453" t="str">
            <v>64</v>
          </cell>
        </row>
        <row r="1454">
          <cell r="A1454" t="str">
            <v>STACJA ROBOCZA</v>
          </cell>
          <cell r="B1454" t="str">
            <v>DELL Optiplex GX150</v>
          </cell>
          <cell r="C1454" t="str">
            <v>491-4761</v>
          </cell>
          <cell r="D1454" t="str">
            <v>39RX60J</v>
          </cell>
          <cell r="E1454" t="str">
            <v>ZRE</v>
          </cell>
          <cell r="F1454" t="str">
            <v xml:space="preserve">SUDER                    MARIA          </v>
          </cell>
          <cell r="G1454" t="str">
            <v>U-50</v>
          </cell>
          <cell r="H1454" t="str">
            <v>105</v>
          </cell>
          <cell r="I1454" t="str">
            <v>16-00</v>
          </cell>
          <cell r="J1454" t="str">
            <v>8213</v>
          </cell>
          <cell r="K1454" t="str">
            <v>491-04761</v>
          </cell>
          <cell r="L1454" t="str">
            <v>1000</v>
          </cell>
          <cell r="M1454" t="str">
            <v/>
          </cell>
          <cell r="N1454" t="str">
            <v>255</v>
          </cell>
        </row>
        <row r="1455">
          <cell r="A1455" t="str">
            <v>STACJA ROBOCZA</v>
          </cell>
          <cell r="B1455" t="str">
            <v>NEC PowerMate VT P III 550</v>
          </cell>
          <cell r="C1455" t="str">
            <v>491-4155</v>
          </cell>
          <cell r="D1455" t="str">
            <v>1172040</v>
          </cell>
          <cell r="E1455" t="str">
            <v xml:space="preserve">ZT </v>
          </cell>
          <cell r="F1455" t="str">
            <v xml:space="preserve">MIKULSKA                 MARZENA        </v>
          </cell>
          <cell r="G1455" t="str">
            <v>Transport</v>
          </cell>
          <cell r="H1455" t="str">
            <v>2</v>
          </cell>
          <cell r="I1455" t="str">
            <v/>
          </cell>
          <cell r="J1455" t="str">
            <v>8202</v>
          </cell>
          <cell r="K1455" t="str">
            <v>491-04155</v>
          </cell>
          <cell r="L1455" t="str">
            <v>550</v>
          </cell>
          <cell r="M1455" t="str">
            <v/>
          </cell>
          <cell r="N1455" t="str">
            <v/>
          </cell>
        </row>
        <row r="1456">
          <cell r="A1456" t="str">
            <v>STACJA ROBOCZA</v>
          </cell>
          <cell r="B1456" t="str">
            <v>COMPAQ DESKPRO EXD PIII 733</v>
          </cell>
          <cell r="C1456" t="str">
            <v>491-4473</v>
          </cell>
          <cell r="D1456" t="str">
            <v>8036FR4ZE282</v>
          </cell>
          <cell r="E1456" t="str">
            <v xml:space="preserve">ZT </v>
          </cell>
          <cell r="F1456" t="str">
            <v xml:space="preserve">MOTYLSKA                 MARIA          </v>
          </cell>
          <cell r="G1456" t="str">
            <v>Transport</v>
          </cell>
          <cell r="H1456" t="str">
            <v>4</v>
          </cell>
          <cell r="I1456" t="str">
            <v>17-49</v>
          </cell>
          <cell r="J1456" t="str">
            <v>2625</v>
          </cell>
          <cell r="K1456" t="str">
            <v>491-04473</v>
          </cell>
          <cell r="L1456" t="str">
            <v>733</v>
          </cell>
          <cell r="M1456" t="str">
            <v>OK.</v>
          </cell>
          <cell r="N1456" t="str">
            <v/>
          </cell>
        </row>
        <row r="1457">
          <cell r="A1457" t="str">
            <v>STACJA ROBOCZA</v>
          </cell>
          <cell r="B1457" t="str">
            <v>COMPAQ DESKPRO EXD PIII 733</v>
          </cell>
          <cell r="C1457" t="str">
            <v>491-4271</v>
          </cell>
          <cell r="D1457" t="str">
            <v>8036FR4ZE527</v>
          </cell>
          <cell r="E1457" t="str">
            <v xml:space="preserve">ZT </v>
          </cell>
          <cell r="F1457" t="str">
            <v xml:space="preserve">CHOJNACKI                IRENEUSZ       </v>
          </cell>
          <cell r="G1457" t="str">
            <v>Transport</v>
          </cell>
          <cell r="H1457" t="str">
            <v>16</v>
          </cell>
          <cell r="I1457" t="str">
            <v>17-49</v>
          </cell>
          <cell r="J1457" t="str">
            <v>108</v>
          </cell>
          <cell r="K1457" t="str">
            <v>491-04271</v>
          </cell>
          <cell r="L1457" t="str">
            <v>733</v>
          </cell>
          <cell r="M1457" t="str">
            <v>OK.</v>
          </cell>
          <cell r="N1457" t="str">
            <v/>
          </cell>
        </row>
        <row r="1458">
          <cell r="A1458" t="str">
            <v>STACJA ROBOCZA</v>
          </cell>
          <cell r="B1458" t="str">
            <v>NEC PowerMate VT P III 550</v>
          </cell>
          <cell r="C1458" t="str">
            <v>491-4158</v>
          </cell>
          <cell r="D1458" t="str">
            <v>1161040</v>
          </cell>
          <cell r="E1458" t="str">
            <v xml:space="preserve">ZT </v>
          </cell>
          <cell r="F1458" t="str">
            <v xml:space="preserve">MARIAN                   ZBIGNIEW       </v>
          </cell>
          <cell r="G1458" t="str">
            <v>Transport</v>
          </cell>
          <cell r="H1458" t="str">
            <v>WARSZTAT</v>
          </cell>
          <cell r="I1458" t="str">
            <v/>
          </cell>
          <cell r="J1458" t="str">
            <v>565</v>
          </cell>
          <cell r="K1458" t="str">
            <v>491-04158</v>
          </cell>
          <cell r="L1458" t="str">
            <v>550</v>
          </cell>
          <cell r="M1458" t="str">
            <v>OK.</v>
          </cell>
          <cell r="N1458" t="str">
            <v>64</v>
          </cell>
        </row>
        <row r="1459">
          <cell r="A1459" t="str">
            <v>STACJA ROBOCZA</v>
          </cell>
          <cell r="B1459" t="str">
            <v>NEC PowerMate VT P III 550</v>
          </cell>
          <cell r="C1459" t="str">
            <v>491-4153</v>
          </cell>
          <cell r="D1459" t="str">
            <v>1154040</v>
          </cell>
          <cell r="E1459" t="str">
            <v xml:space="preserve">ZT </v>
          </cell>
          <cell r="F1459" t="str">
            <v xml:space="preserve">PYTKA                    DARIUSZ        </v>
          </cell>
          <cell r="G1459" t="str">
            <v>Transport</v>
          </cell>
          <cell r="H1459" t="str">
            <v>WARSZTAT</v>
          </cell>
          <cell r="I1459" t="str">
            <v/>
          </cell>
          <cell r="J1459" t="str">
            <v>1823</v>
          </cell>
          <cell r="K1459" t="str">
            <v>491-4153</v>
          </cell>
          <cell r="L1459" t="str">
            <v>550</v>
          </cell>
          <cell r="M1459" t="str">
            <v>OK56J</v>
          </cell>
          <cell r="N1459" t="str">
            <v/>
          </cell>
        </row>
        <row r="1460">
          <cell r="A1460" t="str">
            <v>STACJA ROBOCZA</v>
          </cell>
          <cell r="B1460" t="str">
            <v>DELL Optiplex GX1L 266</v>
          </cell>
          <cell r="C1460" t="str">
            <v>491-3276</v>
          </cell>
          <cell r="D1460" t="str">
            <v>NM195</v>
          </cell>
          <cell r="E1460" t="str">
            <v xml:space="preserve">ZT </v>
          </cell>
          <cell r="F1460" t="str">
            <v xml:space="preserve">TYKA                     WŁADYSŁAW      </v>
          </cell>
          <cell r="G1460" t="str">
            <v>T-1</v>
          </cell>
          <cell r="H1460" t="str">
            <v>T1</v>
          </cell>
          <cell r="I1460" t="str">
            <v/>
          </cell>
          <cell r="J1460" t="str">
            <v>2045</v>
          </cell>
          <cell r="K1460" t="str">
            <v>491-03276</v>
          </cell>
          <cell r="L1460" t="str">
            <v>266</v>
          </cell>
          <cell r="M1460" t="str">
            <v/>
          </cell>
          <cell r="N1460" t="str">
            <v>96</v>
          </cell>
        </row>
        <row r="1461">
          <cell r="A1461" t="str">
            <v>STACJA ROBOCZA</v>
          </cell>
          <cell r="B1461" t="str">
            <v>NEC PowerMate VT P III 550</v>
          </cell>
          <cell r="C1461" t="str">
            <v>491-4156</v>
          </cell>
          <cell r="D1461" t="str">
            <v>1138040</v>
          </cell>
          <cell r="E1461" t="str">
            <v xml:space="preserve">ZT </v>
          </cell>
          <cell r="F1461" t="str">
            <v xml:space="preserve">MOLIŃSKA                 DOROTA         </v>
          </cell>
          <cell r="G1461" t="str">
            <v>Transport</v>
          </cell>
          <cell r="H1461" t="str">
            <v>WARSZTAT</v>
          </cell>
          <cell r="I1461" t="str">
            <v>17-62</v>
          </cell>
          <cell r="J1461" t="str">
            <v>8214</v>
          </cell>
          <cell r="K1461" t="str">
            <v>491-04156</v>
          </cell>
          <cell r="L1461" t="str">
            <v>550</v>
          </cell>
          <cell r="M1461" t="str">
            <v>OK.</v>
          </cell>
          <cell r="N1461" t="str">
            <v/>
          </cell>
        </row>
        <row r="1462">
          <cell r="A1462" t="str">
            <v>STACJA ROBOCZA</v>
          </cell>
          <cell r="B1462" t="str">
            <v>DELL Optiplex GX150</v>
          </cell>
          <cell r="C1462" t="str">
            <v>491-4765</v>
          </cell>
          <cell r="D1462" t="str">
            <v>BLVX60J</v>
          </cell>
          <cell r="E1462" t="str">
            <v xml:space="preserve">ZT </v>
          </cell>
          <cell r="F1462" t="str">
            <v xml:space="preserve">WOŹNIAK                  ROMAN          </v>
          </cell>
          <cell r="G1462" t="str">
            <v>Transport</v>
          </cell>
          <cell r="H1462" t="str">
            <v>5</v>
          </cell>
          <cell r="I1462" t="str">
            <v>17-66</v>
          </cell>
          <cell r="J1462" t="str">
            <v>1055</v>
          </cell>
          <cell r="K1462" t="str">
            <v>ZT_ROMANW</v>
          </cell>
          <cell r="L1462" t="str">
            <v>1000</v>
          </cell>
          <cell r="M1462" t="str">
            <v>OK.</v>
          </cell>
          <cell r="N1462" t="str">
            <v/>
          </cell>
        </row>
        <row r="1463">
          <cell r="A1463" t="str">
            <v>STACJA ROBOCZA</v>
          </cell>
          <cell r="B1463" t="str">
            <v>DELL Optiplex GX150</v>
          </cell>
          <cell r="C1463" t="str">
            <v>491-4766</v>
          </cell>
          <cell r="D1463" t="str">
            <v>8KVX60J</v>
          </cell>
          <cell r="E1463" t="str">
            <v xml:space="preserve">ZT </v>
          </cell>
          <cell r="F1463" t="str">
            <v xml:space="preserve">PATRZYKĄT                REMIGIUSZ      </v>
          </cell>
          <cell r="G1463" t="str">
            <v>Transport</v>
          </cell>
          <cell r="H1463" t="str">
            <v>5</v>
          </cell>
          <cell r="I1463" t="str">
            <v>16-06</v>
          </cell>
          <cell r="J1463" t="str">
            <v>733</v>
          </cell>
          <cell r="K1463" t="str">
            <v>491-04766</v>
          </cell>
          <cell r="L1463" t="str">
            <v>1000</v>
          </cell>
          <cell r="M1463" t="str">
            <v>OK.</v>
          </cell>
          <cell r="N1463" t="str">
            <v/>
          </cell>
        </row>
        <row r="1464">
          <cell r="A1464" t="str">
            <v>STACJA ROBOCZA</v>
          </cell>
          <cell r="B1464" t="str">
            <v>NEC PowerMate VT Destop P III 450</v>
          </cell>
          <cell r="C1464" t="str">
            <v>491-3926</v>
          </cell>
          <cell r="D1464" t="str">
            <v>0303109</v>
          </cell>
          <cell r="E1464" t="str">
            <v xml:space="preserve">ZT </v>
          </cell>
          <cell r="F1464" t="str">
            <v xml:space="preserve">KRZYSZTOFIK              TERESA         </v>
          </cell>
          <cell r="G1464" t="str">
            <v>Transport</v>
          </cell>
          <cell r="H1464" t="str">
            <v>15</v>
          </cell>
          <cell r="I1464" t="str">
            <v/>
          </cell>
          <cell r="J1464" t="str">
            <v>2593</v>
          </cell>
          <cell r="K1464" t="str">
            <v>491-03926</v>
          </cell>
          <cell r="L1464" t="str">
            <v>450</v>
          </cell>
          <cell r="M1464" t="str">
            <v>OK56J</v>
          </cell>
          <cell r="N1464" t="str">
            <v/>
          </cell>
        </row>
        <row r="1465">
          <cell r="A1465" t="str">
            <v>STACJA ROBOCZA</v>
          </cell>
          <cell r="B1465" t="str">
            <v>NEC PowerMate VT Destop P III 450</v>
          </cell>
          <cell r="C1465" t="str">
            <v>491-3891</v>
          </cell>
          <cell r="D1465" t="str">
            <v>0249109</v>
          </cell>
          <cell r="E1465" t="str">
            <v xml:space="preserve">ZT </v>
          </cell>
          <cell r="F1465" t="str">
            <v xml:space="preserve">PATRZYKĄT                WIESŁAWA       </v>
          </cell>
          <cell r="G1465" t="str">
            <v>Transport</v>
          </cell>
          <cell r="H1465" t="str">
            <v>2</v>
          </cell>
          <cell r="I1465" t="str">
            <v/>
          </cell>
          <cell r="J1465" t="str">
            <v>758</v>
          </cell>
          <cell r="K1465" t="str">
            <v>491-03891</v>
          </cell>
          <cell r="L1465" t="str">
            <v>450</v>
          </cell>
          <cell r="M1465" t="str">
            <v>OK56J</v>
          </cell>
          <cell r="N1465" t="str">
            <v/>
          </cell>
        </row>
        <row r="1466">
          <cell r="A1466" t="str">
            <v>STACJA ROBOCZA</v>
          </cell>
          <cell r="B1466" t="str">
            <v>NEC PowerMate VT Destop P III 450</v>
          </cell>
          <cell r="C1466" t="str">
            <v>491-3902</v>
          </cell>
          <cell r="D1466" t="str">
            <v>0252109</v>
          </cell>
          <cell r="E1466" t="str">
            <v xml:space="preserve">ZT </v>
          </cell>
          <cell r="F1466" t="str">
            <v xml:space="preserve">KUCZYŃSKA                ALICJA         </v>
          </cell>
          <cell r="G1466" t="str">
            <v>Transport</v>
          </cell>
          <cell r="H1466" t="str">
            <v>15</v>
          </cell>
          <cell r="I1466" t="str">
            <v/>
          </cell>
          <cell r="J1466" t="str">
            <v>465</v>
          </cell>
          <cell r="K1466" t="str">
            <v>491-03902</v>
          </cell>
          <cell r="L1466" t="str">
            <v>450</v>
          </cell>
          <cell r="M1466" t="str">
            <v>OK56J</v>
          </cell>
          <cell r="N1466" t="str">
            <v/>
          </cell>
        </row>
        <row r="1467">
          <cell r="A1467" t="str">
            <v>STACJA ROBOCZA</v>
          </cell>
          <cell r="B1467" t="str">
            <v>DELL Optiplex GX1L 266</v>
          </cell>
          <cell r="C1467" t="str">
            <v>491-3242</v>
          </cell>
          <cell r="D1467" t="str">
            <v>NM19Q</v>
          </cell>
          <cell r="E1467" t="str">
            <v xml:space="preserve">ZT </v>
          </cell>
          <cell r="F1467" t="str">
            <v xml:space="preserve">WOJEWODA                 MIECZYSŁAW     </v>
          </cell>
          <cell r="G1467" t="str">
            <v>Transport</v>
          </cell>
          <cell r="H1467" t="str">
            <v>WARSZTAT</v>
          </cell>
          <cell r="I1467" t="str">
            <v/>
          </cell>
          <cell r="J1467" t="str">
            <v>1248</v>
          </cell>
          <cell r="K1467" t="str">
            <v>491-03242</v>
          </cell>
          <cell r="L1467" t="str">
            <v>266</v>
          </cell>
          <cell r="M1467" t="str">
            <v>OK56J</v>
          </cell>
          <cell r="N1467" t="str">
            <v/>
          </cell>
        </row>
        <row r="1468">
          <cell r="A1468" t="str">
            <v>STACJA ROBOCZA</v>
          </cell>
          <cell r="B1468" t="str">
            <v>NEC PowerMate VT P III 550</v>
          </cell>
          <cell r="C1468" t="str">
            <v>491-4160</v>
          </cell>
          <cell r="D1468" t="str">
            <v>1158040</v>
          </cell>
          <cell r="E1468" t="str">
            <v xml:space="preserve">ZT </v>
          </cell>
          <cell r="F1468" t="str">
            <v xml:space="preserve">WOŹNIAK                  ROMAN          </v>
          </cell>
          <cell r="G1468" t="str">
            <v>Transport</v>
          </cell>
          <cell r="H1468" t="str">
            <v>5</v>
          </cell>
          <cell r="I1468" t="str">
            <v>17-66</v>
          </cell>
          <cell r="J1468" t="str">
            <v>1055</v>
          </cell>
          <cell r="K1468" t="str">
            <v>ZT-ROMANW</v>
          </cell>
          <cell r="L1468" t="str">
            <v>550</v>
          </cell>
          <cell r="M1468" t="str">
            <v>OK.</v>
          </cell>
          <cell r="N1468" t="str">
            <v/>
          </cell>
        </row>
        <row r="1469">
          <cell r="A1469" t="str">
            <v>STACJA ROBOCZA</v>
          </cell>
          <cell r="B1469" t="str">
            <v>COMPAQ DESKPRO EXD PIII 733</v>
          </cell>
          <cell r="C1469" t="str">
            <v>491-4458</v>
          </cell>
          <cell r="D1469" t="str">
            <v>8036FR4ZE544</v>
          </cell>
          <cell r="E1469" t="str">
            <v xml:space="preserve">ZT </v>
          </cell>
          <cell r="F1469" t="str">
            <v xml:space="preserve">MIKULSKA                 MARZENA        </v>
          </cell>
          <cell r="G1469" t="str">
            <v>Transport</v>
          </cell>
          <cell r="H1469" t="str">
            <v>2</v>
          </cell>
          <cell r="I1469" t="str">
            <v/>
          </cell>
          <cell r="J1469" t="str">
            <v>8202</v>
          </cell>
          <cell r="K1469" t="str">
            <v>491-04458</v>
          </cell>
          <cell r="L1469" t="str">
            <v>733</v>
          </cell>
          <cell r="M1469" t="str">
            <v>OK.</v>
          </cell>
          <cell r="N1469" t="str">
            <v/>
          </cell>
        </row>
        <row r="1470">
          <cell r="A1470" t="str">
            <v>STACJA ROBOCZA</v>
          </cell>
          <cell r="B1470" t="str">
            <v>DELL Optiplex GX260 SD</v>
          </cell>
          <cell r="C1470" t="str">
            <v>491-5081</v>
          </cell>
          <cell r="D1470" t="str">
            <v>JK2GL0J</v>
          </cell>
          <cell r="E1470" t="str">
            <v xml:space="preserve">ZT </v>
          </cell>
          <cell r="F1470" t="str">
            <v xml:space="preserve">ZALEWSKI                 RYSZARD        </v>
          </cell>
          <cell r="G1470" t="str">
            <v>Transport</v>
          </cell>
          <cell r="H1470" t="str">
            <v>21</v>
          </cell>
          <cell r="I1470" t="str">
            <v>17-38</v>
          </cell>
          <cell r="J1470" t="str">
            <v>1701</v>
          </cell>
          <cell r="K1470" t="str">
            <v>491-5081</v>
          </cell>
          <cell r="L1470" t="str">
            <v>2400</v>
          </cell>
          <cell r="M1470" t="str">
            <v>OK.</v>
          </cell>
          <cell r="N1470" t="str">
            <v/>
          </cell>
        </row>
        <row r="1471">
          <cell r="A1471" t="str">
            <v>STACJA ROBOCZA</v>
          </cell>
          <cell r="B1471" t="str">
            <v>ZENITH Z STATION P166</v>
          </cell>
          <cell r="C1471" t="str">
            <v>491-3021</v>
          </cell>
          <cell r="D1471" t="str">
            <v>GVDD72904588</v>
          </cell>
          <cell r="E1471" t="str">
            <v xml:space="preserve">ZT </v>
          </cell>
          <cell r="F1471" t="str">
            <v xml:space="preserve">HERUDZIŃSKI              TADEUSZ        </v>
          </cell>
          <cell r="G1471" t="str">
            <v>Transport</v>
          </cell>
          <cell r="H1471" t="str">
            <v>NARZĘDZIOWNIA</v>
          </cell>
          <cell r="I1471" t="str">
            <v>17-22</v>
          </cell>
          <cell r="J1471" t="str">
            <v>1975</v>
          </cell>
          <cell r="K1471" t="str">
            <v/>
          </cell>
          <cell r="L1471" t="str">
            <v>166</v>
          </cell>
          <cell r="M1471" t="str">
            <v/>
          </cell>
          <cell r="N1471" t="str">
            <v/>
          </cell>
        </row>
        <row r="1472">
          <cell r="A1472" t="str">
            <v>STACJA ROBOCZA</v>
          </cell>
          <cell r="B1472" t="str">
            <v>DELL Optiplex GX1L 266</v>
          </cell>
          <cell r="C1472" t="str">
            <v>491-3404</v>
          </cell>
          <cell r="D1472" t="str">
            <v>NM1FW</v>
          </cell>
          <cell r="E1472" t="str">
            <v xml:space="preserve">ZT </v>
          </cell>
          <cell r="F1472" t="str">
            <v xml:space="preserve">GAZDA                    RYSZARD        </v>
          </cell>
          <cell r="G1472" t="str">
            <v>Transport</v>
          </cell>
          <cell r="H1472" t="str">
            <v>WARSZTAT</v>
          </cell>
          <cell r="I1472" t="str">
            <v/>
          </cell>
          <cell r="J1472" t="str">
            <v>2976</v>
          </cell>
          <cell r="K1472" t="str">
            <v>491-03404</v>
          </cell>
          <cell r="L1472" t="str">
            <v>266</v>
          </cell>
          <cell r="M1472" t="str">
            <v>OK56J</v>
          </cell>
          <cell r="N1472" t="str">
            <v/>
          </cell>
        </row>
        <row r="1473">
          <cell r="A1473" t="str">
            <v>STACJA ROBOCZA</v>
          </cell>
          <cell r="B1473" t="str">
            <v>DELL Optiplex GX150</v>
          </cell>
          <cell r="C1473" t="str">
            <v>491-4767</v>
          </cell>
          <cell r="D1473" t="str">
            <v>31WX60J</v>
          </cell>
          <cell r="E1473" t="str">
            <v xml:space="preserve">ZT </v>
          </cell>
          <cell r="F1473" t="str">
            <v xml:space="preserve">WULCZYŃSKI               STANISŁAW      </v>
          </cell>
          <cell r="G1473" t="str">
            <v>Transport</v>
          </cell>
          <cell r="H1473" t="str">
            <v>WARSZTAT</v>
          </cell>
          <cell r="I1473" t="str">
            <v>17-55</v>
          </cell>
          <cell r="J1473" t="str">
            <v>1059</v>
          </cell>
          <cell r="K1473" t="str">
            <v>ZT-STANISLAWW</v>
          </cell>
          <cell r="L1473" t="str">
            <v>1000</v>
          </cell>
          <cell r="M1473" t="str">
            <v/>
          </cell>
          <cell r="N1473" t="str">
            <v/>
          </cell>
        </row>
        <row r="1474">
          <cell r="A1474" t="str">
            <v>STACJA ROBOCZA</v>
          </cell>
          <cell r="B1474" t="str">
            <v>COMPAQ DESKPRO EXD PIII 733</v>
          </cell>
          <cell r="C1474" t="str">
            <v>491-4486</v>
          </cell>
          <cell r="D1474" t="str">
            <v>8036FR4ZE291</v>
          </cell>
          <cell r="E1474" t="str">
            <v xml:space="preserve">ZT </v>
          </cell>
          <cell r="F1474" t="str">
            <v xml:space="preserve">JANKOWSKI                KRZYSZTOF      </v>
          </cell>
          <cell r="G1474" t="str">
            <v>Transport</v>
          </cell>
          <cell r="H1474" t="str">
            <v>WARSZTAT</v>
          </cell>
          <cell r="I1474" t="str">
            <v/>
          </cell>
          <cell r="J1474" t="str">
            <v>1651</v>
          </cell>
          <cell r="K1474" t="str">
            <v>491-04486</v>
          </cell>
          <cell r="L1474" t="str">
            <v>733</v>
          </cell>
          <cell r="M1474" t="str">
            <v/>
          </cell>
          <cell r="N1474" t="str">
            <v/>
          </cell>
        </row>
        <row r="1475">
          <cell r="A1475" t="str">
            <v>STACJA ROBOCZA</v>
          </cell>
          <cell r="B1475" t="str">
            <v>DELL Optiplex GX150</v>
          </cell>
          <cell r="C1475" t="str">
            <v>491-4762</v>
          </cell>
          <cell r="D1475" t="str">
            <v>2MVX60J</v>
          </cell>
          <cell r="E1475" t="str">
            <v xml:space="preserve">ZT </v>
          </cell>
          <cell r="F1475" t="str">
            <v xml:space="preserve">DRZEWOSZ                 STANISŁAW      </v>
          </cell>
          <cell r="G1475" t="str">
            <v>Transport</v>
          </cell>
          <cell r="H1475" t="str">
            <v>5</v>
          </cell>
          <cell r="I1475" t="str">
            <v>17-60</v>
          </cell>
          <cell r="J1475" t="str">
            <v>163</v>
          </cell>
          <cell r="K1475" t="str">
            <v>491-04762</v>
          </cell>
          <cell r="L1475" t="str">
            <v>1000</v>
          </cell>
          <cell r="M1475" t="str">
            <v>OK.</v>
          </cell>
          <cell r="N1475" t="str">
            <v/>
          </cell>
        </row>
        <row r="1476">
          <cell r="A1476" t="str">
            <v>STACJA ROBOCZA</v>
          </cell>
          <cell r="B1476" t="str">
            <v>NEC PowerMate VT Destop P III 450</v>
          </cell>
          <cell r="C1476" t="str">
            <v>491-3888</v>
          </cell>
          <cell r="D1476" t="str">
            <v>0250109</v>
          </cell>
          <cell r="E1476" t="str">
            <v>ZT3</v>
          </cell>
          <cell r="F1476" t="str">
            <v xml:space="preserve">FRĄCKOWIAK               JOLANTA        </v>
          </cell>
          <cell r="G1476" t="str">
            <v>Transport</v>
          </cell>
          <cell r="H1476" t="str">
            <v>KASA</v>
          </cell>
          <cell r="I1476" t="str">
            <v>17-48</v>
          </cell>
          <cell r="J1476" t="str">
            <v>203</v>
          </cell>
          <cell r="K1476" t="str">
            <v>491-03888</v>
          </cell>
          <cell r="L1476" t="str">
            <v>450</v>
          </cell>
          <cell r="M1476" t="str">
            <v>OK56J</v>
          </cell>
          <cell r="N1476" t="str">
            <v/>
          </cell>
        </row>
        <row r="1477">
          <cell r="A1477" t="str">
            <v>STACJA ROBOCZA</v>
          </cell>
          <cell r="B1477" t="str">
            <v>DELL Optiplex GX150</v>
          </cell>
          <cell r="C1477" t="str">
            <v>491-4764</v>
          </cell>
          <cell r="D1477" t="str">
            <v>CWLZ60J</v>
          </cell>
          <cell r="E1477" t="str">
            <v>ZT3</v>
          </cell>
          <cell r="F1477" t="str">
            <v xml:space="preserve">KOWALCZYK                JOLANTA        </v>
          </cell>
          <cell r="G1477" t="str">
            <v>Transport</v>
          </cell>
          <cell r="H1477" t="str">
            <v>5</v>
          </cell>
          <cell r="I1477" t="str">
            <v>34-83</v>
          </cell>
          <cell r="J1477" t="str">
            <v>388</v>
          </cell>
          <cell r="K1477" t="str">
            <v>491-04764</v>
          </cell>
          <cell r="L1477" t="str">
            <v>1000</v>
          </cell>
          <cell r="M1477" t="str">
            <v>OK.</v>
          </cell>
          <cell r="N1477" t="str">
            <v/>
          </cell>
        </row>
        <row r="1478">
          <cell r="A1478" t="str">
            <v>STACJA ROBOCZA</v>
          </cell>
          <cell r="B1478" t="str">
            <v>NEC PowerMate VT Destop P III 450</v>
          </cell>
          <cell r="C1478" t="str">
            <v>491-3901</v>
          </cell>
          <cell r="D1478" t="str">
            <v>0256109</v>
          </cell>
          <cell r="E1478" t="str">
            <v>ZT3</v>
          </cell>
          <cell r="F1478" t="str">
            <v xml:space="preserve">SZCZEPAŃSKA              JOLANTA        </v>
          </cell>
          <cell r="G1478" t="str">
            <v>Transport</v>
          </cell>
          <cell r="H1478" t="str">
            <v>3</v>
          </cell>
          <cell r="I1478" t="str">
            <v/>
          </cell>
          <cell r="J1478" t="str">
            <v>916</v>
          </cell>
          <cell r="K1478" t="str">
            <v>491-03901</v>
          </cell>
          <cell r="L1478" t="str">
            <v>450</v>
          </cell>
          <cell r="M1478" t="str">
            <v>OK56J</v>
          </cell>
          <cell r="N1478" t="str">
            <v/>
          </cell>
        </row>
        <row r="1479">
          <cell r="A1479" t="str">
            <v>STACJA ROBOCZA</v>
          </cell>
          <cell r="B1479" t="str">
            <v>DELL Optiplex GX1L 350</v>
          </cell>
          <cell r="C1479" t="str">
            <v>491-3538</v>
          </cell>
          <cell r="D1479" t="str">
            <v>PDZBY</v>
          </cell>
          <cell r="E1479" t="str">
            <v>ZT3</v>
          </cell>
          <cell r="F1479" t="str">
            <v xml:space="preserve">KOWALCZYK                JOLANTA        </v>
          </cell>
          <cell r="G1479" t="str">
            <v>Transport</v>
          </cell>
          <cell r="H1479" t="str">
            <v>5</v>
          </cell>
          <cell r="I1479" t="str">
            <v>34-83</v>
          </cell>
          <cell r="J1479" t="str">
            <v>388</v>
          </cell>
          <cell r="K1479" t="str">
            <v/>
          </cell>
          <cell r="L1479" t="str">
            <v>350</v>
          </cell>
          <cell r="M1479" t="str">
            <v>NIE PRACUJE</v>
          </cell>
          <cell r="N1479" t="str">
            <v/>
          </cell>
        </row>
        <row r="1480">
          <cell r="A1480" t="str">
            <v>STACJA ROBOCZA</v>
          </cell>
          <cell r="B1480" t="str">
            <v>IVERSON 486</v>
          </cell>
          <cell r="C1480" t="str">
            <v>491-1933</v>
          </cell>
          <cell r="D1480" t="str">
            <v>P1192-1346-001</v>
          </cell>
          <cell r="E1480" t="str">
            <v>ZT3</v>
          </cell>
          <cell r="F1480" t="str">
            <v xml:space="preserve">KOWALCZYK                JOLANTA        </v>
          </cell>
          <cell r="G1480" t="str">
            <v>Transport</v>
          </cell>
          <cell r="H1480" t="str">
            <v>5</v>
          </cell>
          <cell r="I1480" t="str">
            <v>34-83</v>
          </cell>
          <cell r="J1480" t="str">
            <v>388</v>
          </cell>
          <cell r="K1480" t="str">
            <v/>
          </cell>
          <cell r="L1480" t="str">
            <v>0</v>
          </cell>
          <cell r="M1480" t="str">
            <v>SERVER</v>
          </cell>
          <cell r="N1480" t="str">
            <v/>
          </cell>
        </row>
        <row r="1481">
          <cell r="A1481" t="str">
            <v>STACJA ROBOCZA</v>
          </cell>
          <cell r="B1481" t="str">
            <v>COMPAQ DESKPRO EXD PIII 733</v>
          </cell>
          <cell r="C1481" t="str">
            <v>491-4492</v>
          </cell>
          <cell r="D1481" t="str">
            <v>8036FR4ZE257</v>
          </cell>
          <cell r="E1481" t="str">
            <v>ZT3</v>
          </cell>
          <cell r="F1481" t="str">
            <v xml:space="preserve">ŁĄCKA                    STANISŁAWA     </v>
          </cell>
          <cell r="G1481" t="str">
            <v>Transport</v>
          </cell>
          <cell r="H1481" t="str">
            <v>5</v>
          </cell>
          <cell r="I1481" t="str">
            <v>17-49</v>
          </cell>
          <cell r="J1481" t="str">
            <v>535</v>
          </cell>
          <cell r="K1481" t="str">
            <v>491-04492</v>
          </cell>
          <cell r="L1481" t="str">
            <v>733</v>
          </cell>
          <cell r="M1481" t="str">
            <v>OK.</v>
          </cell>
          <cell r="N1481" t="str">
            <v>127</v>
          </cell>
        </row>
        <row r="1482">
          <cell r="A1482" t="str">
            <v>STACJA ROBOCZA</v>
          </cell>
          <cell r="B1482" t="str">
            <v>COMPAQ DESKPRO EXD PIII 733</v>
          </cell>
          <cell r="C1482" t="str">
            <v>491-4381</v>
          </cell>
          <cell r="D1482" t="str">
            <v>8036FR4ZE513</v>
          </cell>
          <cell r="E1482" t="str">
            <v>ZT3</v>
          </cell>
          <cell r="F1482" t="str">
            <v xml:space="preserve">ŁASZEK                   JOLANTA        </v>
          </cell>
          <cell r="G1482" t="str">
            <v>Transport</v>
          </cell>
          <cell r="H1482" t="str">
            <v>3</v>
          </cell>
          <cell r="I1482" t="str">
            <v>17-51</v>
          </cell>
          <cell r="J1482" t="str">
            <v>1145</v>
          </cell>
          <cell r="K1482" t="str">
            <v>491-04381</v>
          </cell>
          <cell r="L1482" t="str">
            <v>733</v>
          </cell>
          <cell r="M1482" t="str">
            <v>OK.</v>
          </cell>
          <cell r="N1482" t="str">
            <v/>
          </cell>
        </row>
        <row r="1483">
          <cell r="A1483" t="str">
            <v>STACJA ROBOCZA</v>
          </cell>
          <cell r="B1483" t="str">
            <v>COMPAQ DESKPRO EXD PIII 733</v>
          </cell>
          <cell r="C1483" t="str">
            <v>491-4433</v>
          </cell>
          <cell r="D1483" t="str">
            <v>8036FR4ZE484</v>
          </cell>
          <cell r="E1483" t="str">
            <v>ZT3</v>
          </cell>
          <cell r="F1483" t="str">
            <v xml:space="preserve">FĄKOWSKA                 MARIA          </v>
          </cell>
          <cell r="G1483" t="str">
            <v>Transport</v>
          </cell>
          <cell r="H1483" t="str">
            <v>4</v>
          </cell>
          <cell r="I1483" t="str">
            <v>17-43</v>
          </cell>
          <cell r="J1483" t="str">
            <v>187</v>
          </cell>
          <cell r="K1483" t="str">
            <v>491-04433</v>
          </cell>
          <cell r="L1483" t="str">
            <v>733</v>
          </cell>
          <cell r="M1483" t="str">
            <v>OK.</v>
          </cell>
          <cell r="N1483" t="str">
            <v>127</v>
          </cell>
        </row>
        <row r="1484">
          <cell r="A1484" t="str">
            <v>STACJA ROBOCZA</v>
          </cell>
          <cell r="B1484" t="str">
            <v>COMPAQ DESKPRO EXD PIII 733</v>
          </cell>
          <cell r="C1484" t="str">
            <v>491-4490</v>
          </cell>
          <cell r="D1484" t="str">
            <v>8036FR4Z6654</v>
          </cell>
          <cell r="E1484" t="str">
            <v>ZT3</v>
          </cell>
          <cell r="F1484" t="str">
            <v xml:space="preserve">WULCZYŃSKA               HANNA          </v>
          </cell>
          <cell r="G1484" t="str">
            <v>Transport</v>
          </cell>
          <cell r="H1484" t="str">
            <v>4</v>
          </cell>
          <cell r="I1484" t="str">
            <v>17-49</v>
          </cell>
          <cell r="J1484" t="str">
            <v>1060</v>
          </cell>
          <cell r="K1484" t="str">
            <v>491-04490</v>
          </cell>
          <cell r="L1484" t="str">
            <v>733</v>
          </cell>
          <cell r="M1484" t="str">
            <v>OK.</v>
          </cell>
          <cell r="N1484" t="str">
            <v/>
          </cell>
        </row>
        <row r="1485">
          <cell r="A1485" t="str">
            <v>STACJA ROBOCZA</v>
          </cell>
          <cell r="B1485" t="str">
            <v>NEC PowerMate VT P III 550</v>
          </cell>
          <cell r="C1485" t="str">
            <v>491-4157</v>
          </cell>
          <cell r="D1485" t="str">
            <v>1134040</v>
          </cell>
          <cell r="E1485" t="str">
            <v>ZT3</v>
          </cell>
          <cell r="F1485" t="str">
            <v xml:space="preserve">FRĄCKOWIAK               JOLANTA        </v>
          </cell>
          <cell r="G1485" t="str">
            <v>Transport</v>
          </cell>
          <cell r="H1485" t="str">
            <v>KASA</v>
          </cell>
          <cell r="I1485" t="str">
            <v>17-48</v>
          </cell>
          <cell r="J1485" t="str">
            <v>203</v>
          </cell>
          <cell r="K1485" t="str">
            <v>491-04157</v>
          </cell>
          <cell r="L1485" t="str">
            <v>550</v>
          </cell>
          <cell r="M1485" t="str">
            <v>OK.</v>
          </cell>
          <cell r="N1485" t="str">
            <v>64</v>
          </cell>
        </row>
        <row r="1486">
          <cell r="A1486" t="str">
            <v>STACJA ROBOCZA</v>
          </cell>
          <cell r="B1486" t="str">
            <v>DELL Optiplex GX1L 350</v>
          </cell>
          <cell r="C1486" t="str">
            <v>491-3591</v>
          </cell>
          <cell r="D1486" t="str">
            <v>PKGP4</v>
          </cell>
          <cell r="E1486" t="str">
            <v>ZWE</v>
          </cell>
          <cell r="F1486" t="str">
            <v xml:space="preserve">CZARZASTY                EDWARD         </v>
          </cell>
          <cell r="G1486" t="str">
            <v>U-12</v>
          </cell>
          <cell r="H1486" t="str">
            <v>300</v>
          </cell>
          <cell r="I1486" t="str">
            <v>13-00</v>
          </cell>
          <cell r="J1486" t="str">
            <v>95</v>
          </cell>
          <cell r="K1486" t="str">
            <v>491-03591</v>
          </cell>
          <cell r="L1486" t="str">
            <v>350</v>
          </cell>
          <cell r="M1486" t="str">
            <v/>
          </cell>
          <cell r="N1486" t="str">
            <v>128</v>
          </cell>
        </row>
        <row r="1487">
          <cell r="A1487" t="str">
            <v>STACJA ROBOCZA</v>
          </cell>
          <cell r="B1487" t="str">
            <v>COMPAQ DESKPRO EXD PIII 733</v>
          </cell>
          <cell r="C1487" t="str">
            <v>491-4296</v>
          </cell>
          <cell r="D1487" t="str">
            <v>8036FR4ZE453</v>
          </cell>
          <cell r="E1487" t="str">
            <v>ZWE</v>
          </cell>
          <cell r="F1487" t="str">
            <v xml:space="preserve">PURA                     ELŻBIETA       </v>
          </cell>
          <cell r="G1487" t="str">
            <v>U-12</v>
          </cell>
          <cell r="H1487" t="str">
            <v>300</v>
          </cell>
          <cell r="I1487" t="str">
            <v>13-77</v>
          </cell>
          <cell r="J1487" t="str">
            <v>1077</v>
          </cell>
          <cell r="K1487" t="str">
            <v>491-04296</v>
          </cell>
          <cell r="L1487" t="str">
            <v>733</v>
          </cell>
          <cell r="M1487" t="str">
            <v/>
          </cell>
          <cell r="N1487" t="str">
            <v>127</v>
          </cell>
        </row>
        <row r="1488">
          <cell r="A1488" t="str">
            <v>NOTEBOOK</v>
          </cell>
          <cell r="B1488" t="str">
            <v>DELL Latitude C640</v>
          </cell>
          <cell r="C1488" t="str">
            <v>491-5065</v>
          </cell>
          <cell r="D1488" t="str">
            <v>84RGL0J</v>
          </cell>
          <cell r="E1488" t="str">
            <v>ZWE</v>
          </cell>
          <cell r="F1488" t="str">
            <v xml:space="preserve">CZARZASTY                EDWARD         </v>
          </cell>
          <cell r="G1488" t="str">
            <v>U-12</v>
          </cell>
          <cell r="H1488" t="str">
            <v>300</v>
          </cell>
          <cell r="I1488" t="str">
            <v>13-00</v>
          </cell>
          <cell r="J1488" t="str">
            <v>95</v>
          </cell>
          <cell r="K1488" t="str">
            <v>491-05065</v>
          </cell>
          <cell r="L1488" t="str">
            <v>1800</v>
          </cell>
          <cell r="M1488" t="str">
            <v/>
          </cell>
          <cell r="N1488" t="str">
            <v>256</v>
          </cell>
        </row>
        <row r="1489">
          <cell r="A1489" t="str">
            <v>STACJA ROBOCZA</v>
          </cell>
          <cell r="B1489" t="str">
            <v>DELL Optiplex GX1L 266</v>
          </cell>
          <cell r="C1489" t="str">
            <v>491-3374</v>
          </cell>
          <cell r="D1489" t="str">
            <v>NM1CG</v>
          </cell>
          <cell r="E1489" t="str">
            <v xml:space="preserve">ZZ </v>
          </cell>
          <cell r="F1489" t="str">
            <v xml:space="preserve">MICHEL                   ALEKSANDER     </v>
          </cell>
          <cell r="G1489" t="str">
            <v>U-2</v>
          </cell>
          <cell r="H1489" t="str">
            <v>230</v>
          </cell>
          <cell r="I1489" t="str">
            <v>22-21</v>
          </cell>
          <cell r="J1489" t="str">
            <v>9162</v>
          </cell>
          <cell r="K1489" t="str">
            <v>491-03374</v>
          </cell>
          <cell r="L1489" t="str">
            <v>266</v>
          </cell>
          <cell r="M1489" t="str">
            <v/>
          </cell>
          <cell r="N1489" t="str">
            <v>32</v>
          </cell>
        </row>
        <row r="1490">
          <cell r="A1490" t="str">
            <v>STACJA ROBOCZA</v>
          </cell>
          <cell r="B1490" t="str">
            <v>DELL Optiplex GX1L 266</v>
          </cell>
          <cell r="C1490" t="str">
            <v>491-3392</v>
          </cell>
          <cell r="D1490" t="str">
            <v>NM1CQ</v>
          </cell>
          <cell r="E1490" t="str">
            <v xml:space="preserve">ZZ </v>
          </cell>
          <cell r="F1490" t="str">
            <v xml:space="preserve">MIELCZAREK               MARIA          </v>
          </cell>
          <cell r="G1490" t="str">
            <v>U-2</v>
          </cell>
          <cell r="H1490" t="str">
            <v>229</v>
          </cell>
          <cell r="I1490" t="str">
            <v>21-22</v>
          </cell>
          <cell r="J1490" t="str">
            <v>5657</v>
          </cell>
          <cell r="K1490" t="str">
            <v>491-03392</v>
          </cell>
          <cell r="L1490" t="str">
            <v>266</v>
          </cell>
          <cell r="M1490" t="str">
            <v/>
          </cell>
          <cell r="N1490" t="str">
            <v>96</v>
          </cell>
        </row>
        <row r="1491">
          <cell r="A1491" t="str">
            <v>STACJA ROBOCZA</v>
          </cell>
          <cell r="B1491" t="str">
            <v>COMPAQ DESKPRO EXD PIII 733</v>
          </cell>
          <cell r="C1491" t="str">
            <v>491-4292</v>
          </cell>
          <cell r="D1491" t="str">
            <v>8036FR4ZE524</v>
          </cell>
          <cell r="E1491" t="str">
            <v xml:space="preserve">ZZ </v>
          </cell>
          <cell r="F1491" t="str">
            <v xml:space="preserve">WYBAN                    JAN            </v>
          </cell>
          <cell r="G1491" t="str">
            <v>U-2</v>
          </cell>
          <cell r="H1491" t="str">
            <v>202</v>
          </cell>
          <cell r="I1491" t="str">
            <v>15-72</v>
          </cell>
          <cell r="J1491" t="str">
            <v>1042</v>
          </cell>
          <cell r="K1491" t="str">
            <v>491-04292</v>
          </cell>
          <cell r="L1491" t="str">
            <v>733</v>
          </cell>
          <cell r="M1491" t="str">
            <v/>
          </cell>
          <cell r="N1491" t="str">
            <v>127</v>
          </cell>
        </row>
        <row r="1492">
          <cell r="A1492" t="str">
            <v>STACJA ROBOCZA</v>
          </cell>
          <cell r="B1492" t="str">
            <v>NEC PowerMate VT Destop P III 450</v>
          </cell>
          <cell r="C1492" t="str">
            <v>491-3936</v>
          </cell>
          <cell r="D1492" t="str">
            <v>0285109</v>
          </cell>
          <cell r="E1492" t="str">
            <v xml:space="preserve">ZZ </v>
          </cell>
          <cell r="F1492" t="str">
            <v xml:space="preserve">GRZYBOWSKI               ZDZISŁAW       </v>
          </cell>
          <cell r="G1492" t="str">
            <v>U-2</v>
          </cell>
          <cell r="H1492" t="str">
            <v>203</v>
          </cell>
          <cell r="I1492" t="str">
            <v>10-54</v>
          </cell>
          <cell r="J1492" t="str">
            <v>261</v>
          </cell>
          <cell r="K1492" t="str">
            <v>491-03936</v>
          </cell>
          <cell r="L1492" t="str">
            <v>450</v>
          </cell>
          <cell r="M1492" t="str">
            <v/>
          </cell>
          <cell r="N1492" t="str">
            <v>64</v>
          </cell>
        </row>
        <row r="1493">
          <cell r="A1493" t="str">
            <v>STACJA ROBOCZA</v>
          </cell>
          <cell r="B1493" t="str">
            <v>NEC PowerMate VT Destop P III 450</v>
          </cell>
          <cell r="C1493" t="str">
            <v>491-3932</v>
          </cell>
          <cell r="D1493" t="str">
            <v>0248109</v>
          </cell>
          <cell r="E1493" t="str">
            <v xml:space="preserve">ZZ </v>
          </cell>
          <cell r="F1493" t="str">
            <v xml:space="preserve">GAIK                     WITOLD         </v>
          </cell>
          <cell r="G1493" t="str">
            <v>U-2</v>
          </cell>
          <cell r="H1493" t="str">
            <v>201</v>
          </cell>
          <cell r="I1493" t="str">
            <v>18-87</v>
          </cell>
          <cell r="J1493" t="str">
            <v>1452</v>
          </cell>
          <cell r="K1493" t="str">
            <v>491-03932</v>
          </cell>
          <cell r="L1493" t="str">
            <v>450</v>
          </cell>
          <cell r="M1493" t="str">
            <v/>
          </cell>
          <cell r="N1493" t="str">
            <v>192</v>
          </cell>
        </row>
        <row r="1494">
          <cell r="A1494" t="str">
            <v>STACJA ROBOCZA</v>
          </cell>
          <cell r="B1494" t="str">
            <v>NEC PowerMate VT Destop P III 450</v>
          </cell>
          <cell r="C1494" t="str">
            <v>491-3933</v>
          </cell>
          <cell r="D1494" t="str">
            <v>0276109</v>
          </cell>
          <cell r="E1494" t="str">
            <v xml:space="preserve">ZZ </v>
          </cell>
          <cell r="F1494" t="str">
            <v xml:space="preserve">GÓRSKA                   MAŁGORZATA     </v>
          </cell>
          <cell r="G1494" t="str">
            <v>U-2</v>
          </cell>
          <cell r="H1494" t="str">
            <v>231</v>
          </cell>
          <cell r="I1494" t="str">
            <v>15-74</v>
          </cell>
          <cell r="J1494" t="str">
            <v>240</v>
          </cell>
          <cell r="K1494" t="str">
            <v>491-03933</v>
          </cell>
          <cell r="L1494" t="str">
            <v>450</v>
          </cell>
          <cell r="M1494" t="str">
            <v/>
          </cell>
          <cell r="N1494" t="str">
            <v>64</v>
          </cell>
        </row>
        <row r="1495">
          <cell r="A1495" t="str">
            <v>STACJA ROBOCZA</v>
          </cell>
          <cell r="B1495" t="str">
            <v>KOMPUTER 486DX</v>
          </cell>
          <cell r="C1495" t="str">
            <v>491-1620/8823</v>
          </cell>
          <cell r="D1495" t="str">
            <v>8823/114</v>
          </cell>
          <cell r="E1495" t="str">
            <v xml:space="preserve">ZZ </v>
          </cell>
          <cell r="F1495" t="str">
            <v xml:space="preserve">SIKORA                   REGINA         </v>
          </cell>
          <cell r="G1495" t="str">
            <v>U-2</v>
          </cell>
          <cell r="H1495" t="str">
            <v>204A</v>
          </cell>
          <cell r="I1495" t="str">
            <v>18-83</v>
          </cell>
          <cell r="J1495" t="str">
            <v>876</v>
          </cell>
          <cell r="K1495" t="str">
            <v>491-01620-8823</v>
          </cell>
          <cell r="L1495" t="str">
            <v>500</v>
          </cell>
          <cell r="M1495" t="str">
            <v/>
          </cell>
          <cell r="N1495" t="str">
            <v>128</v>
          </cell>
        </row>
        <row r="1496">
          <cell r="A1496" t="str">
            <v>STACJA ROBOCZA</v>
          </cell>
          <cell r="B1496" t="str">
            <v>KOMPUTER PC/AT</v>
          </cell>
          <cell r="C1496" t="str">
            <v>491-1620/1630</v>
          </cell>
          <cell r="D1496" t="str">
            <v>557/07/91</v>
          </cell>
          <cell r="E1496" t="str">
            <v xml:space="preserve">ZZ </v>
          </cell>
          <cell r="F1496" t="str">
            <v xml:space="preserve">KRÓLICZAK                SZCZEPAN       </v>
          </cell>
          <cell r="G1496" t="str">
            <v>U-2</v>
          </cell>
          <cell r="H1496" t="str">
            <v>204A</v>
          </cell>
          <cell r="I1496" t="str">
            <v>18-83</v>
          </cell>
          <cell r="J1496" t="str">
            <v>382</v>
          </cell>
          <cell r="K1496" t="str">
            <v>491-01620-1630</v>
          </cell>
          <cell r="L1496" t="str">
            <v>500</v>
          </cell>
          <cell r="M1496" t="str">
            <v/>
          </cell>
          <cell r="N1496" t="str">
            <v>64</v>
          </cell>
        </row>
        <row r="1497">
          <cell r="A1497" t="str">
            <v>STACJA ROBOCZA</v>
          </cell>
          <cell r="B1497" t="str">
            <v>DELL Optiplex GX1L 450</v>
          </cell>
          <cell r="C1497" t="str">
            <v>491-3686</v>
          </cell>
          <cell r="D1497" t="str">
            <v>QXSNV</v>
          </cell>
          <cell r="E1497" t="str">
            <v xml:space="preserve">ZZ </v>
          </cell>
          <cell r="F1497" t="str">
            <v xml:space="preserve">PALUSZKIEWICZ            BARBARA        </v>
          </cell>
          <cell r="G1497" t="str">
            <v>U-2</v>
          </cell>
          <cell r="H1497" t="str">
            <v>231</v>
          </cell>
          <cell r="I1497" t="str">
            <v>15-74</v>
          </cell>
          <cell r="J1497" t="str">
            <v>734</v>
          </cell>
          <cell r="K1497" t="str">
            <v>491-03686</v>
          </cell>
          <cell r="L1497" t="str">
            <v>450</v>
          </cell>
          <cell r="M1497" t="str">
            <v/>
          </cell>
          <cell r="N1497" t="str">
            <v>191</v>
          </cell>
        </row>
        <row r="1498">
          <cell r="A1498" t="str">
            <v>STACJA ROBOCZA</v>
          </cell>
          <cell r="B1498" t="str">
            <v>COMPAQ DESKPRO EXD PIII 733</v>
          </cell>
          <cell r="C1498" t="str">
            <v>491-4495</v>
          </cell>
          <cell r="D1498" t="str">
            <v>8036FR4ZE530</v>
          </cell>
          <cell r="E1498" t="str">
            <v xml:space="preserve">ZZ </v>
          </cell>
          <cell r="F1498" t="str">
            <v xml:space="preserve">PODESZWA                 JANUSZ         </v>
          </cell>
          <cell r="G1498" t="str">
            <v>U-2</v>
          </cell>
          <cell r="H1498" t="str">
            <v>204</v>
          </cell>
          <cell r="I1498" t="str">
            <v>19-08</v>
          </cell>
          <cell r="J1498" t="str">
            <v>754</v>
          </cell>
          <cell r="K1498" t="str">
            <v>491-04495</v>
          </cell>
          <cell r="L1498" t="str">
            <v>733</v>
          </cell>
          <cell r="M1498" t="str">
            <v/>
          </cell>
          <cell r="N1498" t="str">
            <v>127</v>
          </cell>
        </row>
        <row r="1499">
          <cell r="A1499" t="str">
            <v>STACJA ROBOCZA</v>
          </cell>
          <cell r="B1499" t="str">
            <v>COMPAQ DESKPRO EXD PIII 733</v>
          </cell>
          <cell r="C1499" t="str">
            <v>491-4402</v>
          </cell>
          <cell r="D1499" t="str">
            <v>8036FR4ZE578</v>
          </cell>
          <cell r="E1499" t="str">
            <v xml:space="preserve">ZZ </v>
          </cell>
          <cell r="F1499" t="str">
            <v xml:space="preserve">GRADOWSKI                RYSZARD        </v>
          </cell>
          <cell r="G1499" t="str">
            <v>U-2</v>
          </cell>
          <cell r="H1499" t="str">
            <v>202A</v>
          </cell>
          <cell r="I1499" t="str">
            <v>18-94</v>
          </cell>
          <cell r="J1499" t="str">
            <v>248</v>
          </cell>
          <cell r="K1499" t="str">
            <v>491-04402</v>
          </cell>
          <cell r="L1499" t="str">
            <v>733</v>
          </cell>
          <cell r="M1499" t="str">
            <v/>
          </cell>
          <cell r="N1499" t="str">
            <v>127</v>
          </cell>
        </row>
        <row r="1500">
          <cell r="A1500" t="str">
            <v>STACJA ROBOCZA</v>
          </cell>
          <cell r="B1500" t="str">
            <v>COMPAQ DESKPRO EXD PIII 733</v>
          </cell>
          <cell r="C1500" t="str">
            <v>491-4499</v>
          </cell>
          <cell r="D1500" t="str">
            <v>8036FR4ZE230</v>
          </cell>
          <cell r="E1500" t="str">
            <v xml:space="preserve">ZZ </v>
          </cell>
          <cell r="F1500" t="str">
            <v xml:space="preserve">FUZOWSKI                 ADAM           </v>
          </cell>
          <cell r="G1500" t="str">
            <v>U-2</v>
          </cell>
          <cell r="H1500" t="str">
            <v>203</v>
          </cell>
          <cell r="I1500" t="str">
            <v>18-86</v>
          </cell>
          <cell r="J1500" t="str">
            <v>188</v>
          </cell>
          <cell r="K1500" t="str">
            <v>491-04499</v>
          </cell>
          <cell r="L1500" t="str">
            <v>733</v>
          </cell>
          <cell r="M1500" t="str">
            <v/>
          </cell>
          <cell r="N1500" t="str">
            <v>127</v>
          </cell>
        </row>
        <row r="1501">
          <cell r="A1501" t="str">
            <v>STACJA ROBOCZA</v>
          </cell>
          <cell r="B1501" t="str">
            <v>COMPAQ DESKPRO EXD PIII 733</v>
          </cell>
          <cell r="C1501" t="str">
            <v>491-4412</v>
          </cell>
          <cell r="D1501" t="str">
            <v>8036FR4ZE538</v>
          </cell>
          <cell r="E1501" t="str">
            <v xml:space="preserve">ZZ </v>
          </cell>
          <cell r="F1501" t="str">
            <v xml:space="preserve">POLKOWSKA                WANDA          </v>
          </cell>
          <cell r="G1501" t="str">
            <v>U-3</v>
          </cell>
          <cell r="H1501" t="str">
            <v>305B</v>
          </cell>
          <cell r="I1501" t="str">
            <v>40-72</v>
          </cell>
          <cell r="J1501" t="str">
            <v>747</v>
          </cell>
          <cell r="K1501" t="str">
            <v>491-04412</v>
          </cell>
          <cell r="L1501" t="str">
            <v>733</v>
          </cell>
          <cell r="M1501" t="str">
            <v/>
          </cell>
          <cell r="N1501" t="str">
            <v>127</v>
          </cell>
        </row>
        <row r="1502">
          <cell r="A1502" t="str">
            <v>STACJA ROBOCZA</v>
          </cell>
          <cell r="B1502" t="str">
            <v>COMPAQ DESKPRO EXD PIII 733</v>
          </cell>
          <cell r="C1502" t="str">
            <v>491-4244</v>
          </cell>
          <cell r="D1502" t="str">
            <v>8036FR4Z4224</v>
          </cell>
          <cell r="E1502" t="str">
            <v xml:space="preserve">ZZ </v>
          </cell>
          <cell r="F1502" t="str">
            <v xml:space="preserve">KUTAL                    STANISŁAW      </v>
          </cell>
          <cell r="G1502" t="str">
            <v>U-2</v>
          </cell>
          <cell r="H1502" t="str">
            <v>201A</v>
          </cell>
          <cell r="I1502" t="str">
            <v>18-90</v>
          </cell>
          <cell r="J1502" t="str">
            <v>372</v>
          </cell>
          <cell r="K1502" t="str">
            <v>491-04244</v>
          </cell>
          <cell r="L1502" t="str">
            <v>733</v>
          </cell>
          <cell r="M1502" t="str">
            <v/>
          </cell>
          <cell r="N1502" t="str">
            <v>127</v>
          </cell>
        </row>
        <row r="1503">
          <cell r="A1503" t="str">
            <v>STACJA ROBOCZA</v>
          </cell>
          <cell r="B1503" t="str">
            <v>COMPAQ DESKPRO EXD PIII 733</v>
          </cell>
          <cell r="C1503" t="str">
            <v>491-4303</v>
          </cell>
          <cell r="D1503" t="str">
            <v>8036FR4Z3236</v>
          </cell>
          <cell r="E1503" t="str">
            <v xml:space="preserve">ZZ </v>
          </cell>
          <cell r="F1503" t="str">
            <v xml:space="preserve">ZIMOWSKA                 MAŁGORZATA     </v>
          </cell>
          <cell r="G1503" t="str">
            <v>U-3</v>
          </cell>
          <cell r="H1503" t="str">
            <v>305B</v>
          </cell>
          <cell r="I1503" t="str">
            <v>15-73</v>
          </cell>
          <cell r="J1503" t="str">
            <v>50</v>
          </cell>
          <cell r="K1503" t="str">
            <v>491-04303</v>
          </cell>
          <cell r="L1503" t="str">
            <v>733</v>
          </cell>
          <cell r="M1503" t="str">
            <v/>
          </cell>
          <cell r="N1503" t="str">
            <v>127</v>
          </cell>
        </row>
        <row r="1504">
          <cell r="A1504" t="str">
            <v>STACJA ROBOCZA</v>
          </cell>
          <cell r="B1504" t="str">
            <v>COMPAQ DESKPRO EXD PIII 733</v>
          </cell>
          <cell r="C1504" t="str">
            <v>491-4302</v>
          </cell>
          <cell r="D1504" t="str">
            <v>8036FR4Z6625</v>
          </cell>
          <cell r="E1504" t="str">
            <v xml:space="preserve">ZZ </v>
          </cell>
          <cell r="F1504" t="str">
            <v xml:space="preserve">SIEMASZKO                WŁADYSŁAW      </v>
          </cell>
          <cell r="G1504" t="str">
            <v>U-2</v>
          </cell>
          <cell r="H1504" t="str">
            <v>202A</v>
          </cell>
          <cell r="I1504" t="str">
            <v>18-94</v>
          </cell>
          <cell r="J1504" t="str">
            <v>886</v>
          </cell>
          <cell r="K1504" t="str">
            <v>491-04302</v>
          </cell>
          <cell r="L1504" t="str">
            <v>733</v>
          </cell>
          <cell r="M1504" t="str">
            <v/>
          </cell>
          <cell r="N1504" t="str">
            <v>127</v>
          </cell>
        </row>
        <row r="1505">
          <cell r="A1505" t="str">
            <v>STACJA ROBOCZA</v>
          </cell>
          <cell r="B1505" t="str">
            <v>DELL Optiplex GX1L 266</v>
          </cell>
          <cell r="C1505" t="str">
            <v>491-3245</v>
          </cell>
          <cell r="D1505" t="str">
            <v>NM19V</v>
          </cell>
          <cell r="E1505" t="str">
            <v xml:space="preserve">ZZ </v>
          </cell>
          <cell r="F1505" t="str">
            <v xml:space="preserve">STAWSKI                  MARIAN         </v>
          </cell>
          <cell r="G1505" t="str">
            <v>U-2</v>
          </cell>
          <cell r="H1505" t="str">
            <v>202</v>
          </cell>
          <cell r="I1505" t="str">
            <v>16-79</v>
          </cell>
          <cell r="J1505" t="str">
            <v>9485</v>
          </cell>
          <cell r="K1505" t="str">
            <v>491-03245</v>
          </cell>
          <cell r="L1505" t="str">
            <v>266</v>
          </cell>
          <cell r="M1505" t="str">
            <v/>
          </cell>
          <cell r="N1505" t="str">
            <v>96</v>
          </cell>
        </row>
        <row r="1506">
          <cell r="A1506" t="str">
            <v>STACJA ROBOCZA</v>
          </cell>
          <cell r="B1506" t="str">
            <v>COMPAQ DESKPRO EXD PIII 733</v>
          </cell>
          <cell r="C1506" t="str">
            <v>491-4457</v>
          </cell>
          <cell r="D1506" t="str">
            <v>8036FR4ZE437</v>
          </cell>
          <cell r="E1506" t="str">
            <v xml:space="preserve">ZZ </v>
          </cell>
          <cell r="F1506" t="str">
            <v xml:space="preserve">PORAŻKA                  LUCJAN         </v>
          </cell>
          <cell r="G1506" t="str">
            <v>U-2</v>
          </cell>
          <cell r="H1506" t="str">
            <v>202</v>
          </cell>
          <cell r="I1506" t="str">
            <v>18-89</v>
          </cell>
          <cell r="J1506" t="str">
            <v>719</v>
          </cell>
          <cell r="K1506" t="str">
            <v>491-04457</v>
          </cell>
          <cell r="L1506" t="str">
            <v>733</v>
          </cell>
          <cell r="M1506" t="str">
            <v/>
          </cell>
          <cell r="N1506" t="str">
            <v>127</v>
          </cell>
        </row>
        <row r="1507">
          <cell r="A1507" t="str">
            <v>STACJA ROBOCZA</v>
          </cell>
          <cell r="B1507" t="str">
            <v>COMPAQ DESKPRO EXD PIII 733</v>
          </cell>
          <cell r="C1507" t="str">
            <v>491-4485</v>
          </cell>
          <cell r="D1507" t="str">
            <v>8036FR4ZE267</v>
          </cell>
          <cell r="E1507" t="str">
            <v xml:space="preserve">ZZ </v>
          </cell>
          <cell r="F1507" t="str">
            <v xml:space="preserve">LOBA                     RYSZARD        </v>
          </cell>
          <cell r="G1507" t="str">
            <v>U-2</v>
          </cell>
          <cell r="H1507" t="str">
            <v>201</v>
          </cell>
          <cell r="I1507" t="str">
            <v>18-88</v>
          </cell>
          <cell r="J1507" t="str">
            <v>507</v>
          </cell>
          <cell r="K1507" t="str">
            <v>491-04485</v>
          </cell>
          <cell r="L1507" t="str">
            <v>733</v>
          </cell>
          <cell r="M1507" t="str">
            <v/>
          </cell>
          <cell r="N1507" t="str">
            <v>127</v>
          </cell>
        </row>
        <row r="1508">
          <cell r="A1508" t="str">
            <v>STACJA ROBOCZA</v>
          </cell>
          <cell r="B1508" t="str">
            <v>COMPAQ DESKPRO EXD PIII 733</v>
          </cell>
          <cell r="C1508" t="str">
            <v>491-4255</v>
          </cell>
          <cell r="D1508" t="str">
            <v>8036FR4ZE425</v>
          </cell>
          <cell r="E1508" t="str">
            <v xml:space="preserve">ZZ </v>
          </cell>
          <cell r="F1508" t="str">
            <v xml:space="preserve">MAJCHRZAK                WIESŁAW        </v>
          </cell>
          <cell r="G1508" t="str">
            <v>U-2</v>
          </cell>
          <cell r="H1508" t="str">
            <v>204A</v>
          </cell>
          <cell r="I1508" t="str">
            <v>18-84</v>
          </cell>
          <cell r="J1508" t="str">
            <v>585</v>
          </cell>
          <cell r="K1508" t="str">
            <v>491-04255</v>
          </cell>
          <cell r="L1508" t="str">
            <v>733</v>
          </cell>
          <cell r="M1508" t="str">
            <v/>
          </cell>
          <cell r="N1508" t="str">
            <v>127</v>
          </cell>
        </row>
        <row r="1509">
          <cell r="A1509" t="str">
            <v>STACJA ROBOCZA</v>
          </cell>
          <cell r="B1509" t="str">
            <v>COMPAQ DESKPRO EXD PIII 733</v>
          </cell>
          <cell r="C1509" t="str">
            <v>491-4260</v>
          </cell>
          <cell r="D1509" t="str">
            <v>8036FR4ZE502</v>
          </cell>
          <cell r="E1509" t="str">
            <v xml:space="preserve">ZZ </v>
          </cell>
          <cell r="F1509" t="str">
            <v xml:space="preserve">GONERA                   STANISŁAW      </v>
          </cell>
          <cell r="G1509" t="str">
            <v>U-2</v>
          </cell>
          <cell r="H1509" t="str">
            <v>202A</v>
          </cell>
          <cell r="I1509" t="str">
            <v>18-91</v>
          </cell>
          <cell r="J1509" t="str">
            <v>215</v>
          </cell>
          <cell r="K1509" t="str">
            <v>491-04260</v>
          </cell>
          <cell r="L1509" t="str">
            <v>733</v>
          </cell>
          <cell r="M1509" t="str">
            <v/>
          </cell>
          <cell r="N1509" t="str">
            <v>127</v>
          </cell>
        </row>
        <row r="1510">
          <cell r="A1510" t="str">
            <v>STACJA ROBOCZA</v>
          </cell>
          <cell r="B1510" t="str">
            <v>COMPAQ DESKPRO EXD PIII 733</v>
          </cell>
          <cell r="C1510" t="str">
            <v>491-4427</v>
          </cell>
          <cell r="D1510" t="str">
            <v>8036FR4ZE223</v>
          </cell>
          <cell r="E1510" t="str">
            <v xml:space="preserve">ZZ </v>
          </cell>
          <cell r="F1510" t="str">
            <v xml:space="preserve">KARKUSIŃSKI              KRZYSZTOF      </v>
          </cell>
          <cell r="G1510" t="str">
            <v>U-2</v>
          </cell>
          <cell r="H1510" t="str">
            <v>204</v>
          </cell>
          <cell r="I1510" t="str">
            <v>18-81</v>
          </cell>
          <cell r="J1510" t="str">
            <v>364</v>
          </cell>
          <cell r="K1510" t="str">
            <v>491-04427</v>
          </cell>
          <cell r="L1510" t="str">
            <v>733</v>
          </cell>
          <cell r="M1510" t="str">
            <v/>
          </cell>
          <cell r="N1510" t="str">
            <v>127</v>
          </cell>
        </row>
        <row r="1511">
          <cell r="A1511" t="str">
            <v>STACJA ROBOCZA</v>
          </cell>
          <cell r="B1511" t="str">
            <v>COMPAQ DESKPRO EXD PIII 733</v>
          </cell>
          <cell r="C1511" t="str">
            <v>491-4512</v>
          </cell>
          <cell r="D1511" t="str">
            <v>8036FR4ZE260</v>
          </cell>
          <cell r="E1511" t="str">
            <v xml:space="preserve">ZZ </v>
          </cell>
          <cell r="F1511" t="str">
            <v xml:space="preserve">KOŁODZIEJEK              JAN            </v>
          </cell>
          <cell r="G1511" t="str">
            <v>U-2</v>
          </cell>
          <cell r="H1511" t="str">
            <v>202</v>
          </cell>
          <cell r="I1511" t="str">
            <v>18-82</v>
          </cell>
          <cell r="J1511" t="str">
            <v>351</v>
          </cell>
          <cell r="K1511" t="str">
            <v>491-04512</v>
          </cell>
          <cell r="L1511" t="str">
            <v>733</v>
          </cell>
          <cell r="M1511" t="str">
            <v/>
          </cell>
          <cell r="N1511" t="str">
            <v>127</v>
          </cell>
        </row>
        <row r="1512">
          <cell r="A1512" t="str">
            <v>STACJA ROBOCZA</v>
          </cell>
          <cell r="B1512" t="str">
            <v>COMPAQ DESKPRO EXD PIII 733</v>
          </cell>
          <cell r="C1512" t="str">
            <v>491-4514</v>
          </cell>
          <cell r="D1512" t="str">
            <v>8036FR4ZE295</v>
          </cell>
          <cell r="E1512" t="str">
            <v xml:space="preserve">ZZ </v>
          </cell>
          <cell r="F1512" t="str">
            <v xml:space="preserve">KAROŃ                    BOGUSŁAWA      </v>
          </cell>
          <cell r="G1512" t="str">
            <v>U-2</v>
          </cell>
          <cell r="H1512" t="str">
            <v>204</v>
          </cell>
          <cell r="I1512" t="str">
            <v>18-81</v>
          </cell>
          <cell r="J1512" t="str">
            <v>442</v>
          </cell>
          <cell r="K1512" t="str">
            <v>491-04514</v>
          </cell>
          <cell r="L1512" t="str">
            <v>733</v>
          </cell>
          <cell r="M1512" t="str">
            <v/>
          </cell>
          <cell r="N1512" t="str">
            <v>127</v>
          </cell>
        </row>
        <row r="1513">
          <cell r="A1513" t="str">
            <v>STACJA ROBOCZA</v>
          </cell>
          <cell r="B1513" t="str">
            <v>COMPAQ DESKPRO EXD PIII 733</v>
          </cell>
          <cell r="C1513" t="str">
            <v>491-4354</v>
          </cell>
          <cell r="D1513" t="str">
            <v>8036FR4Z6076</v>
          </cell>
          <cell r="E1513" t="str">
            <v xml:space="preserve">ZZ </v>
          </cell>
          <cell r="F1513" t="str">
            <v xml:space="preserve">MICHEL                   ALEKSANDER     </v>
          </cell>
          <cell r="G1513" t="str">
            <v>U-2</v>
          </cell>
          <cell r="H1513" t="str">
            <v>230</v>
          </cell>
          <cell r="I1513" t="str">
            <v>22-21</v>
          </cell>
          <cell r="J1513" t="str">
            <v>9162</v>
          </cell>
          <cell r="K1513" t="str">
            <v>491-04354</v>
          </cell>
          <cell r="L1513" t="str">
            <v>733</v>
          </cell>
          <cell r="M1513" t="str">
            <v/>
          </cell>
          <cell r="N1513" t="str">
            <v>127</v>
          </cell>
        </row>
        <row r="1514">
          <cell r="A1514" t="str">
            <v>STACJA ROBOCZA</v>
          </cell>
          <cell r="B1514" t="str">
            <v>COMPAQ DESKPRO EXD PIII 800</v>
          </cell>
          <cell r="C1514" t="str">
            <v>491-4523</v>
          </cell>
          <cell r="D1514" t="str">
            <v>8048FR4Z04W5</v>
          </cell>
          <cell r="E1514" t="str">
            <v xml:space="preserve">ZZ </v>
          </cell>
          <cell r="F1514" t="str">
            <v xml:space="preserve">GORLIC                   LESZEK         </v>
          </cell>
          <cell r="G1514" t="str">
            <v>U-2</v>
          </cell>
          <cell r="H1514" t="str">
            <v>201</v>
          </cell>
          <cell r="I1514" t="str">
            <v>39-35</v>
          </cell>
          <cell r="J1514" t="str">
            <v>230</v>
          </cell>
          <cell r="K1514" t="str">
            <v>491-04523</v>
          </cell>
          <cell r="L1514" t="str">
            <v>800</v>
          </cell>
          <cell r="M1514" t="str">
            <v/>
          </cell>
          <cell r="N1514" t="str">
            <v>255</v>
          </cell>
        </row>
        <row r="1515">
          <cell r="A1515" t="str">
            <v>STACJA ROBOCZA</v>
          </cell>
          <cell r="B1515" t="str">
            <v>DELL Optiplex GX1L 266</v>
          </cell>
          <cell r="C1515" t="str">
            <v>491-3266</v>
          </cell>
          <cell r="D1515" t="str">
            <v>NM15Y</v>
          </cell>
          <cell r="E1515" t="str">
            <v xml:space="preserve">ZZ </v>
          </cell>
          <cell r="F1515" t="str">
            <v xml:space="preserve">HAWRYSZ                  KRZYSZTOF      </v>
          </cell>
          <cell r="G1515" t="str">
            <v>U-2</v>
          </cell>
          <cell r="H1515" t="str">
            <v>201A</v>
          </cell>
          <cell r="I1515" t="str">
            <v>18-90</v>
          </cell>
          <cell r="J1515" t="str">
            <v>287</v>
          </cell>
          <cell r="K1515" t="str">
            <v>491-03266</v>
          </cell>
          <cell r="L1515" t="str">
            <v>266</v>
          </cell>
          <cell r="M1515" t="str">
            <v/>
          </cell>
          <cell r="N1515" t="str">
            <v>192</v>
          </cell>
        </row>
        <row r="1516">
          <cell r="A1516" t="str">
            <v>STACJA ROBOCZA</v>
          </cell>
          <cell r="B1516" t="str">
            <v>DELL Optiplex GX1L 266</v>
          </cell>
          <cell r="C1516" t="str">
            <v>491-3383</v>
          </cell>
          <cell r="D1516" t="str">
            <v>NM1B0</v>
          </cell>
          <cell r="E1516" t="str">
            <v xml:space="preserve">ZZ </v>
          </cell>
          <cell r="F1516" t="str">
            <v xml:space="preserve">RESKA                    PIOTR          </v>
          </cell>
          <cell r="G1516" t="str">
            <v>U-3</v>
          </cell>
          <cell r="H1516" t="str">
            <v>305B</v>
          </cell>
          <cell r="I1516" t="str">
            <v>15-73</v>
          </cell>
          <cell r="J1516" t="str">
            <v>846</v>
          </cell>
          <cell r="K1516" t="str">
            <v>491-03383</v>
          </cell>
          <cell r="L1516" t="str">
            <v>266</v>
          </cell>
          <cell r="M1516" t="str">
            <v/>
          </cell>
          <cell r="N1516" t="str">
            <v>96</v>
          </cell>
        </row>
        <row r="1517">
          <cell r="A1517" t="str">
            <v>STACJA ROBOCZA</v>
          </cell>
          <cell r="B1517" t="str">
            <v>COMPAQ DESKPRO EXD PIII 733</v>
          </cell>
          <cell r="C1517" t="str">
            <v>491-4408</v>
          </cell>
          <cell r="D1517" t="str">
            <v>8037FR4Z2733</v>
          </cell>
          <cell r="E1517" t="str">
            <v xml:space="preserve">ZZ </v>
          </cell>
          <cell r="F1517" t="str">
            <v xml:space="preserve">WALĘCKI                  BOGDAN         </v>
          </cell>
          <cell r="G1517" t="str">
            <v>U-2</v>
          </cell>
          <cell r="H1517" t="str">
            <v>201A</v>
          </cell>
          <cell r="I1517" t="str">
            <v>18-85</v>
          </cell>
          <cell r="J1517" t="str">
            <v>1036</v>
          </cell>
          <cell r="K1517" t="str">
            <v>491-04408</v>
          </cell>
          <cell r="L1517" t="str">
            <v>733</v>
          </cell>
          <cell r="M1517" t="str">
            <v/>
          </cell>
          <cell r="N1517" t="str">
            <v>127</v>
          </cell>
        </row>
        <row r="1518">
          <cell r="A1518" t="str">
            <v>STACJA ROBOCZA</v>
          </cell>
          <cell r="B1518" t="str">
            <v>ZENITH Z STATION P200</v>
          </cell>
          <cell r="C1518" t="str">
            <v>491-3093</v>
          </cell>
          <cell r="D1518" t="str">
            <v>GCDT74104807</v>
          </cell>
          <cell r="E1518" t="str">
            <v>ZZT</v>
          </cell>
          <cell r="F1518" t="str">
            <v xml:space="preserve">KACZMAREK                KARINA         </v>
          </cell>
          <cell r="G1518" t="str">
            <v>U-3</v>
          </cell>
          <cell r="H1518" t="str">
            <v>322</v>
          </cell>
          <cell r="I1518" t="str">
            <v/>
          </cell>
          <cell r="J1518" t="str">
            <v>431</v>
          </cell>
          <cell r="K1518" t="str">
            <v>491-03093</v>
          </cell>
          <cell r="L1518" t="str">
            <v>200</v>
          </cell>
          <cell r="M1518" t="str">
            <v/>
          </cell>
          <cell r="N1518" t="str">
            <v>32</v>
          </cell>
        </row>
        <row r="1519">
          <cell r="A1519" t="str">
            <v>STACJA ROBOCZA</v>
          </cell>
          <cell r="B1519" t="str">
            <v>COMPAQ DESKPRO EXD PIII 800</v>
          </cell>
          <cell r="C1519" t="str">
            <v>491-4521</v>
          </cell>
          <cell r="D1519" t="str">
            <v>8048FR4Z0CMJ</v>
          </cell>
          <cell r="E1519" t="str">
            <v>ZZT</v>
          </cell>
          <cell r="F1519" t="str">
            <v xml:space="preserve">CZUCHRYTA                RYSZARD        </v>
          </cell>
          <cell r="G1519" t="str">
            <v>U-3</v>
          </cell>
          <cell r="H1519" t="str">
            <v>322</v>
          </cell>
          <cell r="I1519" t="str">
            <v>39-48</v>
          </cell>
          <cell r="J1519" t="str">
            <v>117</v>
          </cell>
          <cell r="K1519" t="str">
            <v>491-04521</v>
          </cell>
          <cell r="L1519" t="str">
            <v>800</v>
          </cell>
          <cell r="M1519" t="str">
            <v/>
          </cell>
          <cell r="N1519" t="str">
            <v>127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r"/>
      <sheetName val="Arkusz1"/>
      <sheetName val="Kontrahenci"/>
      <sheetName val="bazy"/>
      <sheetName val="Table"/>
      <sheetName val="lista"/>
      <sheetName val="TGE"/>
      <sheetName val="KONS"/>
      <sheetName val="listy"/>
      <sheetName val="main"/>
      <sheetName val="Assumptions"/>
      <sheetName val="Słowniki"/>
      <sheetName val="31 - Grupa B"/>
      <sheetName val="31_-_Grupa_B"/>
      <sheetName val="31_-_Grupa_B1"/>
      <sheetName val="31_-_Grupa_B2"/>
      <sheetName val="31_-_Grupa_B3"/>
      <sheetName val="31_-_Grupa_B4"/>
    </sheetNames>
    <sheetDataSet>
      <sheetData sheetId="0" refreshError="1">
        <row r="4">
          <cell r="B4" t="str">
            <v>PKP ()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_opis"/>
      <sheetName val="Tytul"/>
      <sheetName val="01.Kluczowe.wielk.oper."/>
      <sheetName val="PM_poza GK"/>
      <sheetName val="PM"/>
      <sheetName val="_"/>
      <sheetName val="Baza.Moduł.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konanie_2009"/>
      <sheetName val="Tytul"/>
      <sheetName val="Spis treści"/>
      <sheetName val="Tab.1_Razem"/>
      <sheetName val="Tab.2_doradcze"/>
      <sheetName val="robocze"/>
      <sheetName val="Wyk_I-III_2010"/>
      <sheetName val="SAP_Baza_I-III'10"/>
      <sheetName val="Ster"/>
      <sheetName val="Słowniki"/>
      <sheetName val="Spis_treści"/>
      <sheetName val="Tab_1_Razem"/>
      <sheetName val="Tab_2_doradc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KODL98"/>
      <sheetName val="KONS"/>
      <sheetName val="DBIL"/>
      <sheetName val="DRZIS"/>
      <sheetName val="DROZR"/>
      <sheetName val="listy"/>
      <sheetName val="Wykonanie_2009"/>
      <sheetName val="lista"/>
      <sheetName val="Ster"/>
      <sheetName val="Parametry"/>
      <sheetName val="B.2. Eliminacje -pasywa"/>
      <sheetName val="Nota 26.1-2"/>
      <sheetName val="Bazy"/>
      <sheetName val="SZKODL98.xls"/>
      <sheetName val="6.3 ODWODNIENIE PODSTAWOWE"/>
      <sheetName val="1.1 ZBIORCZE"/>
      <sheetName val="3.1 PRZENOŚNIKI"/>
      <sheetName val="Arkusz1"/>
      <sheetName val="B_2__Eliminacje_-pasywa"/>
      <sheetName val="Nota_26_1-2"/>
      <sheetName val="SZKODL98_xls"/>
      <sheetName val="6_3_ODWODNIENIE_PODSTAWOWE"/>
      <sheetName val="1_1_ZBIORCZE"/>
      <sheetName val="3_1_PRZENOŚNIKI"/>
      <sheetName val="Formularz_u_wsparcia"/>
      <sheetName val="Obliczenia 2017"/>
      <sheetName val="main"/>
      <sheetName val="Assumptions"/>
      <sheetName val="B_2__Eliminacje_-pasywa2"/>
      <sheetName val="Nota_26_1-22"/>
      <sheetName val="SZKODL98_xls2"/>
      <sheetName val="6_3_ODWODNIENIE_PODSTAWOWE2"/>
      <sheetName val="1_1_ZBIORCZE2"/>
      <sheetName val="3_1_PRZENOŚNIKI2"/>
      <sheetName val="B_2__Eliminacje_-pasywa1"/>
      <sheetName val="Nota_26_1-21"/>
      <sheetName val="SZKODL98_xls1"/>
      <sheetName val="6_3_ODWODNIENIE_PODSTAWOWE1"/>
      <sheetName val="1_1_ZBIORCZE1"/>
      <sheetName val="3_1_PRZENOŚNIKI1"/>
      <sheetName val="B_2__Eliminacje_-pasywa3"/>
      <sheetName val="Nota_26_1-23"/>
      <sheetName val="SZKODL98_xls3"/>
      <sheetName val="6_3_ODWODNIENIE_PODSTAWOWE3"/>
      <sheetName val="1_1_ZBIORCZE3"/>
      <sheetName val="3_1_PRZENOŚNIKI3"/>
      <sheetName val="B_2__Eliminacje_-pasywa4"/>
      <sheetName val="Nota_26_1-24"/>
      <sheetName val="SZKODL98_xls4"/>
      <sheetName val="6_3_ODWODNIENIE_PODSTAWOWE4"/>
      <sheetName val="1_1_ZBIORCZE4"/>
      <sheetName val="3_1_PRZENOŚNIKI4"/>
      <sheetName val="Obliczenia_2017"/>
      <sheetName val="B_2__Eliminacje_-pasywa5"/>
      <sheetName val="Nota_26_1-25"/>
      <sheetName val="SZKODL98_xls5"/>
      <sheetName val="6_3_ODWODNIENIE_PODSTAWOWE5"/>
      <sheetName val="1_1_ZBIORCZE5"/>
      <sheetName val="3_1_PRZENOŚNIKI5"/>
      <sheetName val="Obliczenia_20171"/>
      <sheetName val="B_2__Eliminacje_-pasywa6"/>
      <sheetName val="Nota_26_1-26"/>
      <sheetName val="SZKODL98_xls6"/>
      <sheetName val="6_3_ODWODNIENIE_PODSTAWOWE6"/>
      <sheetName val="1_1_ZBIORCZE6"/>
      <sheetName val="3_1_PRZENOŚNIKI6"/>
      <sheetName val="7. Porówn lat"/>
      <sheetName val="GB_2009_1"/>
    </sheetNames>
    <definedNames>
      <definedName name="dialog5"/>
      <definedName name="dialog6"/>
      <definedName name="drukuj"/>
      <definedName name="usun_godziny"/>
      <definedName name="usun_urlopy"/>
      <definedName name="wstaw_godziny"/>
      <definedName name="wstaw_urlopy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ZKODL98"/>
      <sheetName val="lista"/>
      <sheetName val="KONS"/>
      <sheetName val="DBIL"/>
      <sheetName val="DRZIS"/>
      <sheetName val="DROZR"/>
      <sheetName val="listy"/>
      <sheetName val="Wykonanie_2009"/>
      <sheetName val="Ster"/>
      <sheetName val="Parametry"/>
      <sheetName val="B.2. Eliminacje -pasywa"/>
      <sheetName val="Nota 26.1-2"/>
      <sheetName val="6.3 ODWODNIENIE PODSTAWOWE"/>
      <sheetName val="Bazy"/>
      <sheetName val="SZKODL98.xls"/>
      <sheetName val="1.1 ZBIORCZE"/>
      <sheetName val="3.1 PRZENOŚNIKI"/>
      <sheetName val="Arkusz1"/>
      <sheetName val="B_2__Eliminacje_-pasywa"/>
      <sheetName val="Nota_26_1-2"/>
      <sheetName val="SZKODL98_xls"/>
      <sheetName val="6_3_ODWODNIENIE_PODSTAWOWE"/>
      <sheetName val="1_1_ZBIORCZE"/>
      <sheetName val="3_1_PRZENOŚNIKI"/>
      <sheetName val="GB_2009_1"/>
      <sheetName val="B_2__Eliminacje_-pasywa2"/>
      <sheetName val="Nota_26_1-22"/>
      <sheetName val="6_3_ODWODNIENIE_PODSTAWOWE2"/>
      <sheetName val="SZKODL98_xls2"/>
      <sheetName val="1_1_ZBIORCZE2"/>
      <sheetName val="3_1_PRZENOŚNIKI2"/>
      <sheetName val="B_2__Eliminacje_-pasywa1"/>
      <sheetName val="Nota_26_1-21"/>
      <sheetName val="6_3_ODWODNIENIE_PODSTAWOWE1"/>
      <sheetName val="SZKODL98_xls1"/>
      <sheetName val="1_1_ZBIORCZE1"/>
      <sheetName val="3_1_PRZENOŚNIKI1"/>
      <sheetName val="B_2__Eliminacje_-pasywa3"/>
      <sheetName val="Nota_26_1-23"/>
      <sheetName val="6_3_ODWODNIENIE_PODSTAWOWE3"/>
      <sheetName val="SZKODL98_xls3"/>
      <sheetName val="1_1_ZBIORCZE3"/>
      <sheetName val="3_1_PRZENOŚNIKI3"/>
      <sheetName val="B_2__Eliminacje_-pasywa4"/>
      <sheetName val="Nota_26_1-24"/>
      <sheetName val="6_3_ODWODNIENIE_PODSTAWOWE4"/>
      <sheetName val="SZKODL98_xls4"/>
      <sheetName val="1_1_ZBIORCZE4"/>
      <sheetName val="3_1_PRZENOŚNIKI4"/>
      <sheetName val="B_2__Eliminacje_-pasywa5"/>
      <sheetName val="Nota_26_1-25"/>
      <sheetName val="6_3_ODWODNIENIE_PODSTAWOWE5"/>
      <sheetName val="SZKODL98_xls5"/>
      <sheetName val="1_1_ZBIORCZE5"/>
      <sheetName val="3_1_PRZENOŚNIKI5"/>
      <sheetName val="B_2__Eliminacje_-pasywa6"/>
      <sheetName val="Nota_26_1-26"/>
      <sheetName val="6_3_ODWODNIENIE_PODSTAWOWE6"/>
      <sheetName val="SZKODL98_xls6"/>
      <sheetName val="1_1_ZBIORCZE6"/>
      <sheetName val="3_1_PRZENOŚNIKI6"/>
      <sheetName val="Formularz_u_wsparcia"/>
      <sheetName val="Obliczenia 2017"/>
      <sheetName val="main"/>
      <sheetName val="Assumptions"/>
      <sheetName val="Obliczenia_2017"/>
      <sheetName val="Obliczenia_20171"/>
      <sheetName val="7. Porówn lat"/>
    </sheetNames>
    <definedNames>
      <definedName name="dialog9"/>
      <definedName name="Moduł2.usun_nazwiska"/>
      <definedName name="Moduł2.usun_rodzaj"/>
      <definedName name="Moduł2.usun_rok"/>
      <definedName name="Moduł2.usun_wydzial"/>
      <definedName name="Moduł2.wstaw_rodzaj"/>
      <definedName name="wpisz"/>
      <definedName name="wstaw_nazwiska"/>
      <definedName name="wstaw_rok"/>
      <definedName name="wstaw_wydzial"/>
      <definedName name="wypisz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Podst"/>
      <sheetName val="CTRL"/>
      <sheetName val="Dane"/>
      <sheetName val="PTYT"/>
      <sheetName val="PRZIS"/>
      <sheetName val="PRZIS przekrój"/>
      <sheetName val="PCP - WYD"/>
      <sheetName val="PCP - WYTW"/>
      <sheetName val="PCP - SOH"/>
      <sheetName val="PCP - SSD"/>
      <sheetName val="PCP - OSD"/>
      <sheetName val="PCP - Centrala"/>
      <sheetName val="PBIL"/>
      <sheetName val="PBIL przekrój"/>
      <sheetName val="PKOS"/>
      <sheetName val="PRODZ"/>
      <sheetName val="PRODZ przekrój"/>
      <sheetName val="PRZIS - WYD"/>
      <sheetName val="PRZIS - WYTW"/>
      <sheetName val="PRZIS - SOH"/>
      <sheetName val="PRZIS - SSD"/>
      <sheetName val="PRZIS - OSD"/>
      <sheetName val="--"/>
      <sheetName val="Harmonogram"/>
      <sheetName val="TYT"/>
      <sheetName val="SPIS"/>
      <sheetName val="RZIS"/>
      <sheetName val="RZIS - WYD"/>
      <sheetName val="RZIS - WYTW"/>
      <sheetName val="RZIS - SOH"/>
      <sheetName val="RZIS - SSD"/>
      <sheetName val="RZIS - OSD"/>
      <sheetName val="CP - WYD"/>
      <sheetName val="CP - WYTW"/>
      <sheetName val="CP - SOH"/>
      <sheetName val="CP - SSD"/>
      <sheetName val="CP - OSD"/>
      <sheetName val="CP - Centrala"/>
      <sheetName val="KOM"/>
      <sheetName val="PZS"/>
      <sheetName val="RODZ"/>
      <sheetName val="KOSP"/>
      <sheetName val="KOS"/>
      <sheetName val="W1m"/>
      <sheetName val="W1n"/>
      <sheetName val="W3m"/>
      <sheetName val="W3n"/>
      <sheetName val="BIL"/>
      <sheetName val="CF"/>
      <sheetName val="ROZR"/>
      <sheetName val="KALK"/>
      <sheetName val="-"/>
      <sheetName val="DRZIS"/>
      <sheetName val="DCF"/>
      <sheetName val="DROZR"/>
      <sheetName val="DBIL"/>
      <sheetName val="KOSZTY"/>
      <sheetName val="PRZYCH"/>
      <sheetName val="OPS"/>
      <sheetName val="KONS"/>
      <sheetName val="WSAD-WYD"/>
      <sheetName val="WSAD - WYTWEE"/>
      <sheetName val="WSAD - WYTWEC"/>
      <sheetName val="WSAD - SOH"/>
      <sheetName val="WSAD - SSD"/>
      <sheetName val="WSAD - OSD"/>
      <sheetName val="SSD portfel sprzedaży"/>
      <sheetName val="SSD portfel zakupów"/>
      <sheetName val="SSD klienci spoza PGE"/>
      <sheetName val="SSD liczba odbiorców"/>
      <sheetName val="KUDK"/>
      <sheetName val="CP - PDZ"/>
      <sheetName val="raport_SOH_PSE-Electra_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>
        <row r="44"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</row>
        <row r="45"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</row>
        <row r="47"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GD47">
            <v>869.02</v>
          </cell>
          <cell r="GE47">
            <v>1064.2</v>
          </cell>
          <cell r="GF47">
            <v>748.82</v>
          </cell>
          <cell r="GG47">
            <v>413.67</v>
          </cell>
          <cell r="GH47">
            <v>159.93</v>
          </cell>
          <cell r="GI47">
            <v>95.26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1427.32</v>
          </cell>
          <cell r="GO47">
            <v>2860.8</v>
          </cell>
        </row>
      </sheetData>
      <sheetData sheetId="53" refreshError="1"/>
      <sheetData sheetId="54" refreshError="1">
        <row r="11">
          <cell r="E11">
            <v>243648.45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</row>
      </sheetData>
      <sheetData sheetId="55" refreshError="1">
        <row r="14"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GD14">
            <v>52.62</v>
          </cell>
          <cell r="GE14">
            <v>48.13</v>
          </cell>
          <cell r="GF14">
            <v>66.03</v>
          </cell>
          <cell r="GG14">
            <v>61.12</v>
          </cell>
          <cell r="GH14">
            <v>122.67</v>
          </cell>
          <cell r="GI14">
            <v>114.99</v>
          </cell>
          <cell r="GJ14">
            <v>107.31</v>
          </cell>
          <cell r="GK14">
            <v>99.63</v>
          </cell>
          <cell r="GL14">
            <v>138.05000000000001</v>
          </cell>
          <cell r="GM14">
            <v>253.52</v>
          </cell>
          <cell r="GN14">
            <v>238.71</v>
          </cell>
          <cell r="GO14">
            <v>318.11</v>
          </cell>
        </row>
        <row r="15"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GD15">
            <v>7042.61</v>
          </cell>
          <cell r="GE15">
            <v>7014.23</v>
          </cell>
          <cell r="GF15">
            <v>6965.28</v>
          </cell>
          <cell r="GG15">
            <v>7003.13</v>
          </cell>
          <cell r="GH15">
            <v>7222.09</v>
          </cell>
          <cell r="GI15">
            <v>7212.55</v>
          </cell>
          <cell r="GJ15">
            <v>7187.89</v>
          </cell>
          <cell r="GK15">
            <v>7157.7</v>
          </cell>
          <cell r="GL15">
            <v>7136.66</v>
          </cell>
          <cell r="GM15">
            <v>7100.81</v>
          </cell>
          <cell r="GN15">
            <v>7193.84</v>
          </cell>
          <cell r="GO15">
            <v>7663.35</v>
          </cell>
        </row>
        <row r="18"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GD18">
            <v>973.96</v>
          </cell>
          <cell r="GE18">
            <v>2347.27</v>
          </cell>
          <cell r="GF18">
            <v>2347.27</v>
          </cell>
          <cell r="GG18">
            <v>2347.27</v>
          </cell>
          <cell r="GH18">
            <v>2347.27</v>
          </cell>
          <cell r="GI18">
            <v>2347.27</v>
          </cell>
          <cell r="GJ18">
            <v>2347.27</v>
          </cell>
          <cell r="GK18">
            <v>2347.27</v>
          </cell>
          <cell r="GL18">
            <v>2347.27</v>
          </cell>
          <cell r="GM18">
            <v>2347.27</v>
          </cell>
          <cell r="GN18">
            <v>2347.27</v>
          </cell>
          <cell r="GO18">
            <v>1406.16</v>
          </cell>
        </row>
        <row r="20"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GD20">
            <v>3639.32</v>
          </cell>
          <cell r="GE20">
            <v>7.2</v>
          </cell>
          <cell r="GF20">
            <v>3319.31</v>
          </cell>
          <cell r="GG20">
            <v>4468.5600000000004</v>
          </cell>
          <cell r="GH20">
            <v>3466.36</v>
          </cell>
          <cell r="GI20">
            <v>7879.8</v>
          </cell>
          <cell r="GJ20">
            <v>2249.46</v>
          </cell>
          <cell r="GK20">
            <v>1917.71</v>
          </cell>
          <cell r="GL20">
            <v>5983.87</v>
          </cell>
          <cell r="GM20">
            <v>5557.55</v>
          </cell>
          <cell r="GN20">
            <v>3390.57</v>
          </cell>
          <cell r="GO20">
            <v>3441.33</v>
          </cell>
        </row>
        <row r="27"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GD27">
            <v>65348.63</v>
          </cell>
          <cell r="GE27">
            <v>65454.559999999998</v>
          </cell>
          <cell r="GF27">
            <v>69401.009999999995</v>
          </cell>
          <cell r="GG27">
            <v>67380.600000000006</v>
          </cell>
          <cell r="GH27">
            <v>57267.49</v>
          </cell>
          <cell r="GI27">
            <v>56404.41</v>
          </cell>
          <cell r="GJ27">
            <v>52535.41</v>
          </cell>
          <cell r="GK27">
            <v>62853.120000000003</v>
          </cell>
          <cell r="GL27">
            <v>62860.15</v>
          </cell>
          <cell r="GM27">
            <v>52812.67</v>
          </cell>
          <cell r="GN27">
            <v>70496.02</v>
          </cell>
          <cell r="GO27">
            <v>115106.64</v>
          </cell>
        </row>
        <row r="28"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GD28">
            <v>334.4</v>
          </cell>
          <cell r="GE28">
            <v>3294.44</v>
          </cell>
          <cell r="GF28">
            <v>2960.04</v>
          </cell>
          <cell r="GG28">
            <v>2958.94</v>
          </cell>
          <cell r="GH28">
            <v>4953.6099999999997</v>
          </cell>
          <cell r="GI28">
            <v>2958.94</v>
          </cell>
          <cell r="GJ28">
            <v>4163.82</v>
          </cell>
          <cell r="GK28">
            <v>4166.1000000000004</v>
          </cell>
          <cell r="GL28">
            <v>4137.1899999999996</v>
          </cell>
          <cell r="GM28">
            <v>2955.45</v>
          </cell>
          <cell r="GN28">
            <v>2955.45</v>
          </cell>
          <cell r="GO28">
            <v>2974.5099999999948</v>
          </cell>
        </row>
        <row r="29"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GD29">
            <v>205.19</v>
          </cell>
          <cell r="GE29">
            <v>166.27</v>
          </cell>
          <cell r="GF29">
            <v>158.35</v>
          </cell>
          <cell r="GG29">
            <v>125.36</v>
          </cell>
          <cell r="GH29">
            <v>104.81</v>
          </cell>
          <cell r="GI29">
            <v>77.84</v>
          </cell>
          <cell r="GJ29">
            <v>102.51</v>
          </cell>
          <cell r="GK29">
            <v>82.98</v>
          </cell>
          <cell r="GL29">
            <v>86.8</v>
          </cell>
          <cell r="GM29">
            <v>132.16</v>
          </cell>
          <cell r="GN29">
            <v>112.15</v>
          </cell>
          <cell r="GO29">
            <v>141.38999999999999</v>
          </cell>
        </row>
        <row r="32"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GD32">
            <v>500</v>
          </cell>
          <cell r="GE32">
            <v>500</v>
          </cell>
          <cell r="GF32">
            <v>500</v>
          </cell>
          <cell r="GG32">
            <v>500</v>
          </cell>
          <cell r="GH32">
            <v>500</v>
          </cell>
          <cell r="GI32">
            <v>500</v>
          </cell>
          <cell r="GJ32">
            <v>500</v>
          </cell>
          <cell r="GK32">
            <v>500</v>
          </cell>
          <cell r="GL32">
            <v>500</v>
          </cell>
          <cell r="GM32">
            <v>500</v>
          </cell>
          <cell r="GN32">
            <v>500</v>
          </cell>
          <cell r="GO32">
            <v>500</v>
          </cell>
        </row>
        <row r="33"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GD33">
            <v>2071.27</v>
          </cell>
          <cell r="GE33">
            <v>2071.27</v>
          </cell>
          <cell r="GF33">
            <v>2071.27</v>
          </cell>
          <cell r="GG33">
            <v>2071.27</v>
          </cell>
          <cell r="GH33">
            <v>2071.27</v>
          </cell>
          <cell r="GI33">
            <v>2071.27</v>
          </cell>
          <cell r="GJ33">
            <v>2071.27</v>
          </cell>
          <cell r="GK33">
            <v>2071.27</v>
          </cell>
          <cell r="GL33">
            <v>2071.27</v>
          </cell>
          <cell r="GM33">
            <v>2071.27</v>
          </cell>
          <cell r="GN33">
            <v>2071.27</v>
          </cell>
          <cell r="GO33">
            <v>2071.27</v>
          </cell>
        </row>
        <row r="39"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GD39">
            <v>13010.136</v>
          </cell>
          <cell r="GE39">
            <v>14000.262000000001</v>
          </cell>
          <cell r="GF39">
            <v>12248.29</v>
          </cell>
          <cell r="GG39">
            <v>12171.223999999998</v>
          </cell>
          <cell r="GH39">
            <v>10654.725999999999</v>
          </cell>
          <cell r="GI39">
            <v>10222.327000000001</v>
          </cell>
          <cell r="GJ39">
            <v>6884.7640000000001</v>
          </cell>
          <cell r="GK39">
            <v>5822.3720000000003</v>
          </cell>
          <cell r="GL39">
            <v>7058.5689999999995</v>
          </cell>
          <cell r="GM39">
            <v>6279.5159999999996</v>
          </cell>
          <cell r="GN39">
            <v>7217.4229999999998</v>
          </cell>
          <cell r="GO39">
            <v>3532.11</v>
          </cell>
        </row>
        <row r="50"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</row>
        <row r="51"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</row>
        <row r="52"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GD52">
            <v>7750.6539999999995</v>
          </cell>
          <cell r="GE52">
            <v>8868.3690000000006</v>
          </cell>
          <cell r="GF52">
            <v>1082.345</v>
          </cell>
          <cell r="GG52">
            <v>1492.3870000000002</v>
          </cell>
          <cell r="GH52">
            <v>353.30500000000001</v>
          </cell>
          <cell r="GI52">
            <v>1019.652</v>
          </cell>
          <cell r="GJ52">
            <v>854.91199999999992</v>
          </cell>
          <cell r="GK52">
            <v>2729.373</v>
          </cell>
          <cell r="GL52">
            <v>977.76299999999992</v>
          </cell>
          <cell r="GM52">
            <v>869.31099999999992</v>
          </cell>
          <cell r="GN52">
            <v>1210.06</v>
          </cell>
          <cell r="GO52">
            <v>66678.929999999993</v>
          </cell>
        </row>
        <row r="53"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GD53">
            <v>7503.5869999999995</v>
          </cell>
          <cell r="GE53">
            <v>8669.0190000000002</v>
          </cell>
          <cell r="GF53">
            <v>883.745</v>
          </cell>
          <cell r="GG53">
            <v>1217.278</v>
          </cell>
          <cell r="GH53">
            <v>161.958</v>
          </cell>
          <cell r="GI53">
            <v>704.81299999999999</v>
          </cell>
          <cell r="GJ53">
            <v>606.84799999999996</v>
          </cell>
          <cell r="GK53">
            <v>2491.0929999999998</v>
          </cell>
          <cell r="GL53">
            <v>669.41399999999999</v>
          </cell>
          <cell r="GM53">
            <v>602.721</v>
          </cell>
          <cell r="GN53">
            <v>1009.08</v>
          </cell>
          <cell r="GO53">
            <v>11245.54</v>
          </cell>
        </row>
        <row r="54"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992.64</v>
          </cell>
        </row>
        <row r="55"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GD55">
            <v>247.06700000000004</v>
          </cell>
          <cell r="GE55">
            <v>199.35</v>
          </cell>
          <cell r="GF55">
            <v>198.6</v>
          </cell>
          <cell r="GG55">
            <v>275.10900000000004</v>
          </cell>
          <cell r="GH55">
            <v>191.34700000000001</v>
          </cell>
          <cell r="GI55">
            <v>314.839</v>
          </cell>
          <cell r="GJ55">
            <v>248.06399999999999</v>
          </cell>
          <cell r="GK55">
            <v>238.28</v>
          </cell>
          <cell r="GL55">
            <v>308.34899999999999</v>
          </cell>
          <cell r="GM55">
            <v>266.58999999999997</v>
          </cell>
          <cell r="GN55">
            <v>200.98</v>
          </cell>
          <cell r="GO55">
            <v>54440.75</v>
          </cell>
        </row>
        <row r="56"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GD56">
            <v>1841.33</v>
          </cell>
          <cell r="GE56">
            <v>1843.58</v>
          </cell>
          <cell r="GF56">
            <v>2018.24</v>
          </cell>
          <cell r="GG56">
            <v>2027.24</v>
          </cell>
          <cell r="GH56">
            <v>2121.81</v>
          </cell>
          <cell r="GI56">
            <v>2110.2199999999998</v>
          </cell>
          <cell r="GJ56">
            <v>2093.4899999999998</v>
          </cell>
          <cell r="GK56">
            <v>2079.38</v>
          </cell>
          <cell r="GL56">
            <v>2072.75</v>
          </cell>
          <cell r="GM56">
            <v>2068.9</v>
          </cell>
          <cell r="GN56">
            <v>2065.0300000000002</v>
          </cell>
          <cell r="GO56">
            <v>2068.77</v>
          </cell>
        </row>
        <row r="57"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GD57">
            <v>52.74</v>
          </cell>
          <cell r="GE57">
            <v>37.369999999999997</v>
          </cell>
          <cell r="GF57">
            <v>15</v>
          </cell>
          <cell r="GG57">
            <v>0</v>
          </cell>
          <cell r="GH57">
            <v>0</v>
          </cell>
          <cell r="GI57">
            <v>15</v>
          </cell>
          <cell r="GJ57">
            <v>15</v>
          </cell>
          <cell r="GK57">
            <v>15</v>
          </cell>
          <cell r="GL57">
            <v>15</v>
          </cell>
          <cell r="GM57">
            <v>15</v>
          </cell>
          <cell r="GN57">
            <v>15</v>
          </cell>
          <cell r="GO57">
            <v>1714.97</v>
          </cell>
        </row>
      </sheetData>
      <sheetData sheetId="56" refreshError="1">
        <row r="434">
          <cell r="GS434">
            <v>0</v>
          </cell>
          <cell r="GT434">
            <v>0</v>
          </cell>
          <cell r="GU434">
            <v>0</v>
          </cell>
          <cell r="GV434">
            <v>0</v>
          </cell>
          <cell r="GW434">
            <v>0</v>
          </cell>
          <cell r="GX434">
            <v>0</v>
          </cell>
          <cell r="GY434">
            <v>0</v>
          </cell>
          <cell r="GZ434">
            <v>0</v>
          </cell>
          <cell r="HA434">
            <v>0</v>
          </cell>
          <cell r="HB434">
            <v>0</v>
          </cell>
          <cell r="HC434">
            <v>0</v>
          </cell>
          <cell r="HD434">
            <v>0</v>
          </cell>
          <cell r="HH434">
            <v>0</v>
          </cell>
          <cell r="HI434">
            <v>0</v>
          </cell>
          <cell r="HJ434">
            <v>0</v>
          </cell>
          <cell r="HK434">
            <v>0</v>
          </cell>
          <cell r="HL434">
            <v>0</v>
          </cell>
          <cell r="HM434">
            <v>0</v>
          </cell>
          <cell r="HN434">
            <v>0</v>
          </cell>
          <cell r="HO434">
            <v>0</v>
          </cell>
          <cell r="HP434">
            <v>0</v>
          </cell>
          <cell r="HQ434">
            <v>0</v>
          </cell>
          <cell r="HR434">
            <v>0</v>
          </cell>
          <cell r="HS434">
            <v>0</v>
          </cell>
          <cell r="II434">
            <v>45.55</v>
          </cell>
          <cell r="IJ434">
            <v>84.54</v>
          </cell>
          <cell r="IK434">
            <v>123.54</v>
          </cell>
          <cell r="IL434">
            <v>160.63</v>
          </cell>
          <cell r="IM434">
            <v>197.71</v>
          </cell>
          <cell r="IN434">
            <v>236.37</v>
          </cell>
          <cell r="IO434">
            <v>277.45</v>
          </cell>
          <cell r="IP434">
            <v>315.37</v>
          </cell>
          <cell r="IQ434">
            <v>353.88</v>
          </cell>
          <cell r="IR434">
            <v>394.04</v>
          </cell>
          <cell r="IS434">
            <v>482.11</v>
          </cell>
          <cell r="IT434">
            <v>538.33000000000004</v>
          </cell>
        </row>
        <row r="435">
          <cell r="GS435">
            <v>0</v>
          </cell>
          <cell r="GT435">
            <v>0</v>
          </cell>
          <cell r="GU435">
            <v>0</v>
          </cell>
          <cell r="GV435">
            <v>0</v>
          </cell>
          <cell r="GW435">
            <v>0</v>
          </cell>
          <cell r="GX435">
            <v>0</v>
          </cell>
          <cell r="GY435">
            <v>0</v>
          </cell>
          <cell r="GZ435">
            <v>0</v>
          </cell>
          <cell r="HA435">
            <v>0</v>
          </cell>
          <cell r="HB435">
            <v>0</v>
          </cell>
          <cell r="HC435">
            <v>0</v>
          </cell>
          <cell r="HD435">
            <v>0</v>
          </cell>
          <cell r="HH435">
            <v>0</v>
          </cell>
          <cell r="HI435">
            <v>0</v>
          </cell>
          <cell r="HJ435">
            <v>0</v>
          </cell>
          <cell r="HK435">
            <v>0</v>
          </cell>
          <cell r="HL435">
            <v>0</v>
          </cell>
          <cell r="HM435">
            <v>0</v>
          </cell>
          <cell r="HN435">
            <v>0</v>
          </cell>
          <cell r="HO435">
            <v>0</v>
          </cell>
          <cell r="HP435">
            <v>0</v>
          </cell>
          <cell r="HQ435">
            <v>0</v>
          </cell>
          <cell r="HR435">
            <v>0</v>
          </cell>
          <cell r="HS435">
            <v>0</v>
          </cell>
          <cell r="II435">
            <v>18.37</v>
          </cell>
          <cell r="IJ435">
            <v>34.950000000000003</v>
          </cell>
          <cell r="IK435">
            <v>50.02</v>
          </cell>
          <cell r="IL435">
            <v>74.58</v>
          </cell>
          <cell r="IM435">
            <v>95.26</v>
          </cell>
          <cell r="IN435">
            <v>108.13</v>
          </cell>
          <cell r="IO435">
            <v>124.45</v>
          </cell>
          <cell r="IP435">
            <v>137.80000000000001</v>
          </cell>
          <cell r="IQ435">
            <v>170.23</v>
          </cell>
          <cell r="IR435">
            <v>201.92</v>
          </cell>
          <cell r="IS435">
            <v>305.49</v>
          </cell>
          <cell r="IT435">
            <v>369.25</v>
          </cell>
        </row>
        <row r="436">
          <cell r="GS436">
            <v>0</v>
          </cell>
          <cell r="GT436">
            <v>0</v>
          </cell>
          <cell r="GU436">
            <v>0</v>
          </cell>
          <cell r="GV436">
            <v>0</v>
          </cell>
          <cell r="GW436">
            <v>0</v>
          </cell>
          <cell r="GX436">
            <v>0</v>
          </cell>
          <cell r="GY436">
            <v>0</v>
          </cell>
          <cell r="GZ436">
            <v>0</v>
          </cell>
          <cell r="HA436">
            <v>0</v>
          </cell>
          <cell r="HB436">
            <v>0</v>
          </cell>
          <cell r="HC436">
            <v>0</v>
          </cell>
          <cell r="HD436">
            <v>0</v>
          </cell>
          <cell r="HH436">
            <v>0</v>
          </cell>
          <cell r="HI436">
            <v>0</v>
          </cell>
          <cell r="HJ436">
            <v>0</v>
          </cell>
          <cell r="HK436">
            <v>0</v>
          </cell>
          <cell r="HL436">
            <v>0</v>
          </cell>
          <cell r="HM436">
            <v>0</v>
          </cell>
          <cell r="HN436">
            <v>0</v>
          </cell>
          <cell r="HO436">
            <v>0</v>
          </cell>
          <cell r="HP436">
            <v>0</v>
          </cell>
          <cell r="HQ436">
            <v>0</v>
          </cell>
          <cell r="HR436">
            <v>0</v>
          </cell>
          <cell r="HS436">
            <v>0</v>
          </cell>
          <cell r="II436">
            <v>0</v>
          </cell>
          <cell r="IJ436">
            <v>0</v>
          </cell>
          <cell r="IK436">
            <v>0</v>
          </cell>
          <cell r="IL436">
            <v>0</v>
          </cell>
          <cell r="IM436">
            <v>0</v>
          </cell>
          <cell r="IN436">
            <v>0</v>
          </cell>
          <cell r="IO436">
            <v>0</v>
          </cell>
          <cell r="IP436">
            <v>0</v>
          </cell>
          <cell r="IQ436">
            <v>0</v>
          </cell>
          <cell r="IR436">
            <v>0</v>
          </cell>
          <cell r="IS436">
            <v>0</v>
          </cell>
          <cell r="IT436">
            <v>0</v>
          </cell>
        </row>
        <row r="437">
          <cell r="GS437">
            <v>0</v>
          </cell>
          <cell r="GT437">
            <v>0</v>
          </cell>
          <cell r="GU437">
            <v>0</v>
          </cell>
          <cell r="GV437">
            <v>0</v>
          </cell>
          <cell r="GW437">
            <v>0</v>
          </cell>
          <cell r="GX437">
            <v>0</v>
          </cell>
          <cell r="GY437">
            <v>0</v>
          </cell>
          <cell r="GZ437">
            <v>0</v>
          </cell>
          <cell r="HA437">
            <v>0</v>
          </cell>
          <cell r="HB437">
            <v>0</v>
          </cell>
          <cell r="HC437">
            <v>0</v>
          </cell>
          <cell r="HD437">
            <v>0</v>
          </cell>
          <cell r="HH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0</v>
          </cell>
          <cell r="HN437">
            <v>0</v>
          </cell>
          <cell r="HO437">
            <v>0</v>
          </cell>
          <cell r="HP437">
            <v>0</v>
          </cell>
          <cell r="HQ437">
            <v>0</v>
          </cell>
          <cell r="HR437">
            <v>0</v>
          </cell>
          <cell r="HS437">
            <v>0</v>
          </cell>
          <cell r="II437">
            <v>0</v>
          </cell>
          <cell r="IJ437">
            <v>0</v>
          </cell>
          <cell r="IK437">
            <v>0</v>
          </cell>
          <cell r="IL437">
            <v>0</v>
          </cell>
          <cell r="IM437">
            <v>0</v>
          </cell>
          <cell r="IN437">
            <v>0</v>
          </cell>
          <cell r="IO437">
            <v>0</v>
          </cell>
          <cell r="IP437">
            <v>0</v>
          </cell>
          <cell r="IQ437">
            <v>0</v>
          </cell>
          <cell r="IR437">
            <v>0</v>
          </cell>
          <cell r="IS437">
            <v>0</v>
          </cell>
          <cell r="IT437">
            <v>0</v>
          </cell>
        </row>
        <row r="438">
          <cell r="GS438">
            <v>0</v>
          </cell>
          <cell r="GT438">
            <v>0</v>
          </cell>
          <cell r="GU438">
            <v>0</v>
          </cell>
          <cell r="GV438">
            <v>0</v>
          </cell>
          <cell r="GW438">
            <v>0</v>
          </cell>
          <cell r="GX438">
            <v>0</v>
          </cell>
          <cell r="GY438">
            <v>0</v>
          </cell>
          <cell r="GZ438">
            <v>0</v>
          </cell>
          <cell r="HA438">
            <v>0</v>
          </cell>
          <cell r="HB438">
            <v>0</v>
          </cell>
          <cell r="HC438">
            <v>0</v>
          </cell>
          <cell r="HD438">
            <v>0</v>
          </cell>
          <cell r="HH438">
            <v>0</v>
          </cell>
          <cell r="HI438">
            <v>0</v>
          </cell>
          <cell r="HJ438">
            <v>0</v>
          </cell>
          <cell r="HK438">
            <v>0</v>
          </cell>
          <cell r="HL438">
            <v>0</v>
          </cell>
          <cell r="HM438">
            <v>0</v>
          </cell>
          <cell r="HN438">
            <v>0</v>
          </cell>
          <cell r="HO438">
            <v>0</v>
          </cell>
          <cell r="HP438">
            <v>0</v>
          </cell>
          <cell r="HQ438">
            <v>0</v>
          </cell>
          <cell r="HR438">
            <v>0</v>
          </cell>
          <cell r="HS438">
            <v>0</v>
          </cell>
          <cell r="II438">
            <v>0</v>
          </cell>
          <cell r="IJ438">
            <v>0</v>
          </cell>
          <cell r="IK438">
            <v>0</v>
          </cell>
          <cell r="IL438">
            <v>0</v>
          </cell>
          <cell r="IM438">
            <v>0</v>
          </cell>
          <cell r="IN438">
            <v>0</v>
          </cell>
          <cell r="IO438">
            <v>0</v>
          </cell>
          <cell r="IP438">
            <v>0</v>
          </cell>
          <cell r="IQ438">
            <v>0</v>
          </cell>
          <cell r="IR438">
            <v>0</v>
          </cell>
          <cell r="IS438">
            <v>0</v>
          </cell>
          <cell r="IT438">
            <v>0</v>
          </cell>
        </row>
        <row r="440">
          <cell r="GS440">
            <v>0</v>
          </cell>
          <cell r="GT440">
            <v>0</v>
          </cell>
          <cell r="GU440">
            <v>0</v>
          </cell>
          <cell r="GV440">
            <v>0</v>
          </cell>
          <cell r="GW440">
            <v>0</v>
          </cell>
          <cell r="GX440">
            <v>0</v>
          </cell>
          <cell r="GY440">
            <v>0</v>
          </cell>
          <cell r="GZ440">
            <v>0</v>
          </cell>
          <cell r="HA440">
            <v>0</v>
          </cell>
          <cell r="HB440">
            <v>0</v>
          </cell>
          <cell r="HC440">
            <v>0</v>
          </cell>
          <cell r="HD440">
            <v>0</v>
          </cell>
          <cell r="HH440">
            <v>0</v>
          </cell>
          <cell r="HI440">
            <v>0</v>
          </cell>
          <cell r="HJ440">
            <v>0</v>
          </cell>
          <cell r="HK440">
            <v>0</v>
          </cell>
          <cell r="HL440">
            <v>0</v>
          </cell>
          <cell r="HM440">
            <v>0</v>
          </cell>
          <cell r="HN440">
            <v>0</v>
          </cell>
          <cell r="HO440">
            <v>0</v>
          </cell>
          <cell r="HP440">
            <v>0</v>
          </cell>
          <cell r="HQ440">
            <v>0</v>
          </cell>
          <cell r="HR440">
            <v>0</v>
          </cell>
          <cell r="HS440">
            <v>0</v>
          </cell>
          <cell r="II440">
            <v>0</v>
          </cell>
          <cell r="IJ440">
            <v>0</v>
          </cell>
          <cell r="IK440">
            <v>0</v>
          </cell>
          <cell r="IL440">
            <v>0</v>
          </cell>
          <cell r="IM440">
            <v>0</v>
          </cell>
          <cell r="IN440">
            <v>0</v>
          </cell>
          <cell r="IO440">
            <v>0</v>
          </cell>
          <cell r="IP440">
            <v>0</v>
          </cell>
          <cell r="IQ440">
            <v>0</v>
          </cell>
          <cell r="IR440">
            <v>0</v>
          </cell>
          <cell r="IS440">
            <v>0</v>
          </cell>
          <cell r="IT440">
            <v>0</v>
          </cell>
        </row>
        <row r="441">
          <cell r="GS441">
            <v>0</v>
          </cell>
          <cell r="GT441">
            <v>0</v>
          </cell>
          <cell r="GU441">
            <v>0</v>
          </cell>
          <cell r="GV441">
            <v>0</v>
          </cell>
          <cell r="GW441">
            <v>0</v>
          </cell>
          <cell r="GX441">
            <v>0</v>
          </cell>
          <cell r="GY441">
            <v>0</v>
          </cell>
          <cell r="GZ441">
            <v>0</v>
          </cell>
          <cell r="HA441">
            <v>0</v>
          </cell>
          <cell r="HB441">
            <v>0</v>
          </cell>
          <cell r="HC441">
            <v>0</v>
          </cell>
          <cell r="HD441">
            <v>0</v>
          </cell>
          <cell r="HH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0</v>
          </cell>
          <cell r="HN441">
            <v>0</v>
          </cell>
          <cell r="HO441">
            <v>0</v>
          </cell>
          <cell r="HP441">
            <v>0</v>
          </cell>
          <cell r="HQ441">
            <v>0</v>
          </cell>
          <cell r="HR441">
            <v>0</v>
          </cell>
          <cell r="HS441">
            <v>0</v>
          </cell>
          <cell r="II441">
            <v>0</v>
          </cell>
          <cell r="IJ441">
            <v>0</v>
          </cell>
          <cell r="IK441">
            <v>0</v>
          </cell>
          <cell r="IL441">
            <v>0</v>
          </cell>
          <cell r="IM441">
            <v>0</v>
          </cell>
          <cell r="IN441">
            <v>0</v>
          </cell>
          <cell r="IO441">
            <v>0</v>
          </cell>
          <cell r="IP441">
            <v>0</v>
          </cell>
          <cell r="IQ441">
            <v>0</v>
          </cell>
          <cell r="IR441">
            <v>0</v>
          </cell>
          <cell r="IS441">
            <v>0</v>
          </cell>
          <cell r="IT441">
            <v>0</v>
          </cell>
        </row>
        <row r="442"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0</v>
          </cell>
          <cell r="GX442">
            <v>0</v>
          </cell>
          <cell r="GY442">
            <v>0</v>
          </cell>
          <cell r="GZ442">
            <v>0</v>
          </cell>
          <cell r="HA442">
            <v>0</v>
          </cell>
          <cell r="HB442">
            <v>0</v>
          </cell>
          <cell r="HC442">
            <v>0</v>
          </cell>
          <cell r="HD442">
            <v>0</v>
          </cell>
          <cell r="HH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0</v>
          </cell>
          <cell r="HN442">
            <v>0</v>
          </cell>
          <cell r="HO442">
            <v>0</v>
          </cell>
          <cell r="HP442">
            <v>0</v>
          </cell>
          <cell r="HQ442">
            <v>0</v>
          </cell>
          <cell r="HR442">
            <v>0</v>
          </cell>
          <cell r="HS442">
            <v>0</v>
          </cell>
          <cell r="II442">
            <v>0</v>
          </cell>
          <cell r="IJ442">
            <v>0</v>
          </cell>
          <cell r="IK442">
            <v>0</v>
          </cell>
          <cell r="IL442">
            <v>0</v>
          </cell>
          <cell r="IM442">
            <v>0</v>
          </cell>
          <cell r="IN442">
            <v>0</v>
          </cell>
          <cell r="IO442">
            <v>0</v>
          </cell>
          <cell r="IP442">
            <v>0</v>
          </cell>
          <cell r="IQ442">
            <v>0</v>
          </cell>
          <cell r="IR442">
            <v>0</v>
          </cell>
          <cell r="IS442">
            <v>0</v>
          </cell>
          <cell r="IT442">
            <v>0</v>
          </cell>
        </row>
        <row r="443"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0</v>
          </cell>
          <cell r="GX443">
            <v>0</v>
          </cell>
          <cell r="GY443">
            <v>0</v>
          </cell>
          <cell r="GZ443">
            <v>0</v>
          </cell>
          <cell r="HA443">
            <v>0</v>
          </cell>
          <cell r="HB443">
            <v>0</v>
          </cell>
          <cell r="HC443">
            <v>0</v>
          </cell>
          <cell r="HD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0</v>
          </cell>
          <cell r="HN443">
            <v>0</v>
          </cell>
          <cell r="HO443">
            <v>0</v>
          </cell>
          <cell r="HP443">
            <v>0</v>
          </cell>
          <cell r="HQ443">
            <v>0</v>
          </cell>
          <cell r="HR443">
            <v>0</v>
          </cell>
          <cell r="HS443">
            <v>0</v>
          </cell>
          <cell r="II443">
            <v>0</v>
          </cell>
          <cell r="IJ443">
            <v>0</v>
          </cell>
          <cell r="IK443">
            <v>0</v>
          </cell>
          <cell r="IL443">
            <v>0</v>
          </cell>
          <cell r="IM443">
            <v>0</v>
          </cell>
          <cell r="IN443">
            <v>0</v>
          </cell>
          <cell r="IO443">
            <v>0</v>
          </cell>
          <cell r="IP443">
            <v>0</v>
          </cell>
          <cell r="IQ443">
            <v>0</v>
          </cell>
          <cell r="IR443">
            <v>0</v>
          </cell>
          <cell r="IS443">
            <v>0</v>
          </cell>
          <cell r="IT443">
            <v>0</v>
          </cell>
        </row>
        <row r="445">
          <cell r="GS445">
            <v>0</v>
          </cell>
          <cell r="GT445">
            <v>0</v>
          </cell>
          <cell r="GU445">
            <v>0</v>
          </cell>
          <cell r="GV445">
            <v>0</v>
          </cell>
          <cell r="GW445">
            <v>0</v>
          </cell>
          <cell r="GX445">
            <v>0</v>
          </cell>
          <cell r="GY445">
            <v>0</v>
          </cell>
          <cell r="GZ445">
            <v>0</v>
          </cell>
          <cell r="HA445">
            <v>0</v>
          </cell>
          <cell r="HB445">
            <v>0</v>
          </cell>
          <cell r="HC445">
            <v>0</v>
          </cell>
          <cell r="HD445">
            <v>0</v>
          </cell>
          <cell r="HH445">
            <v>0</v>
          </cell>
          <cell r="HI445">
            <v>0</v>
          </cell>
          <cell r="HJ445">
            <v>0</v>
          </cell>
          <cell r="HK445">
            <v>0</v>
          </cell>
          <cell r="HL445">
            <v>0</v>
          </cell>
          <cell r="HM445">
            <v>0</v>
          </cell>
          <cell r="HN445">
            <v>0</v>
          </cell>
          <cell r="HO445">
            <v>0</v>
          </cell>
          <cell r="HP445">
            <v>0</v>
          </cell>
          <cell r="HQ445">
            <v>0</v>
          </cell>
          <cell r="HR445">
            <v>0</v>
          </cell>
          <cell r="HS445">
            <v>0</v>
          </cell>
          <cell r="II445">
            <v>0</v>
          </cell>
          <cell r="IJ445">
            <v>0</v>
          </cell>
          <cell r="IK445">
            <v>0</v>
          </cell>
          <cell r="IL445">
            <v>0</v>
          </cell>
          <cell r="IM445">
            <v>0</v>
          </cell>
          <cell r="IN445">
            <v>0</v>
          </cell>
          <cell r="IO445">
            <v>0</v>
          </cell>
          <cell r="IP445">
            <v>0</v>
          </cell>
          <cell r="IQ445">
            <v>0</v>
          </cell>
          <cell r="IR445">
            <v>0</v>
          </cell>
          <cell r="IS445">
            <v>0</v>
          </cell>
          <cell r="IT445">
            <v>0</v>
          </cell>
        </row>
        <row r="446">
          <cell r="GS446">
            <v>0</v>
          </cell>
          <cell r="GT446">
            <v>0</v>
          </cell>
          <cell r="GU446">
            <v>0</v>
          </cell>
          <cell r="GV446">
            <v>0</v>
          </cell>
          <cell r="GW446">
            <v>0</v>
          </cell>
          <cell r="GX446">
            <v>0</v>
          </cell>
          <cell r="GY446">
            <v>0</v>
          </cell>
          <cell r="GZ446">
            <v>0</v>
          </cell>
          <cell r="HA446">
            <v>0</v>
          </cell>
          <cell r="HB446">
            <v>0</v>
          </cell>
          <cell r="HC446">
            <v>0</v>
          </cell>
          <cell r="HD446">
            <v>0</v>
          </cell>
          <cell r="HH446">
            <v>0</v>
          </cell>
          <cell r="HI446">
            <v>0</v>
          </cell>
          <cell r="HJ446">
            <v>0</v>
          </cell>
          <cell r="HK446">
            <v>0</v>
          </cell>
          <cell r="HL446">
            <v>0</v>
          </cell>
          <cell r="HM446">
            <v>0</v>
          </cell>
          <cell r="HN446">
            <v>0</v>
          </cell>
          <cell r="HO446">
            <v>0</v>
          </cell>
          <cell r="HP446">
            <v>0</v>
          </cell>
          <cell r="HQ446">
            <v>0</v>
          </cell>
          <cell r="HR446">
            <v>0</v>
          </cell>
          <cell r="HS446">
            <v>0</v>
          </cell>
          <cell r="II446">
            <v>0</v>
          </cell>
          <cell r="IJ446">
            <v>0</v>
          </cell>
          <cell r="IK446">
            <v>0</v>
          </cell>
          <cell r="IL446">
            <v>0</v>
          </cell>
          <cell r="IM446">
            <v>0</v>
          </cell>
          <cell r="IN446">
            <v>0</v>
          </cell>
          <cell r="IO446">
            <v>0</v>
          </cell>
          <cell r="IP446">
            <v>0</v>
          </cell>
          <cell r="IQ446">
            <v>0</v>
          </cell>
          <cell r="IR446">
            <v>0</v>
          </cell>
          <cell r="IS446">
            <v>0</v>
          </cell>
          <cell r="IT446">
            <v>0</v>
          </cell>
        </row>
        <row r="447">
          <cell r="GS447">
            <v>0</v>
          </cell>
          <cell r="GT447">
            <v>0</v>
          </cell>
          <cell r="GU447">
            <v>0</v>
          </cell>
          <cell r="GV447">
            <v>0</v>
          </cell>
          <cell r="GW447">
            <v>0</v>
          </cell>
          <cell r="GX447">
            <v>0</v>
          </cell>
          <cell r="GY447">
            <v>0</v>
          </cell>
          <cell r="GZ447">
            <v>0</v>
          </cell>
          <cell r="HA447">
            <v>0</v>
          </cell>
          <cell r="HB447">
            <v>0</v>
          </cell>
          <cell r="HC447">
            <v>0</v>
          </cell>
          <cell r="HD447">
            <v>0</v>
          </cell>
          <cell r="HH447">
            <v>0</v>
          </cell>
          <cell r="HI447">
            <v>0</v>
          </cell>
          <cell r="HJ447">
            <v>0</v>
          </cell>
          <cell r="HK447">
            <v>0</v>
          </cell>
          <cell r="HL447">
            <v>0</v>
          </cell>
          <cell r="HM447">
            <v>0</v>
          </cell>
          <cell r="HN447">
            <v>0</v>
          </cell>
          <cell r="HO447">
            <v>0</v>
          </cell>
          <cell r="HP447">
            <v>0</v>
          </cell>
          <cell r="HQ447">
            <v>0</v>
          </cell>
          <cell r="HR447">
            <v>0</v>
          </cell>
          <cell r="HS447">
            <v>0</v>
          </cell>
          <cell r="II447">
            <v>0</v>
          </cell>
          <cell r="IJ447">
            <v>0</v>
          </cell>
          <cell r="IK447">
            <v>0</v>
          </cell>
          <cell r="IL447">
            <v>0</v>
          </cell>
          <cell r="IM447">
            <v>0</v>
          </cell>
          <cell r="IN447">
            <v>0</v>
          </cell>
          <cell r="IO447">
            <v>0</v>
          </cell>
          <cell r="IP447">
            <v>0</v>
          </cell>
          <cell r="IQ447">
            <v>0</v>
          </cell>
          <cell r="IR447">
            <v>0</v>
          </cell>
          <cell r="IS447">
            <v>0</v>
          </cell>
          <cell r="IT447">
            <v>0</v>
          </cell>
        </row>
        <row r="448">
          <cell r="GS448">
            <v>0</v>
          </cell>
          <cell r="GT448">
            <v>0</v>
          </cell>
          <cell r="GU448">
            <v>0</v>
          </cell>
          <cell r="GV448">
            <v>0</v>
          </cell>
          <cell r="GW448">
            <v>0</v>
          </cell>
          <cell r="GX448">
            <v>0</v>
          </cell>
          <cell r="GY448">
            <v>0</v>
          </cell>
          <cell r="GZ448">
            <v>0</v>
          </cell>
          <cell r="HA448">
            <v>0</v>
          </cell>
          <cell r="HB448">
            <v>0</v>
          </cell>
          <cell r="HC448">
            <v>0</v>
          </cell>
          <cell r="HD448">
            <v>0</v>
          </cell>
          <cell r="HH448">
            <v>0</v>
          </cell>
          <cell r="HI448">
            <v>0</v>
          </cell>
          <cell r="HJ448">
            <v>0</v>
          </cell>
          <cell r="HK448">
            <v>0</v>
          </cell>
          <cell r="HL448">
            <v>0</v>
          </cell>
          <cell r="HM448">
            <v>0</v>
          </cell>
          <cell r="HN448">
            <v>0</v>
          </cell>
          <cell r="HO448">
            <v>0</v>
          </cell>
          <cell r="HP448">
            <v>0</v>
          </cell>
          <cell r="HQ448">
            <v>0</v>
          </cell>
          <cell r="HR448">
            <v>0</v>
          </cell>
          <cell r="HS448">
            <v>0</v>
          </cell>
          <cell r="II448">
            <v>0</v>
          </cell>
          <cell r="IJ448">
            <v>0</v>
          </cell>
          <cell r="IK448">
            <v>0</v>
          </cell>
          <cell r="IL448">
            <v>0</v>
          </cell>
          <cell r="IM448">
            <v>0</v>
          </cell>
          <cell r="IN448">
            <v>0</v>
          </cell>
          <cell r="IO448">
            <v>0</v>
          </cell>
          <cell r="IP448">
            <v>0</v>
          </cell>
          <cell r="IQ448">
            <v>0</v>
          </cell>
          <cell r="IR448">
            <v>0</v>
          </cell>
          <cell r="IS448">
            <v>0</v>
          </cell>
          <cell r="IT448">
            <v>0</v>
          </cell>
        </row>
        <row r="450">
          <cell r="GS450">
            <v>0</v>
          </cell>
          <cell r="GT450">
            <v>0</v>
          </cell>
          <cell r="GU450">
            <v>0</v>
          </cell>
          <cell r="GV450">
            <v>0</v>
          </cell>
          <cell r="GW450">
            <v>0</v>
          </cell>
          <cell r="GX450">
            <v>0</v>
          </cell>
          <cell r="GY450">
            <v>0</v>
          </cell>
          <cell r="GZ450">
            <v>0</v>
          </cell>
          <cell r="HA450">
            <v>0</v>
          </cell>
          <cell r="HB450">
            <v>0</v>
          </cell>
          <cell r="HC450">
            <v>0</v>
          </cell>
          <cell r="HD450">
            <v>0</v>
          </cell>
          <cell r="HH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0</v>
          </cell>
          <cell r="HN450">
            <v>0</v>
          </cell>
          <cell r="HO450">
            <v>0</v>
          </cell>
          <cell r="HP450">
            <v>0</v>
          </cell>
          <cell r="HQ450">
            <v>0</v>
          </cell>
          <cell r="HR450">
            <v>0</v>
          </cell>
          <cell r="HS450">
            <v>0</v>
          </cell>
          <cell r="II450">
            <v>0</v>
          </cell>
          <cell r="IJ450">
            <v>0</v>
          </cell>
          <cell r="IK450">
            <v>0</v>
          </cell>
          <cell r="IL450">
            <v>0</v>
          </cell>
          <cell r="IM450">
            <v>0</v>
          </cell>
          <cell r="IN450">
            <v>0</v>
          </cell>
          <cell r="IO450">
            <v>0</v>
          </cell>
          <cell r="IP450">
            <v>0</v>
          </cell>
          <cell r="IQ450">
            <v>0</v>
          </cell>
          <cell r="IR450">
            <v>0</v>
          </cell>
          <cell r="IS450">
            <v>0</v>
          </cell>
          <cell r="IT450">
            <v>0</v>
          </cell>
        </row>
        <row r="451">
          <cell r="GS451">
            <v>0</v>
          </cell>
          <cell r="GT451">
            <v>0</v>
          </cell>
          <cell r="GU451">
            <v>0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0</v>
          </cell>
          <cell r="HD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0</v>
          </cell>
          <cell r="HN451">
            <v>0</v>
          </cell>
          <cell r="HO451">
            <v>0</v>
          </cell>
          <cell r="HP451">
            <v>0</v>
          </cell>
          <cell r="HQ451">
            <v>0</v>
          </cell>
          <cell r="HR451">
            <v>0</v>
          </cell>
          <cell r="HS451">
            <v>0</v>
          </cell>
          <cell r="II451">
            <v>0</v>
          </cell>
          <cell r="IJ451">
            <v>0</v>
          </cell>
          <cell r="IK451">
            <v>0</v>
          </cell>
          <cell r="IL451">
            <v>0</v>
          </cell>
          <cell r="IM451">
            <v>0</v>
          </cell>
          <cell r="IN451">
            <v>0</v>
          </cell>
          <cell r="IO451">
            <v>0</v>
          </cell>
          <cell r="IP451">
            <v>0</v>
          </cell>
          <cell r="IQ451">
            <v>0</v>
          </cell>
          <cell r="IR451">
            <v>0</v>
          </cell>
          <cell r="IS451">
            <v>0</v>
          </cell>
          <cell r="IT451">
            <v>0</v>
          </cell>
        </row>
        <row r="452">
          <cell r="GS452">
            <v>0</v>
          </cell>
          <cell r="GT452">
            <v>0</v>
          </cell>
          <cell r="GU452">
            <v>0</v>
          </cell>
          <cell r="GV452">
            <v>0</v>
          </cell>
          <cell r="GW452">
            <v>0</v>
          </cell>
          <cell r="GX452">
            <v>0</v>
          </cell>
          <cell r="GY452">
            <v>0</v>
          </cell>
          <cell r="GZ452">
            <v>0</v>
          </cell>
          <cell r="HA452">
            <v>0</v>
          </cell>
          <cell r="HB452">
            <v>0</v>
          </cell>
          <cell r="HC452">
            <v>0</v>
          </cell>
          <cell r="HD452">
            <v>0</v>
          </cell>
          <cell r="HH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0</v>
          </cell>
          <cell r="HN452">
            <v>0</v>
          </cell>
          <cell r="HO452">
            <v>0</v>
          </cell>
          <cell r="HP452">
            <v>0</v>
          </cell>
          <cell r="HQ452">
            <v>0</v>
          </cell>
          <cell r="HR452">
            <v>0</v>
          </cell>
          <cell r="HS452">
            <v>0</v>
          </cell>
          <cell r="II452">
            <v>0</v>
          </cell>
          <cell r="IJ452">
            <v>0</v>
          </cell>
          <cell r="IK452">
            <v>0</v>
          </cell>
          <cell r="IL452">
            <v>0</v>
          </cell>
          <cell r="IM452">
            <v>0</v>
          </cell>
          <cell r="IN452">
            <v>0</v>
          </cell>
          <cell r="IO452">
            <v>0</v>
          </cell>
          <cell r="IP452">
            <v>0</v>
          </cell>
          <cell r="IQ452">
            <v>0</v>
          </cell>
          <cell r="IR452">
            <v>0</v>
          </cell>
          <cell r="IS452">
            <v>0</v>
          </cell>
          <cell r="IT452">
            <v>0</v>
          </cell>
        </row>
        <row r="453">
          <cell r="GS453">
            <v>0</v>
          </cell>
          <cell r="GT453">
            <v>0</v>
          </cell>
          <cell r="GU453">
            <v>0</v>
          </cell>
          <cell r="GV453">
            <v>0</v>
          </cell>
          <cell r="GW453">
            <v>0</v>
          </cell>
          <cell r="GX453">
            <v>0</v>
          </cell>
          <cell r="GY453">
            <v>0</v>
          </cell>
          <cell r="GZ453">
            <v>0</v>
          </cell>
          <cell r="HA453">
            <v>0</v>
          </cell>
          <cell r="HB453">
            <v>0</v>
          </cell>
          <cell r="HC453">
            <v>0</v>
          </cell>
          <cell r="HD453">
            <v>0</v>
          </cell>
          <cell r="HH453">
            <v>0</v>
          </cell>
          <cell r="HI453">
            <v>0</v>
          </cell>
          <cell r="HJ453">
            <v>0</v>
          </cell>
          <cell r="HK453">
            <v>0</v>
          </cell>
          <cell r="HL453">
            <v>0</v>
          </cell>
          <cell r="HM453">
            <v>0</v>
          </cell>
          <cell r="HN453">
            <v>0</v>
          </cell>
          <cell r="HO453">
            <v>0</v>
          </cell>
          <cell r="HP453">
            <v>0</v>
          </cell>
          <cell r="HQ453">
            <v>0</v>
          </cell>
          <cell r="HR453">
            <v>0</v>
          </cell>
          <cell r="HS453">
            <v>0</v>
          </cell>
          <cell r="II453">
            <v>0</v>
          </cell>
          <cell r="IJ453">
            <v>0</v>
          </cell>
          <cell r="IK453">
            <v>0</v>
          </cell>
          <cell r="IL453">
            <v>0</v>
          </cell>
          <cell r="IM453">
            <v>0</v>
          </cell>
          <cell r="IN453">
            <v>0</v>
          </cell>
          <cell r="IO453">
            <v>0</v>
          </cell>
          <cell r="IP453">
            <v>0</v>
          </cell>
          <cell r="IQ453">
            <v>0</v>
          </cell>
          <cell r="IR453">
            <v>0</v>
          </cell>
          <cell r="IS453">
            <v>0</v>
          </cell>
          <cell r="IT453">
            <v>0</v>
          </cell>
        </row>
        <row r="455">
          <cell r="GS455">
            <v>0</v>
          </cell>
          <cell r="GT455">
            <v>0</v>
          </cell>
          <cell r="GU455">
            <v>0</v>
          </cell>
          <cell r="GV455">
            <v>0</v>
          </cell>
          <cell r="GW455">
            <v>0</v>
          </cell>
          <cell r="GX455">
            <v>0</v>
          </cell>
          <cell r="GY455">
            <v>0</v>
          </cell>
          <cell r="GZ455">
            <v>0</v>
          </cell>
          <cell r="HA455">
            <v>0</v>
          </cell>
          <cell r="HB455">
            <v>0</v>
          </cell>
          <cell r="HC455">
            <v>0</v>
          </cell>
          <cell r="HD455">
            <v>0</v>
          </cell>
          <cell r="HH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0</v>
          </cell>
          <cell r="HO455">
            <v>0</v>
          </cell>
          <cell r="HP455">
            <v>0</v>
          </cell>
          <cell r="HQ455">
            <v>0</v>
          </cell>
          <cell r="HR455">
            <v>0</v>
          </cell>
          <cell r="HS455">
            <v>0</v>
          </cell>
          <cell r="II455">
            <v>0</v>
          </cell>
          <cell r="IJ455">
            <v>0</v>
          </cell>
          <cell r="IK455">
            <v>0</v>
          </cell>
          <cell r="IL455">
            <v>0</v>
          </cell>
          <cell r="IM455">
            <v>0</v>
          </cell>
          <cell r="IN455">
            <v>0</v>
          </cell>
          <cell r="IO455">
            <v>0</v>
          </cell>
          <cell r="IP455">
            <v>0</v>
          </cell>
          <cell r="IQ455">
            <v>0</v>
          </cell>
          <cell r="IR455">
            <v>0</v>
          </cell>
          <cell r="IS455">
            <v>0</v>
          </cell>
          <cell r="IT455">
            <v>0</v>
          </cell>
        </row>
        <row r="456">
          <cell r="GS456">
            <v>0</v>
          </cell>
          <cell r="GT456">
            <v>0</v>
          </cell>
          <cell r="GU456">
            <v>0</v>
          </cell>
          <cell r="GV456">
            <v>0</v>
          </cell>
          <cell r="GW456">
            <v>0</v>
          </cell>
          <cell r="GX456">
            <v>0</v>
          </cell>
          <cell r="GY456">
            <v>0</v>
          </cell>
          <cell r="GZ456">
            <v>0</v>
          </cell>
          <cell r="HA456">
            <v>0</v>
          </cell>
          <cell r="HB456">
            <v>0</v>
          </cell>
          <cell r="HC456">
            <v>0</v>
          </cell>
          <cell r="HD456">
            <v>0</v>
          </cell>
          <cell r="HH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0</v>
          </cell>
          <cell r="HO456">
            <v>0</v>
          </cell>
          <cell r="HP456">
            <v>0</v>
          </cell>
          <cell r="HQ456">
            <v>0</v>
          </cell>
          <cell r="HR456">
            <v>0</v>
          </cell>
          <cell r="HS456">
            <v>0</v>
          </cell>
          <cell r="II456">
            <v>0</v>
          </cell>
          <cell r="IJ456">
            <v>0</v>
          </cell>
          <cell r="IK456">
            <v>0</v>
          </cell>
          <cell r="IL456">
            <v>0</v>
          </cell>
          <cell r="IM456">
            <v>0</v>
          </cell>
          <cell r="IN456">
            <v>0</v>
          </cell>
          <cell r="IO456">
            <v>0</v>
          </cell>
          <cell r="IP456">
            <v>0</v>
          </cell>
          <cell r="IQ456">
            <v>0</v>
          </cell>
          <cell r="IR456">
            <v>0</v>
          </cell>
          <cell r="IS456">
            <v>0</v>
          </cell>
          <cell r="IT456">
            <v>0</v>
          </cell>
        </row>
        <row r="457">
          <cell r="GS457">
            <v>0</v>
          </cell>
          <cell r="GT457">
            <v>0</v>
          </cell>
          <cell r="GU457">
            <v>0</v>
          </cell>
          <cell r="GV457">
            <v>0</v>
          </cell>
          <cell r="GW457">
            <v>0</v>
          </cell>
          <cell r="GX457">
            <v>0</v>
          </cell>
          <cell r="GY457">
            <v>0</v>
          </cell>
          <cell r="GZ457">
            <v>0</v>
          </cell>
          <cell r="HA457">
            <v>0</v>
          </cell>
          <cell r="HB457">
            <v>0</v>
          </cell>
          <cell r="HC457">
            <v>0</v>
          </cell>
          <cell r="HD457">
            <v>0</v>
          </cell>
          <cell r="HH457">
            <v>0</v>
          </cell>
          <cell r="HI457">
            <v>0</v>
          </cell>
          <cell r="HJ457">
            <v>0</v>
          </cell>
          <cell r="HK457">
            <v>0</v>
          </cell>
          <cell r="HL457">
            <v>0</v>
          </cell>
          <cell r="HM457">
            <v>0</v>
          </cell>
          <cell r="HN457">
            <v>0</v>
          </cell>
          <cell r="HO457">
            <v>0</v>
          </cell>
          <cell r="HP457">
            <v>0</v>
          </cell>
          <cell r="HQ457">
            <v>0</v>
          </cell>
          <cell r="HR457">
            <v>0</v>
          </cell>
          <cell r="HS457">
            <v>0</v>
          </cell>
          <cell r="II457">
            <v>0</v>
          </cell>
          <cell r="IJ457">
            <v>0</v>
          </cell>
          <cell r="IK457">
            <v>0</v>
          </cell>
          <cell r="IL457">
            <v>0</v>
          </cell>
          <cell r="IM457">
            <v>0</v>
          </cell>
          <cell r="IN457">
            <v>0</v>
          </cell>
          <cell r="IO457">
            <v>0</v>
          </cell>
          <cell r="IP457">
            <v>0</v>
          </cell>
          <cell r="IQ457">
            <v>0</v>
          </cell>
          <cell r="IR457">
            <v>0</v>
          </cell>
          <cell r="IS457">
            <v>0</v>
          </cell>
          <cell r="IT457">
            <v>0</v>
          </cell>
        </row>
        <row r="458">
          <cell r="GS458">
            <v>0</v>
          </cell>
          <cell r="GT458">
            <v>0</v>
          </cell>
          <cell r="GU458">
            <v>0</v>
          </cell>
          <cell r="GV458">
            <v>0</v>
          </cell>
          <cell r="GW458">
            <v>0</v>
          </cell>
          <cell r="GX458">
            <v>0</v>
          </cell>
          <cell r="GY458">
            <v>0</v>
          </cell>
          <cell r="GZ458">
            <v>0</v>
          </cell>
          <cell r="HA458">
            <v>0</v>
          </cell>
          <cell r="HB458">
            <v>0</v>
          </cell>
          <cell r="HC458">
            <v>0</v>
          </cell>
          <cell r="HD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0</v>
          </cell>
          <cell r="HN458">
            <v>0</v>
          </cell>
          <cell r="HO458">
            <v>0</v>
          </cell>
          <cell r="HP458">
            <v>0</v>
          </cell>
          <cell r="HQ458">
            <v>0</v>
          </cell>
          <cell r="HR458">
            <v>0</v>
          </cell>
          <cell r="HS458">
            <v>0</v>
          </cell>
          <cell r="II458">
            <v>0</v>
          </cell>
          <cell r="IJ458">
            <v>0</v>
          </cell>
          <cell r="IK458">
            <v>0</v>
          </cell>
          <cell r="IL458">
            <v>0</v>
          </cell>
          <cell r="IM458">
            <v>0</v>
          </cell>
          <cell r="IN458">
            <v>0</v>
          </cell>
          <cell r="IO458">
            <v>0</v>
          </cell>
          <cell r="IP458">
            <v>0</v>
          </cell>
          <cell r="IQ458">
            <v>0</v>
          </cell>
          <cell r="IR458">
            <v>0</v>
          </cell>
          <cell r="IS458">
            <v>0</v>
          </cell>
          <cell r="IT458">
            <v>0</v>
          </cell>
        </row>
        <row r="460">
          <cell r="GS460">
            <v>0</v>
          </cell>
          <cell r="GT460">
            <v>0</v>
          </cell>
          <cell r="GU460">
            <v>0</v>
          </cell>
          <cell r="GV460">
            <v>0</v>
          </cell>
          <cell r="GW460">
            <v>0</v>
          </cell>
          <cell r="GX460">
            <v>0</v>
          </cell>
          <cell r="GY460">
            <v>0</v>
          </cell>
          <cell r="GZ460">
            <v>0</v>
          </cell>
          <cell r="HA460">
            <v>0</v>
          </cell>
          <cell r="HB460">
            <v>0</v>
          </cell>
          <cell r="HC460">
            <v>0</v>
          </cell>
          <cell r="HD460">
            <v>0</v>
          </cell>
          <cell r="HH460">
            <v>0</v>
          </cell>
          <cell r="HI460">
            <v>0</v>
          </cell>
          <cell r="HJ460">
            <v>0</v>
          </cell>
          <cell r="HK460">
            <v>0</v>
          </cell>
          <cell r="HL460">
            <v>0</v>
          </cell>
          <cell r="HM460">
            <v>0</v>
          </cell>
          <cell r="HN460">
            <v>0</v>
          </cell>
          <cell r="HO460">
            <v>0</v>
          </cell>
          <cell r="HP460">
            <v>0</v>
          </cell>
          <cell r="HQ460">
            <v>0</v>
          </cell>
          <cell r="HR460">
            <v>0</v>
          </cell>
          <cell r="HS460">
            <v>0</v>
          </cell>
          <cell r="II460">
            <v>0</v>
          </cell>
          <cell r="IJ460">
            <v>0</v>
          </cell>
          <cell r="IK460">
            <v>0</v>
          </cell>
          <cell r="IL460">
            <v>0</v>
          </cell>
          <cell r="IM460">
            <v>0</v>
          </cell>
          <cell r="IN460">
            <v>0</v>
          </cell>
          <cell r="IO460">
            <v>0</v>
          </cell>
          <cell r="IP460">
            <v>0</v>
          </cell>
          <cell r="IQ460">
            <v>0</v>
          </cell>
          <cell r="IR460">
            <v>0</v>
          </cell>
          <cell r="IS460">
            <v>0</v>
          </cell>
          <cell r="IT460">
            <v>0</v>
          </cell>
        </row>
        <row r="461">
          <cell r="GS461">
            <v>0</v>
          </cell>
          <cell r="GT461">
            <v>0</v>
          </cell>
          <cell r="GU461">
            <v>0</v>
          </cell>
          <cell r="GV461">
            <v>0</v>
          </cell>
          <cell r="GW461">
            <v>0</v>
          </cell>
          <cell r="GX461">
            <v>0</v>
          </cell>
          <cell r="GY461">
            <v>0</v>
          </cell>
          <cell r="GZ461">
            <v>0</v>
          </cell>
          <cell r="HA461">
            <v>0</v>
          </cell>
          <cell r="HB461">
            <v>0</v>
          </cell>
          <cell r="HC461">
            <v>0</v>
          </cell>
          <cell r="HD461">
            <v>0</v>
          </cell>
          <cell r="HH461">
            <v>0</v>
          </cell>
          <cell r="HI461">
            <v>0</v>
          </cell>
          <cell r="HJ461">
            <v>0</v>
          </cell>
          <cell r="HK461">
            <v>0</v>
          </cell>
          <cell r="HL461">
            <v>0</v>
          </cell>
          <cell r="HM461">
            <v>0</v>
          </cell>
          <cell r="HN461">
            <v>0</v>
          </cell>
          <cell r="HO461">
            <v>0</v>
          </cell>
          <cell r="HP461">
            <v>0</v>
          </cell>
          <cell r="HQ461">
            <v>0</v>
          </cell>
          <cell r="HR461">
            <v>0</v>
          </cell>
          <cell r="HS461">
            <v>0</v>
          </cell>
          <cell r="II461">
            <v>0</v>
          </cell>
          <cell r="IJ461">
            <v>0</v>
          </cell>
          <cell r="IK461">
            <v>0</v>
          </cell>
          <cell r="IL461">
            <v>0</v>
          </cell>
          <cell r="IM461">
            <v>0</v>
          </cell>
          <cell r="IN461">
            <v>0</v>
          </cell>
          <cell r="IO461">
            <v>0</v>
          </cell>
          <cell r="IP461">
            <v>0</v>
          </cell>
          <cell r="IQ461">
            <v>0</v>
          </cell>
          <cell r="IR461">
            <v>0</v>
          </cell>
          <cell r="IS461">
            <v>0</v>
          </cell>
          <cell r="IT461">
            <v>0</v>
          </cell>
        </row>
        <row r="462">
          <cell r="GS462">
            <v>0</v>
          </cell>
          <cell r="GT462">
            <v>0</v>
          </cell>
          <cell r="GU462">
            <v>0</v>
          </cell>
          <cell r="GV462">
            <v>0</v>
          </cell>
          <cell r="GW462">
            <v>0</v>
          </cell>
          <cell r="GX462">
            <v>0</v>
          </cell>
          <cell r="GY462">
            <v>0</v>
          </cell>
          <cell r="GZ462">
            <v>0</v>
          </cell>
          <cell r="HA462">
            <v>0</v>
          </cell>
          <cell r="HB462">
            <v>0</v>
          </cell>
          <cell r="HC462">
            <v>0</v>
          </cell>
          <cell r="HD462">
            <v>0</v>
          </cell>
          <cell r="HH462">
            <v>0</v>
          </cell>
          <cell r="HI462">
            <v>0</v>
          </cell>
          <cell r="HJ462">
            <v>0</v>
          </cell>
          <cell r="HK462">
            <v>0</v>
          </cell>
          <cell r="HL462">
            <v>0</v>
          </cell>
          <cell r="HM462">
            <v>0</v>
          </cell>
          <cell r="HN462">
            <v>0</v>
          </cell>
          <cell r="HO462">
            <v>0</v>
          </cell>
          <cell r="HP462">
            <v>0</v>
          </cell>
          <cell r="HQ462">
            <v>0</v>
          </cell>
          <cell r="HR462">
            <v>0</v>
          </cell>
          <cell r="HS462">
            <v>0</v>
          </cell>
          <cell r="II462">
            <v>0</v>
          </cell>
          <cell r="IJ462">
            <v>0</v>
          </cell>
          <cell r="IK462">
            <v>0</v>
          </cell>
          <cell r="IL462">
            <v>0</v>
          </cell>
          <cell r="IM462">
            <v>0</v>
          </cell>
          <cell r="IN462">
            <v>0</v>
          </cell>
          <cell r="IO462">
            <v>0</v>
          </cell>
          <cell r="IP462">
            <v>0</v>
          </cell>
          <cell r="IQ462">
            <v>0</v>
          </cell>
          <cell r="IR462">
            <v>0</v>
          </cell>
          <cell r="IS462">
            <v>0</v>
          </cell>
          <cell r="IT462">
            <v>0</v>
          </cell>
        </row>
        <row r="463">
          <cell r="GS463">
            <v>0</v>
          </cell>
          <cell r="GT463">
            <v>0</v>
          </cell>
          <cell r="GU463">
            <v>0</v>
          </cell>
          <cell r="GV463">
            <v>0</v>
          </cell>
          <cell r="GW463">
            <v>0</v>
          </cell>
          <cell r="GX463">
            <v>0</v>
          </cell>
          <cell r="GY463">
            <v>0</v>
          </cell>
          <cell r="GZ463">
            <v>0</v>
          </cell>
          <cell r="HA463">
            <v>0</v>
          </cell>
          <cell r="HB463">
            <v>0</v>
          </cell>
          <cell r="HC463">
            <v>0</v>
          </cell>
          <cell r="HD463">
            <v>0</v>
          </cell>
          <cell r="HH463">
            <v>0</v>
          </cell>
          <cell r="HI463">
            <v>0</v>
          </cell>
          <cell r="HJ463">
            <v>0</v>
          </cell>
          <cell r="HK463">
            <v>0</v>
          </cell>
          <cell r="HL463">
            <v>0</v>
          </cell>
          <cell r="HM463">
            <v>0</v>
          </cell>
          <cell r="HN463">
            <v>0</v>
          </cell>
          <cell r="HO463">
            <v>0</v>
          </cell>
          <cell r="HP463">
            <v>0</v>
          </cell>
          <cell r="HQ463">
            <v>0</v>
          </cell>
          <cell r="HR463">
            <v>0</v>
          </cell>
          <cell r="HS463">
            <v>0</v>
          </cell>
          <cell r="II463">
            <v>0</v>
          </cell>
          <cell r="IJ463">
            <v>0</v>
          </cell>
          <cell r="IK463">
            <v>0</v>
          </cell>
          <cell r="IL463">
            <v>0</v>
          </cell>
          <cell r="IM463">
            <v>0</v>
          </cell>
          <cell r="IN463">
            <v>0</v>
          </cell>
          <cell r="IO463">
            <v>0</v>
          </cell>
          <cell r="IP463">
            <v>0</v>
          </cell>
          <cell r="IQ463">
            <v>0</v>
          </cell>
          <cell r="IR463">
            <v>0</v>
          </cell>
          <cell r="IS463">
            <v>0</v>
          </cell>
          <cell r="IT463">
            <v>0</v>
          </cell>
        </row>
        <row r="464">
          <cell r="GS464">
            <v>0</v>
          </cell>
          <cell r="GT464">
            <v>0</v>
          </cell>
          <cell r="GU464">
            <v>0</v>
          </cell>
          <cell r="GV464">
            <v>0</v>
          </cell>
          <cell r="GW464">
            <v>0</v>
          </cell>
          <cell r="GX464">
            <v>0</v>
          </cell>
          <cell r="GY464">
            <v>0</v>
          </cell>
          <cell r="GZ464">
            <v>0</v>
          </cell>
          <cell r="HA464">
            <v>0</v>
          </cell>
          <cell r="HB464">
            <v>0</v>
          </cell>
          <cell r="HC464">
            <v>0</v>
          </cell>
          <cell r="HD464">
            <v>0</v>
          </cell>
          <cell r="HH464">
            <v>0</v>
          </cell>
          <cell r="HI464">
            <v>0</v>
          </cell>
          <cell r="HJ464">
            <v>0</v>
          </cell>
          <cell r="HK464">
            <v>0</v>
          </cell>
          <cell r="HL464">
            <v>0</v>
          </cell>
          <cell r="HM464">
            <v>0</v>
          </cell>
          <cell r="HN464">
            <v>0</v>
          </cell>
          <cell r="HO464">
            <v>0</v>
          </cell>
          <cell r="HP464">
            <v>0</v>
          </cell>
          <cell r="HQ464">
            <v>0</v>
          </cell>
          <cell r="HR464">
            <v>0</v>
          </cell>
          <cell r="HS464">
            <v>0</v>
          </cell>
          <cell r="II464">
            <v>0</v>
          </cell>
          <cell r="IJ464">
            <v>0</v>
          </cell>
          <cell r="IK464">
            <v>0</v>
          </cell>
          <cell r="IL464">
            <v>0</v>
          </cell>
          <cell r="IM464">
            <v>0</v>
          </cell>
          <cell r="IN464">
            <v>0</v>
          </cell>
          <cell r="IO464">
            <v>0</v>
          </cell>
          <cell r="IP464">
            <v>0</v>
          </cell>
          <cell r="IQ464">
            <v>0</v>
          </cell>
          <cell r="IR464">
            <v>0</v>
          </cell>
          <cell r="IS464">
            <v>0</v>
          </cell>
          <cell r="IT464">
            <v>0</v>
          </cell>
        </row>
        <row r="465">
          <cell r="GS465">
            <v>0</v>
          </cell>
          <cell r="GT465">
            <v>0</v>
          </cell>
          <cell r="GU465">
            <v>0</v>
          </cell>
          <cell r="GV465">
            <v>0</v>
          </cell>
          <cell r="GW465">
            <v>0</v>
          </cell>
          <cell r="GX465">
            <v>0</v>
          </cell>
          <cell r="GY465">
            <v>0</v>
          </cell>
          <cell r="GZ465">
            <v>0</v>
          </cell>
          <cell r="HA465">
            <v>0</v>
          </cell>
          <cell r="HB465">
            <v>0</v>
          </cell>
          <cell r="HC465">
            <v>0</v>
          </cell>
          <cell r="HD465">
            <v>0</v>
          </cell>
          <cell r="HH465">
            <v>0</v>
          </cell>
          <cell r="HI465">
            <v>0</v>
          </cell>
          <cell r="HJ465">
            <v>0</v>
          </cell>
          <cell r="HK465">
            <v>0</v>
          </cell>
          <cell r="HL465">
            <v>0</v>
          </cell>
          <cell r="HM465">
            <v>0</v>
          </cell>
          <cell r="HN465">
            <v>0</v>
          </cell>
          <cell r="HO465">
            <v>0</v>
          </cell>
          <cell r="HP465">
            <v>0</v>
          </cell>
          <cell r="HQ465">
            <v>0</v>
          </cell>
          <cell r="HR465">
            <v>0</v>
          </cell>
          <cell r="HS465">
            <v>0</v>
          </cell>
          <cell r="II465">
            <v>0</v>
          </cell>
          <cell r="IJ465">
            <v>0</v>
          </cell>
          <cell r="IK465">
            <v>0</v>
          </cell>
          <cell r="IL465">
            <v>0</v>
          </cell>
          <cell r="IM465">
            <v>0</v>
          </cell>
          <cell r="IN465">
            <v>0</v>
          </cell>
          <cell r="IO465">
            <v>0</v>
          </cell>
          <cell r="IP465">
            <v>0</v>
          </cell>
          <cell r="IQ465">
            <v>0</v>
          </cell>
          <cell r="IR465">
            <v>0</v>
          </cell>
          <cell r="IS465">
            <v>0</v>
          </cell>
          <cell r="IT465">
            <v>0</v>
          </cell>
        </row>
        <row r="466">
          <cell r="GS466">
            <v>0</v>
          </cell>
          <cell r="GT466">
            <v>0</v>
          </cell>
          <cell r="GU466">
            <v>0</v>
          </cell>
          <cell r="GV466">
            <v>0</v>
          </cell>
          <cell r="GW466">
            <v>0</v>
          </cell>
          <cell r="GX466">
            <v>0</v>
          </cell>
          <cell r="GY466">
            <v>0</v>
          </cell>
          <cell r="GZ466">
            <v>0</v>
          </cell>
          <cell r="HA466">
            <v>0</v>
          </cell>
          <cell r="HB466">
            <v>0</v>
          </cell>
          <cell r="HC466">
            <v>0</v>
          </cell>
          <cell r="HD466">
            <v>0</v>
          </cell>
          <cell r="HH466">
            <v>0</v>
          </cell>
          <cell r="HI466">
            <v>0</v>
          </cell>
          <cell r="HJ466">
            <v>0</v>
          </cell>
          <cell r="HK466">
            <v>0</v>
          </cell>
          <cell r="HL466">
            <v>0</v>
          </cell>
          <cell r="HM466">
            <v>0</v>
          </cell>
          <cell r="HN466">
            <v>0</v>
          </cell>
          <cell r="HO466">
            <v>0</v>
          </cell>
          <cell r="HP466">
            <v>0</v>
          </cell>
          <cell r="HQ466">
            <v>0</v>
          </cell>
          <cell r="HR466">
            <v>0</v>
          </cell>
          <cell r="HS466">
            <v>0</v>
          </cell>
          <cell r="II466">
            <v>18.37</v>
          </cell>
          <cell r="IJ466">
            <v>34.950000000000003</v>
          </cell>
          <cell r="IK466">
            <v>50.02</v>
          </cell>
          <cell r="IL466">
            <v>74.58</v>
          </cell>
          <cell r="IM466">
            <v>95.26</v>
          </cell>
          <cell r="IN466">
            <v>108.13</v>
          </cell>
          <cell r="IO466">
            <v>124.45</v>
          </cell>
          <cell r="IP466">
            <v>137.80000000000001</v>
          </cell>
          <cell r="IQ466">
            <v>170.23</v>
          </cell>
          <cell r="IR466">
            <v>201.92</v>
          </cell>
          <cell r="IS466">
            <v>305.49</v>
          </cell>
          <cell r="IT466">
            <v>369.25</v>
          </cell>
        </row>
        <row r="467">
          <cell r="GS467">
            <v>0</v>
          </cell>
          <cell r="GT467">
            <v>0</v>
          </cell>
          <cell r="GU467">
            <v>0</v>
          </cell>
          <cell r="GV467">
            <v>0</v>
          </cell>
          <cell r="GW467">
            <v>0</v>
          </cell>
          <cell r="GX467">
            <v>0</v>
          </cell>
          <cell r="GY467">
            <v>0</v>
          </cell>
          <cell r="GZ467">
            <v>0</v>
          </cell>
          <cell r="HA467">
            <v>0</v>
          </cell>
          <cell r="HB467">
            <v>0</v>
          </cell>
          <cell r="HC467">
            <v>0</v>
          </cell>
          <cell r="HD467">
            <v>0</v>
          </cell>
          <cell r="HH467">
            <v>0</v>
          </cell>
          <cell r="HI467">
            <v>0</v>
          </cell>
          <cell r="HJ467">
            <v>0</v>
          </cell>
          <cell r="HK467">
            <v>0</v>
          </cell>
          <cell r="HL467">
            <v>0</v>
          </cell>
          <cell r="HM467">
            <v>0</v>
          </cell>
          <cell r="HN467">
            <v>0</v>
          </cell>
          <cell r="HO467">
            <v>0</v>
          </cell>
          <cell r="HP467">
            <v>0</v>
          </cell>
          <cell r="HQ467">
            <v>0</v>
          </cell>
          <cell r="HR467">
            <v>0</v>
          </cell>
          <cell r="HS467">
            <v>0</v>
          </cell>
          <cell r="II467">
            <v>0</v>
          </cell>
          <cell r="IJ467">
            <v>0</v>
          </cell>
          <cell r="IK467">
            <v>0</v>
          </cell>
          <cell r="IL467">
            <v>0</v>
          </cell>
          <cell r="IM467">
            <v>0</v>
          </cell>
          <cell r="IN467">
            <v>0</v>
          </cell>
          <cell r="IO467">
            <v>0</v>
          </cell>
          <cell r="IP467">
            <v>0</v>
          </cell>
          <cell r="IQ467">
            <v>0</v>
          </cell>
          <cell r="IR467">
            <v>0</v>
          </cell>
          <cell r="IS467">
            <v>0</v>
          </cell>
          <cell r="IT467">
            <v>0</v>
          </cell>
        </row>
        <row r="468">
          <cell r="GS468">
            <v>0</v>
          </cell>
          <cell r="GT468">
            <v>0</v>
          </cell>
          <cell r="GU468">
            <v>0</v>
          </cell>
          <cell r="GV468">
            <v>0</v>
          </cell>
          <cell r="GW468">
            <v>0</v>
          </cell>
          <cell r="GX468">
            <v>0</v>
          </cell>
          <cell r="GY468">
            <v>0</v>
          </cell>
          <cell r="GZ468">
            <v>0</v>
          </cell>
          <cell r="HA468">
            <v>0</v>
          </cell>
          <cell r="HB468">
            <v>0</v>
          </cell>
          <cell r="HC468">
            <v>0</v>
          </cell>
          <cell r="HD468">
            <v>0</v>
          </cell>
          <cell r="HH468">
            <v>0</v>
          </cell>
          <cell r="HI468">
            <v>0</v>
          </cell>
          <cell r="HJ468">
            <v>0</v>
          </cell>
          <cell r="HK468">
            <v>0</v>
          </cell>
          <cell r="HL468">
            <v>0</v>
          </cell>
          <cell r="HM468">
            <v>0</v>
          </cell>
          <cell r="HN468">
            <v>0</v>
          </cell>
          <cell r="HO468">
            <v>0</v>
          </cell>
          <cell r="HP468">
            <v>0</v>
          </cell>
          <cell r="HQ468">
            <v>0</v>
          </cell>
          <cell r="HR468">
            <v>0</v>
          </cell>
          <cell r="HS468">
            <v>0</v>
          </cell>
          <cell r="II468">
            <v>0</v>
          </cell>
          <cell r="IJ468">
            <v>0</v>
          </cell>
          <cell r="IK468">
            <v>0</v>
          </cell>
          <cell r="IL468">
            <v>0</v>
          </cell>
          <cell r="IM468">
            <v>0</v>
          </cell>
          <cell r="IN468">
            <v>0</v>
          </cell>
          <cell r="IO468">
            <v>0</v>
          </cell>
          <cell r="IP468">
            <v>0</v>
          </cell>
          <cell r="IQ468">
            <v>0</v>
          </cell>
          <cell r="IR468">
            <v>0</v>
          </cell>
          <cell r="IS468">
            <v>0</v>
          </cell>
          <cell r="IT468">
            <v>0</v>
          </cell>
        </row>
        <row r="469">
          <cell r="GS469">
            <v>0</v>
          </cell>
          <cell r="GT469">
            <v>0</v>
          </cell>
          <cell r="GU469">
            <v>0</v>
          </cell>
          <cell r="GV469">
            <v>0</v>
          </cell>
          <cell r="GW469">
            <v>0</v>
          </cell>
          <cell r="GX469">
            <v>0</v>
          </cell>
          <cell r="GY469">
            <v>0</v>
          </cell>
          <cell r="GZ469">
            <v>0</v>
          </cell>
          <cell r="HA469">
            <v>0</v>
          </cell>
          <cell r="HB469">
            <v>0</v>
          </cell>
          <cell r="HC469">
            <v>0</v>
          </cell>
          <cell r="HD469">
            <v>0</v>
          </cell>
          <cell r="HH469">
            <v>0</v>
          </cell>
          <cell r="HI469">
            <v>0</v>
          </cell>
          <cell r="HJ469">
            <v>0</v>
          </cell>
          <cell r="HK469">
            <v>0</v>
          </cell>
          <cell r="HL469">
            <v>0</v>
          </cell>
          <cell r="HM469">
            <v>0</v>
          </cell>
          <cell r="HN469">
            <v>0</v>
          </cell>
          <cell r="HO469">
            <v>0</v>
          </cell>
          <cell r="HP469">
            <v>0</v>
          </cell>
          <cell r="HQ469">
            <v>0</v>
          </cell>
          <cell r="HR469">
            <v>0</v>
          </cell>
          <cell r="HS469">
            <v>0</v>
          </cell>
          <cell r="II469">
            <v>0</v>
          </cell>
          <cell r="IJ469">
            <v>0</v>
          </cell>
          <cell r="IK469">
            <v>0</v>
          </cell>
          <cell r="IL469">
            <v>0</v>
          </cell>
          <cell r="IM469">
            <v>0</v>
          </cell>
          <cell r="IN469">
            <v>0</v>
          </cell>
          <cell r="IO469">
            <v>0</v>
          </cell>
          <cell r="IP469">
            <v>0</v>
          </cell>
          <cell r="IQ469">
            <v>0</v>
          </cell>
          <cell r="IR469">
            <v>0</v>
          </cell>
          <cell r="IS469">
            <v>0</v>
          </cell>
          <cell r="IT469">
            <v>0</v>
          </cell>
        </row>
        <row r="470">
          <cell r="GS470">
            <v>0</v>
          </cell>
          <cell r="GT470">
            <v>0</v>
          </cell>
          <cell r="GU470">
            <v>0</v>
          </cell>
          <cell r="GV470">
            <v>0</v>
          </cell>
          <cell r="GW470">
            <v>0</v>
          </cell>
          <cell r="GX470">
            <v>0</v>
          </cell>
          <cell r="GY470">
            <v>0</v>
          </cell>
          <cell r="GZ470">
            <v>0</v>
          </cell>
          <cell r="HA470">
            <v>0</v>
          </cell>
          <cell r="HB470">
            <v>0</v>
          </cell>
          <cell r="HC470">
            <v>0</v>
          </cell>
          <cell r="HD470">
            <v>0</v>
          </cell>
          <cell r="HH470">
            <v>0</v>
          </cell>
          <cell r="HI470">
            <v>0</v>
          </cell>
          <cell r="HJ470">
            <v>0</v>
          </cell>
          <cell r="HK470">
            <v>0</v>
          </cell>
          <cell r="HL470">
            <v>0</v>
          </cell>
          <cell r="HM470">
            <v>0</v>
          </cell>
          <cell r="HN470">
            <v>0</v>
          </cell>
          <cell r="HO470">
            <v>0</v>
          </cell>
          <cell r="HP470">
            <v>0</v>
          </cell>
          <cell r="HQ470">
            <v>0</v>
          </cell>
          <cell r="HR470">
            <v>0</v>
          </cell>
          <cell r="HS470">
            <v>0</v>
          </cell>
          <cell r="II470">
            <v>0</v>
          </cell>
          <cell r="IJ470">
            <v>0</v>
          </cell>
          <cell r="IK470">
            <v>0</v>
          </cell>
          <cell r="IL470">
            <v>0</v>
          </cell>
          <cell r="IM470">
            <v>0</v>
          </cell>
          <cell r="IN470">
            <v>0</v>
          </cell>
          <cell r="IO470">
            <v>0</v>
          </cell>
          <cell r="IP470">
            <v>0</v>
          </cell>
          <cell r="IQ470">
            <v>0</v>
          </cell>
          <cell r="IR470">
            <v>0</v>
          </cell>
          <cell r="IS470">
            <v>0</v>
          </cell>
          <cell r="IT470">
            <v>0</v>
          </cell>
        </row>
        <row r="471">
          <cell r="GS471">
            <v>0</v>
          </cell>
          <cell r="GT471">
            <v>0</v>
          </cell>
          <cell r="GU471">
            <v>0</v>
          </cell>
          <cell r="GV471">
            <v>0</v>
          </cell>
          <cell r="GW471">
            <v>0</v>
          </cell>
          <cell r="GX471">
            <v>0</v>
          </cell>
          <cell r="GY471">
            <v>0</v>
          </cell>
          <cell r="GZ471">
            <v>0</v>
          </cell>
          <cell r="HA471">
            <v>0</v>
          </cell>
          <cell r="HB471">
            <v>0</v>
          </cell>
          <cell r="HC471">
            <v>0</v>
          </cell>
          <cell r="HD471">
            <v>0</v>
          </cell>
          <cell r="HH471">
            <v>0</v>
          </cell>
          <cell r="HI471">
            <v>0</v>
          </cell>
          <cell r="HJ471">
            <v>0</v>
          </cell>
          <cell r="HK471">
            <v>0</v>
          </cell>
          <cell r="HL471">
            <v>0</v>
          </cell>
          <cell r="HM471">
            <v>0</v>
          </cell>
          <cell r="HN471">
            <v>0</v>
          </cell>
          <cell r="HO471">
            <v>0</v>
          </cell>
          <cell r="HP471">
            <v>0</v>
          </cell>
          <cell r="HQ471">
            <v>0</v>
          </cell>
          <cell r="HR471">
            <v>0</v>
          </cell>
          <cell r="HS471">
            <v>0</v>
          </cell>
          <cell r="II471">
            <v>0</v>
          </cell>
          <cell r="IJ471">
            <v>0</v>
          </cell>
          <cell r="IK471">
            <v>0</v>
          </cell>
          <cell r="IL471">
            <v>0</v>
          </cell>
          <cell r="IM471">
            <v>0</v>
          </cell>
          <cell r="IN471">
            <v>0</v>
          </cell>
          <cell r="IO471">
            <v>0</v>
          </cell>
          <cell r="IP471">
            <v>0</v>
          </cell>
          <cell r="IQ471">
            <v>0</v>
          </cell>
          <cell r="IR471">
            <v>0</v>
          </cell>
          <cell r="IS471">
            <v>0</v>
          </cell>
          <cell r="IT471">
            <v>0</v>
          </cell>
        </row>
        <row r="472">
          <cell r="GS472">
            <v>0</v>
          </cell>
          <cell r="GT472">
            <v>0</v>
          </cell>
          <cell r="GU472">
            <v>0</v>
          </cell>
          <cell r="GV472">
            <v>0</v>
          </cell>
          <cell r="GW472">
            <v>0</v>
          </cell>
          <cell r="GX472">
            <v>0</v>
          </cell>
          <cell r="GY472">
            <v>0</v>
          </cell>
          <cell r="GZ472">
            <v>0</v>
          </cell>
          <cell r="HA472">
            <v>0</v>
          </cell>
          <cell r="HB472">
            <v>0</v>
          </cell>
          <cell r="HC472">
            <v>0</v>
          </cell>
          <cell r="HD472">
            <v>0</v>
          </cell>
          <cell r="HH472">
            <v>0</v>
          </cell>
          <cell r="HI472">
            <v>0</v>
          </cell>
          <cell r="HJ472">
            <v>0</v>
          </cell>
          <cell r="HK472">
            <v>0</v>
          </cell>
          <cell r="HL472">
            <v>0</v>
          </cell>
          <cell r="HM472">
            <v>0</v>
          </cell>
          <cell r="HN472">
            <v>0</v>
          </cell>
          <cell r="HO472">
            <v>0</v>
          </cell>
          <cell r="HP472">
            <v>0</v>
          </cell>
          <cell r="HQ472">
            <v>0</v>
          </cell>
          <cell r="HR472">
            <v>0</v>
          </cell>
          <cell r="HS472">
            <v>0</v>
          </cell>
          <cell r="II472">
            <v>0</v>
          </cell>
          <cell r="IJ472">
            <v>0</v>
          </cell>
          <cell r="IK472">
            <v>0</v>
          </cell>
          <cell r="IL472">
            <v>0</v>
          </cell>
          <cell r="IM472">
            <v>0</v>
          </cell>
          <cell r="IN472">
            <v>0</v>
          </cell>
          <cell r="IO472">
            <v>0</v>
          </cell>
          <cell r="IP472">
            <v>0</v>
          </cell>
          <cell r="IQ472">
            <v>0</v>
          </cell>
          <cell r="IR472">
            <v>0</v>
          </cell>
          <cell r="IS472">
            <v>0</v>
          </cell>
          <cell r="IT472">
            <v>0</v>
          </cell>
        </row>
        <row r="473">
          <cell r="GS473">
            <v>0</v>
          </cell>
          <cell r="GT473">
            <v>0</v>
          </cell>
          <cell r="GU473">
            <v>0</v>
          </cell>
          <cell r="GV473">
            <v>0</v>
          </cell>
          <cell r="GW473">
            <v>0</v>
          </cell>
          <cell r="GX473">
            <v>0</v>
          </cell>
          <cell r="GY473">
            <v>0</v>
          </cell>
          <cell r="GZ473">
            <v>0</v>
          </cell>
          <cell r="HA473">
            <v>0</v>
          </cell>
          <cell r="HB473">
            <v>0</v>
          </cell>
          <cell r="HC473">
            <v>0</v>
          </cell>
          <cell r="HD473">
            <v>0</v>
          </cell>
          <cell r="HH473">
            <v>0</v>
          </cell>
          <cell r="HI473">
            <v>0</v>
          </cell>
          <cell r="HJ473">
            <v>0</v>
          </cell>
          <cell r="HK473">
            <v>0</v>
          </cell>
          <cell r="HL473">
            <v>0</v>
          </cell>
          <cell r="HM473">
            <v>0</v>
          </cell>
          <cell r="HN473">
            <v>0</v>
          </cell>
          <cell r="HO473">
            <v>0</v>
          </cell>
          <cell r="HP473">
            <v>0</v>
          </cell>
          <cell r="HQ473">
            <v>0</v>
          </cell>
          <cell r="HR473">
            <v>0</v>
          </cell>
          <cell r="HS473">
            <v>0</v>
          </cell>
          <cell r="II473">
            <v>0</v>
          </cell>
          <cell r="IJ473">
            <v>0</v>
          </cell>
          <cell r="IK473">
            <v>0</v>
          </cell>
          <cell r="IL473">
            <v>0</v>
          </cell>
          <cell r="IM473">
            <v>0</v>
          </cell>
          <cell r="IN473">
            <v>0</v>
          </cell>
          <cell r="IO473">
            <v>0</v>
          </cell>
          <cell r="IP473">
            <v>0</v>
          </cell>
          <cell r="IQ473">
            <v>0</v>
          </cell>
          <cell r="IR473">
            <v>0</v>
          </cell>
          <cell r="IS473">
            <v>0</v>
          </cell>
          <cell r="IT473">
            <v>0</v>
          </cell>
        </row>
        <row r="474">
          <cell r="GS474">
            <v>0</v>
          </cell>
          <cell r="GT474">
            <v>0</v>
          </cell>
          <cell r="GU474">
            <v>0</v>
          </cell>
          <cell r="GV474">
            <v>0</v>
          </cell>
          <cell r="GW474">
            <v>0</v>
          </cell>
          <cell r="GX474">
            <v>0</v>
          </cell>
          <cell r="GY474">
            <v>0</v>
          </cell>
          <cell r="GZ474">
            <v>0</v>
          </cell>
          <cell r="HA474">
            <v>0</v>
          </cell>
          <cell r="HB474">
            <v>0</v>
          </cell>
          <cell r="HC474">
            <v>0</v>
          </cell>
          <cell r="HD474">
            <v>0</v>
          </cell>
          <cell r="HH474">
            <v>0</v>
          </cell>
          <cell r="HI474">
            <v>0</v>
          </cell>
          <cell r="HJ474">
            <v>0</v>
          </cell>
          <cell r="HK474">
            <v>0</v>
          </cell>
          <cell r="HL474">
            <v>0</v>
          </cell>
          <cell r="HM474">
            <v>0</v>
          </cell>
          <cell r="HN474">
            <v>0</v>
          </cell>
          <cell r="HO474">
            <v>0</v>
          </cell>
          <cell r="HP474">
            <v>0</v>
          </cell>
          <cell r="HQ474">
            <v>0</v>
          </cell>
          <cell r="HR474">
            <v>0</v>
          </cell>
          <cell r="HS474">
            <v>0</v>
          </cell>
          <cell r="II474">
            <v>0</v>
          </cell>
          <cell r="IJ474">
            <v>0</v>
          </cell>
          <cell r="IK474">
            <v>0</v>
          </cell>
          <cell r="IL474">
            <v>0</v>
          </cell>
          <cell r="IM474">
            <v>0</v>
          </cell>
          <cell r="IN474">
            <v>0</v>
          </cell>
          <cell r="IO474">
            <v>0</v>
          </cell>
          <cell r="IP474">
            <v>0</v>
          </cell>
          <cell r="IQ474">
            <v>0</v>
          </cell>
          <cell r="IR474">
            <v>0</v>
          </cell>
          <cell r="IS474">
            <v>0</v>
          </cell>
          <cell r="IT474">
            <v>0</v>
          </cell>
        </row>
        <row r="475">
          <cell r="GS475">
            <v>0</v>
          </cell>
          <cell r="GT475">
            <v>0</v>
          </cell>
          <cell r="GU475">
            <v>0</v>
          </cell>
          <cell r="GV475">
            <v>0</v>
          </cell>
          <cell r="GW475">
            <v>0</v>
          </cell>
          <cell r="GX475">
            <v>0</v>
          </cell>
          <cell r="GY475">
            <v>0</v>
          </cell>
          <cell r="GZ475">
            <v>0</v>
          </cell>
          <cell r="HA475">
            <v>0</v>
          </cell>
          <cell r="HB475">
            <v>0</v>
          </cell>
          <cell r="HC475">
            <v>0</v>
          </cell>
          <cell r="HD475">
            <v>0</v>
          </cell>
          <cell r="HH475">
            <v>0</v>
          </cell>
          <cell r="HI475">
            <v>0</v>
          </cell>
          <cell r="HJ475">
            <v>0</v>
          </cell>
          <cell r="HK475">
            <v>0</v>
          </cell>
          <cell r="HL475">
            <v>0</v>
          </cell>
          <cell r="HM475">
            <v>0</v>
          </cell>
          <cell r="HN475">
            <v>0</v>
          </cell>
          <cell r="HO475">
            <v>0</v>
          </cell>
          <cell r="HP475">
            <v>0</v>
          </cell>
          <cell r="HQ475">
            <v>0</v>
          </cell>
          <cell r="HR475">
            <v>0</v>
          </cell>
          <cell r="HS475">
            <v>0</v>
          </cell>
          <cell r="II475">
            <v>0</v>
          </cell>
          <cell r="IJ475">
            <v>0</v>
          </cell>
          <cell r="IK475">
            <v>0</v>
          </cell>
          <cell r="IL475">
            <v>0</v>
          </cell>
          <cell r="IM475">
            <v>0</v>
          </cell>
          <cell r="IN475">
            <v>0</v>
          </cell>
          <cell r="IO475">
            <v>0</v>
          </cell>
          <cell r="IP475">
            <v>0</v>
          </cell>
          <cell r="IQ475">
            <v>0</v>
          </cell>
          <cell r="IR475">
            <v>0</v>
          </cell>
          <cell r="IS475">
            <v>0</v>
          </cell>
          <cell r="IT475">
            <v>0</v>
          </cell>
        </row>
        <row r="476">
          <cell r="GS476">
            <v>0</v>
          </cell>
          <cell r="GT476">
            <v>0</v>
          </cell>
          <cell r="GU476">
            <v>0</v>
          </cell>
          <cell r="GV476">
            <v>0</v>
          </cell>
          <cell r="GW476">
            <v>0</v>
          </cell>
          <cell r="GX476">
            <v>0</v>
          </cell>
          <cell r="GY476">
            <v>0</v>
          </cell>
          <cell r="GZ476">
            <v>0</v>
          </cell>
          <cell r="HA476">
            <v>0</v>
          </cell>
          <cell r="HB476">
            <v>0</v>
          </cell>
          <cell r="HC476">
            <v>0</v>
          </cell>
          <cell r="HD476">
            <v>0</v>
          </cell>
          <cell r="HH476">
            <v>0</v>
          </cell>
          <cell r="HI476">
            <v>0</v>
          </cell>
          <cell r="HJ476">
            <v>0</v>
          </cell>
          <cell r="HK476">
            <v>0</v>
          </cell>
          <cell r="HL476">
            <v>0</v>
          </cell>
          <cell r="HM476">
            <v>0</v>
          </cell>
          <cell r="HN476">
            <v>0</v>
          </cell>
          <cell r="HO476">
            <v>0</v>
          </cell>
          <cell r="HP476">
            <v>0</v>
          </cell>
          <cell r="HQ476">
            <v>0</v>
          </cell>
          <cell r="HR476">
            <v>0</v>
          </cell>
          <cell r="HS476">
            <v>0</v>
          </cell>
          <cell r="II476">
            <v>0</v>
          </cell>
          <cell r="IJ476">
            <v>0</v>
          </cell>
          <cell r="IK476">
            <v>0</v>
          </cell>
          <cell r="IL476">
            <v>0</v>
          </cell>
          <cell r="IM476">
            <v>0</v>
          </cell>
          <cell r="IN476">
            <v>0</v>
          </cell>
          <cell r="IO476">
            <v>0</v>
          </cell>
          <cell r="IP476">
            <v>0</v>
          </cell>
          <cell r="IQ476">
            <v>0</v>
          </cell>
          <cell r="IR476">
            <v>0</v>
          </cell>
          <cell r="IS476">
            <v>0</v>
          </cell>
          <cell r="IT476">
            <v>0</v>
          </cell>
        </row>
        <row r="477">
          <cell r="GS477">
            <v>0</v>
          </cell>
          <cell r="GT477">
            <v>0</v>
          </cell>
          <cell r="GU477">
            <v>0</v>
          </cell>
          <cell r="GV477">
            <v>0</v>
          </cell>
          <cell r="GW477">
            <v>0</v>
          </cell>
          <cell r="GX477">
            <v>0</v>
          </cell>
          <cell r="GY477">
            <v>0</v>
          </cell>
          <cell r="GZ477">
            <v>0</v>
          </cell>
          <cell r="HA477">
            <v>0</v>
          </cell>
          <cell r="HB477">
            <v>0</v>
          </cell>
          <cell r="HC477">
            <v>0</v>
          </cell>
          <cell r="HD477">
            <v>0</v>
          </cell>
          <cell r="HH477">
            <v>0</v>
          </cell>
          <cell r="HI477">
            <v>0</v>
          </cell>
          <cell r="HJ477">
            <v>0</v>
          </cell>
          <cell r="HK477">
            <v>0</v>
          </cell>
          <cell r="HL477">
            <v>0</v>
          </cell>
          <cell r="HM477">
            <v>0</v>
          </cell>
          <cell r="HN477">
            <v>0</v>
          </cell>
          <cell r="HO477">
            <v>0</v>
          </cell>
          <cell r="HP477">
            <v>0</v>
          </cell>
          <cell r="HQ477">
            <v>0</v>
          </cell>
          <cell r="HR477">
            <v>0</v>
          </cell>
          <cell r="HS477">
            <v>0</v>
          </cell>
          <cell r="II477">
            <v>0</v>
          </cell>
          <cell r="IJ477">
            <v>0</v>
          </cell>
          <cell r="IK477">
            <v>0</v>
          </cell>
          <cell r="IL477">
            <v>0</v>
          </cell>
          <cell r="IM477">
            <v>0</v>
          </cell>
          <cell r="IN477">
            <v>0</v>
          </cell>
          <cell r="IO477">
            <v>0</v>
          </cell>
          <cell r="IP477">
            <v>0</v>
          </cell>
          <cell r="IQ477">
            <v>0</v>
          </cell>
          <cell r="IR477">
            <v>0</v>
          </cell>
          <cell r="IS477">
            <v>0</v>
          </cell>
          <cell r="IT477">
            <v>0</v>
          </cell>
        </row>
        <row r="478">
          <cell r="GS478">
            <v>0</v>
          </cell>
          <cell r="GT478">
            <v>0</v>
          </cell>
          <cell r="GU478">
            <v>0</v>
          </cell>
          <cell r="GV478">
            <v>0</v>
          </cell>
          <cell r="GW478">
            <v>0</v>
          </cell>
          <cell r="GX478">
            <v>0</v>
          </cell>
          <cell r="GY478">
            <v>0</v>
          </cell>
          <cell r="GZ478">
            <v>0</v>
          </cell>
          <cell r="HA478">
            <v>0</v>
          </cell>
          <cell r="HB478">
            <v>0</v>
          </cell>
          <cell r="HC478">
            <v>0</v>
          </cell>
          <cell r="HD478">
            <v>0</v>
          </cell>
          <cell r="HH478">
            <v>0</v>
          </cell>
          <cell r="HI478">
            <v>0</v>
          </cell>
          <cell r="HJ478">
            <v>0</v>
          </cell>
          <cell r="HK478">
            <v>0</v>
          </cell>
          <cell r="HL478">
            <v>0</v>
          </cell>
          <cell r="HM478">
            <v>0</v>
          </cell>
          <cell r="HN478">
            <v>0</v>
          </cell>
          <cell r="HO478">
            <v>0</v>
          </cell>
          <cell r="HP478">
            <v>0</v>
          </cell>
          <cell r="HQ478">
            <v>0</v>
          </cell>
          <cell r="HR478">
            <v>0</v>
          </cell>
          <cell r="HS478">
            <v>0</v>
          </cell>
          <cell r="II478">
            <v>0</v>
          </cell>
          <cell r="IJ478">
            <v>0</v>
          </cell>
          <cell r="IK478">
            <v>0</v>
          </cell>
          <cell r="IL478">
            <v>0</v>
          </cell>
          <cell r="IM478">
            <v>0</v>
          </cell>
          <cell r="IN478">
            <v>0</v>
          </cell>
          <cell r="IO478">
            <v>0</v>
          </cell>
          <cell r="IP478">
            <v>0</v>
          </cell>
          <cell r="IQ478">
            <v>0</v>
          </cell>
          <cell r="IR478">
            <v>0</v>
          </cell>
          <cell r="IS478">
            <v>0</v>
          </cell>
          <cell r="IT478">
            <v>0</v>
          </cell>
        </row>
        <row r="479">
          <cell r="GS479">
            <v>0</v>
          </cell>
          <cell r="GT479">
            <v>0</v>
          </cell>
          <cell r="GU479">
            <v>0</v>
          </cell>
          <cell r="GV479">
            <v>0</v>
          </cell>
          <cell r="GW479">
            <v>0</v>
          </cell>
          <cell r="GX479">
            <v>0</v>
          </cell>
          <cell r="GY479">
            <v>0</v>
          </cell>
          <cell r="GZ479">
            <v>0</v>
          </cell>
          <cell r="HA479">
            <v>0</v>
          </cell>
          <cell r="HB479">
            <v>0</v>
          </cell>
          <cell r="HC479">
            <v>0</v>
          </cell>
          <cell r="HD479">
            <v>0</v>
          </cell>
          <cell r="HH479">
            <v>0</v>
          </cell>
          <cell r="HI479">
            <v>0</v>
          </cell>
          <cell r="HJ479">
            <v>0</v>
          </cell>
          <cell r="HK479">
            <v>0</v>
          </cell>
          <cell r="HL479">
            <v>0</v>
          </cell>
          <cell r="HM479">
            <v>0</v>
          </cell>
          <cell r="HN479">
            <v>0</v>
          </cell>
          <cell r="HO479">
            <v>0</v>
          </cell>
          <cell r="HP479">
            <v>0</v>
          </cell>
          <cell r="HQ479">
            <v>0</v>
          </cell>
          <cell r="HR479">
            <v>0</v>
          </cell>
          <cell r="HS479">
            <v>0</v>
          </cell>
          <cell r="II479">
            <v>0</v>
          </cell>
          <cell r="IJ479">
            <v>0</v>
          </cell>
          <cell r="IK479">
            <v>0</v>
          </cell>
          <cell r="IL479">
            <v>0</v>
          </cell>
          <cell r="IM479">
            <v>0</v>
          </cell>
          <cell r="IN479">
            <v>0</v>
          </cell>
          <cell r="IO479">
            <v>0</v>
          </cell>
          <cell r="IP479">
            <v>0</v>
          </cell>
          <cell r="IQ479">
            <v>0</v>
          </cell>
          <cell r="IR479">
            <v>0</v>
          </cell>
          <cell r="IS479">
            <v>0</v>
          </cell>
          <cell r="IT479">
            <v>0</v>
          </cell>
        </row>
        <row r="480">
          <cell r="GS480">
            <v>0</v>
          </cell>
          <cell r="GT480">
            <v>0</v>
          </cell>
          <cell r="GU480">
            <v>0</v>
          </cell>
          <cell r="GV480">
            <v>0</v>
          </cell>
          <cell r="GW480">
            <v>0</v>
          </cell>
          <cell r="GX480">
            <v>0</v>
          </cell>
          <cell r="GY480">
            <v>0</v>
          </cell>
          <cell r="GZ480">
            <v>0</v>
          </cell>
          <cell r="HA480">
            <v>0</v>
          </cell>
          <cell r="HB480">
            <v>0</v>
          </cell>
          <cell r="HC480">
            <v>0</v>
          </cell>
          <cell r="HD480">
            <v>0</v>
          </cell>
          <cell r="HH480">
            <v>0</v>
          </cell>
          <cell r="HI480">
            <v>0</v>
          </cell>
          <cell r="HJ480">
            <v>0</v>
          </cell>
          <cell r="HK480">
            <v>0</v>
          </cell>
          <cell r="HL480">
            <v>0</v>
          </cell>
          <cell r="HM480">
            <v>0</v>
          </cell>
          <cell r="HN480">
            <v>0</v>
          </cell>
          <cell r="HO480">
            <v>0</v>
          </cell>
          <cell r="HP480">
            <v>0</v>
          </cell>
          <cell r="HQ480">
            <v>0</v>
          </cell>
          <cell r="HR480">
            <v>0</v>
          </cell>
          <cell r="HS480">
            <v>0</v>
          </cell>
          <cell r="II480">
            <v>0</v>
          </cell>
          <cell r="IJ480">
            <v>0</v>
          </cell>
          <cell r="IK480">
            <v>0</v>
          </cell>
          <cell r="IL480">
            <v>0</v>
          </cell>
          <cell r="IM480">
            <v>0</v>
          </cell>
          <cell r="IN480">
            <v>0</v>
          </cell>
          <cell r="IO480">
            <v>0</v>
          </cell>
          <cell r="IP480">
            <v>0</v>
          </cell>
          <cell r="IQ480">
            <v>0</v>
          </cell>
          <cell r="IR480">
            <v>0</v>
          </cell>
          <cell r="IS480">
            <v>0</v>
          </cell>
          <cell r="IT480">
            <v>0</v>
          </cell>
        </row>
        <row r="481">
          <cell r="GS481">
            <v>0</v>
          </cell>
          <cell r="GT481">
            <v>0</v>
          </cell>
          <cell r="GU481">
            <v>0</v>
          </cell>
          <cell r="GV481">
            <v>0</v>
          </cell>
          <cell r="GW481">
            <v>0</v>
          </cell>
          <cell r="GX481">
            <v>0</v>
          </cell>
          <cell r="GY481">
            <v>0</v>
          </cell>
          <cell r="GZ481">
            <v>0</v>
          </cell>
          <cell r="HA481">
            <v>0</v>
          </cell>
          <cell r="HB481">
            <v>0</v>
          </cell>
          <cell r="HC481">
            <v>0</v>
          </cell>
          <cell r="HD481">
            <v>0</v>
          </cell>
          <cell r="HH481">
            <v>0</v>
          </cell>
          <cell r="HI481">
            <v>0</v>
          </cell>
          <cell r="HJ481">
            <v>0</v>
          </cell>
          <cell r="HK481">
            <v>0</v>
          </cell>
          <cell r="HL481">
            <v>0</v>
          </cell>
          <cell r="HM481">
            <v>0</v>
          </cell>
          <cell r="HN481">
            <v>0</v>
          </cell>
          <cell r="HO481">
            <v>0</v>
          </cell>
          <cell r="HP481">
            <v>0</v>
          </cell>
          <cell r="HQ481">
            <v>0</v>
          </cell>
          <cell r="HR481">
            <v>0</v>
          </cell>
          <cell r="HS481">
            <v>0</v>
          </cell>
          <cell r="II481">
            <v>0</v>
          </cell>
          <cell r="IJ481">
            <v>0</v>
          </cell>
          <cell r="IK481">
            <v>0</v>
          </cell>
          <cell r="IL481">
            <v>0</v>
          </cell>
          <cell r="IM481">
            <v>0</v>
          </cell>
          <cell r="IN481">
            <v>0</v>
          </cell>
          <cell r="IO481">
            <v>0</v>
          </cell>
          <cell r="IP481">
            <v>0</v>
          </cell>
          <cell r="IQ481">
            <v>0</v>
          </cell>
          <cell r="IR481">
            <v>0</v>
          </cell>
          <cell r="IS481">
            <v>0</v>
          </cell>
          <cell r="IT481">
            <v>0</v>
          </cell>
        </row>
        <row r="482">
          <cell r="GS482">
            <v>0</v>
          </cell>
          <cell r="GT482">
            <v>0</v>
          </cell>
          <cell r="GU482">
            <v>0</v>
          </cell>
          <cell r="GV482">
            <v>0</v>
          </cell>
          <cell r="GW482">
            <v>0</v>
          </cell>
          <cell r="GX482">
            <v>0</v>
          </cell>
          <cell r="GY482">
            <v>0</v>
          </cell>
          <cell r="GZ482">
            <v>0</v>
          </cell>
          <cell r="HA482">
            <v>0</v>
          </cell>
          <cell r="HB482">
            <v>0</v>
          </cell>
          <cell r="HC482">
            <v>0</v>
          </cell>
          <cell r="HD482">
            <v>0</v>
          </cell>
          <cell r="HH482">
            <v>0</v>
          </cell>
          <cell r="HI482">
            <v>0</v>
          </cell>
          <cell r="HJ482">
            <v>0</v>
          </cell>
          <cell r="HK482">
            <v>0</v>
          </cell>
          <cell r="HL482">
            <v>0</v>
          </cell>
          <cell r="HM482">
            <v>0</v>
          </cell>
          <cell r="HN482">
            <v>0</v>
          </cell>
          <cell r="HO482">
            <v>0</v>
          </cell>
          <cell r="HP482">
            <v>0</v>
          </cell>
          <cell r="HQ482">
            <v>0</v>
          </cell>
          <cell r="HR482">
            <v>0</v>
          </cell>
          <cell r="HS482">
            <v>0</v>
          </cell>
          <cell r="II482">
            <v>0</v>
          </cell>
          <cell r="IJ482">
            <v>0</v>
          </cell>
          <cell r="IK482">
            <v>0</v>
          </cell>
          <cell r="IL482">
            <v>0</v>
          </cell>
          <cell r="IM482">
            <v>0</v>
          </cell>
          <cell r="IN482">
            <v>0</v>
          </cell>
          <cell r="IO482">
            <v>0</v>
          </cell>
          <cell r="IP482">
            <v>0</v>
          </cell>
          <cell r="IQ482">
            <v>0</v>
          </cell>
          <cell r="IR482">
            <v>0</v>
          </cell>
          <cell r="IS482">
            <v>0</v>
          </cell>
          <cell r="IT482">
            <v>0</v>
          </cell>
        </row>
        <row r="483">
          <cell r="GS483">
            <v>0</v>
          </cell>
          <cell r="GT483">
            <v>0</v>
          </cell>
          <cell r="GU483">
            <v>0</v>
          </cell>
          <cell r="GV483">
            <v>0</v>
          </cell>
          <cell r="GW483">
            <v>0</v>
          </cell>
          <cell r="GX483">
            <v>0</v>
          </cell>
          <cell r="GY483">
            <v>0</v>
          </cell>
          <cell r="GZ483">
            <v>0</v>
          </cell>
          <cell r="HA483">
            <v>0</v>
          </cell>
          <cell r="HB483">
            <v>0</v>
          </cell>
          <cell r="HC483">
            <v>0</v>
          </cell>
          <cell r="HD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0</v>
          </cell>
          <cell r="HN483">
            <v>0</v>
          </cell>
          <cell r="HO483">
            <v>0</v>
          </cell>
          <cell r="HP483">
            <v>0</v>
          </cell>
          <cell r="HQ483">
            <v>0</v>
          </cell>
          <cell r="HR483">
            <v>0</v>
          </cell>
          <cell r="HS483">
            <v>0</v>
          </cell>
          <cell r="II483">
            <v>0</v>
          </cell>
          <cell r="IJ483">
            <v>0</v>
          </cell>
          <cell r="IK483">
            <v>0</v>
          </cell>
          <cell r="IL483">
            <v>0</v>
          </cell>
          <cell r="IM483">
            <v>0</v>
          </cell>
          <cell r="IN483">
            <v>0</v>
          </cell>
          <cell r="IO483">
            <v>0</v>
          </cell>
          <cell r="IP483">
            <v>0</v>
          </cell>
          <cell r="IQ483">
            <v>0</v>
          </cell>
          <cell r="IR483">
            <v>0</v>
          </cell>
          <cell r="IS483">
            <v>0</v>
          </cell>
          <cell r="IT483">
            <v>0</v>
          </cell>
        </row>
        <row r="484">
          <cell r="GS484">
            <v>0</v>
          </cell>
          <cell r="GT484">
            <v>0</v>
          </cell>
          <cell r="GU484">
            <v>0</v>
          </cell>
          <cell r="GV484">
            <v>0</v>
          </cell>
          <cell r="GW484">
            <v>0</v>
          </cell>
          <cell r="GX484">
            <v>0</v>
          </cell>
          <cell r="GY484">
            <v>0</v>
          </cell>
          <cell r="GZ484">
            <v>0</v>
          </cell>
          <cell r="HA484">
            <v>0</v>
          </cell>
          <cell r="HB484">
            <v>0</v>
          </cell>
          <cell r="HC484">
            <v>0</v>
          </cell>
          <cell r="HD484">
            <v>0</v>
          </cell>
          <cell r="HH484">
            <v>0</v>
          </cell>
          <cell r="HI484">
            <v>0</v>
          </cell>
          <cell r="HJ484">
            <v>0</v>
          </cell>
          <cell r="HK484">
            <v>0</v>
          </cell>
          <cell r="HL484">
            <v>0</v>
          </cell>
          <cell r="HM484">
            <v>0</v>
          </cell>
          <cell r="HN484">
            <v>0</v>
          </cell>
          <cell r="HO484">
            <v>0</v>
          </cell>
          <cell r="HP484">
            <v>0</v>
          </cell>
          <cell r="HQ484">
            <v>0</v>
          </cell>
          <cell r="HR484">
            <v>0</v>
          </cell>
          <cell r="HS484">
            <v>0</v>
          </cell>
          <cell r="II484">
            <v>0</v>
          </cell>
          <cell r="IJ484">
            <v>0</v>
          </cell>
          <cell r="IK484">
            <v>0</v>
          </cell>
          <cell r="IL484">
            <v>0</v>
          </cell>
          <cell r="IM484">
            <v>0</v>
          </cell>
          <cell r="IN484">
            <v>0</v>
          </cell>
          <cell r="IO484">
            <v>0</v>
          </cell>
          <cell r="IP484">
            <v>0</v>
          </cell>
          <cell r="IQ484">
            <v>0</v>
          </cell>
          <cell r="IR484">
            <v>0</v>
          </cell>
          <cell r="IS484">
            <v>0</v>
          </cell>
          <cell r="IT484">
            <v>0</v>
          </cell>
        </row>
        <row r="485">
          <cell r="GS485">
            <v>0</v>
          </cell>
          <cell r="GT485">
            <v>0</v>
          </cell>
          <cell r="GU485">
            <v>0</v>
          </cell>
          <cell r="GV485">
            <v>0</v>
          </cell>
          <cell r="GW485">
            <v>0</v>
          </cell>
          <cell r="GX485">
            <v>0</v>
          </cell>
          <cell r="GY485">
            <v>0</v>
          </cell>
          <cell r="GZ485">
            <v>0</v>
          </cell>
          <cell r="HA485">
            <v>0</v>
          </cell>
          <cell r="HB485">
            <v>0</v>
          </cell>
          <cell r="HC485">
            <v>0</v>
          </cell>
          <cell r="HD485">
            <v>0</v>
          </cell>
          <cell r="HH485">
            <v>0</v>
          </cell>
          <cell r="HI485">
            <v>0</v>
          </cell>
          <cell r="HJ485">
            <v>0</v>
          </cell>
          <cell r="HK485">
            <v>0</v>
          </cell>
          <cell r="HL485">
            <v>0</v>
          </cell>
          <cell r="HM485">
            <v>0</v>
          </cell>
          <cell r="HN485">
            <v>0</v>
          </cell>
          <cell r="HO485">
            <v>0</v>
          </cell>
          <cell r="HP485">
            <v>0</v>
          </cell>
          <cell r="HQ485">
            <v>0</v>
          </cell>
          <cell r="HR485">
            <v>0</v>
          </cell>
          <cell r="HS485">
            <v>0</v>
          </cell>
          <cell r="II485">
            <v>0</v>
          </cell>
          <cell r="IJ485">
            <v>0</v>
          </cell>
          <cell r="IK485">
            <v>0</v>
          </cell>
          <cell r="IL485">
            <v>0</v>
          </cell>
          <cell r="IM485">
            <v>0</v>
          </cell>
          <cell r="IN485">
            <v>0</v>
          </cell>
          <cell r="IO485">
            <v>0</v>
          </cell>
          <cell r="IP485">
            <v>0</v>
          </cell>
          <cell r="IQ485">
            <v>0</v>
          </cell>
          <cell r="IR485">
            <v>0</v>
          </cell>
          <cell r="IS485">
            <v>0</v>
          </cell>
          <cell r="IT485">
            <v>0</v>
          </cell>
        </row>
        <row r="486">
          <cell r="GS486">
            <v>0</v>
          </cell>
          <cell r="GT486">
            <v>0</v>
          </cell>
          <cell r="GU486">
            <v>0</v>
          </cell>
          <cell r="GV486">
            <v>0</v>
          </cell>
          <cell r="GW486">
            <v>0</v>
          </cell>
          <cell r="GX486">
            <v>0</v>
          </cell>
          <cell r="GY486">
            <v>0</v>
          </cell>
          <cell r="GZ486">
            <v>0</v>
          </cell>
          <cell r="HA486">
            <v>0</v>
          </cell>
          <cell r="HB486">
            <v>0</v>
          </cell>
          <cell r="HC486">
            <v>0</v>
          </cell>
          <cell r="HD486">
            <v>0</v>
          </cell>
          <cell r="HH486">
            <v>0</v>
          </cell>
          <cell r="HI486">
            <v>0</v>
          </cell>
          <cell r="HJ486">
            <v>0</v>
          </cell>
          <cell r="HK486">
            <v>0</v>
          </cell>
          <cell r="HL486">
            <v>0</v>
          </cell>
          <cell r="HM486">
            <v>0</v>
          </cell>
          <cell r="HN486">
            <v>0</v>
          </cell>
          <cell r="HO486">
            <v>0</v>
          </cell>
          <cell r="HP486">
            <v>0</v>
          </cell>
          <cell r="HQ486">
            <v>0</v>
          </cell>
          <cell r="HR486">
            <v>0</v>
          </cell>
          <cell r="HS486">
            <v>0</v>
          </cell>
          <cell r="II486">
            <v>0</v>
          </cell>
          <cell r="IJ486">
            <v>0</v>
          </cell>
          <cell r="IK486">
            <v>0</v>
          </cell>
          <cell r="IL486">
            <v>0</v>
          </cell>
          <cell r="IM486">
            <v>0</v>
          </cell>
          <cell r="IN486">
            <v>0</v>
          </cell>
          <cell r="IO486">
            <v>0</v>
          </cell>
          <cell r="IP486">
            <v>0</v>
          </cell>
          <cell r="IQ486">
            <v>0</v>
          </cell>
          <cell r="IR486">
            <v>0</v>
          </cell>
          <cell r="IS486">
            <v>0</v>
          </cell>
          <cell r="IT486">
            <v>0</v>
          </cell>
        </row>
        <row r="487">
          <cell r="GS487">
            <v>0</v>
          </cell>
          <cell r="GT487">
            <v>0</v>
          </cell>
          <cell r="GU487">
            <v>0</v>
          </cell>
          <cell r="GV487">
            <v>0</v>
          </cell>
          <cell r="GW487">
            <v>0</v>
          </cell>
          <cell r="GX487">
            <v>0</v>
          </cell>
          <cell r="GY487">
            <v>0</v>
          </cell>
          <cell r="GZ487">
            <v>0</v>
          </cell>
          <cell r="HA487">
            <v>0</v>
          </cell>
          <cell r="HB487">
            <v>0</v>
          </cell>
          <cell r="HC487">
            <v>0</v>
          </cell>
          <cell r="HD487">
            <v>0</v>
          </cell>
          <cell r="HH487">
            <v>0</v>
          </cell>
          <cell r="HI487">
            <v>0</v>
          </cell>
          <cell r="HJ487">
            <v>0</v>
          </cell>
          <cell r="HK487">
            <v>0</v>
          </cell>
          <cell r="HL487">
            <v>0</v>
          </cell>
          <cell r="HM487">
            <v>0</v>
          </cell>
          <cell r="HN487">
            <v>0</v>
          </cell>
          <cell r="HO487">
            <v>0</v>
          </cell>
          <cell r="HP487">
            <v>0</v>
          </cell>
          <cell r="HQ487">
            <v>0</v>
          </cell>
          <cell r="HR487">
            <v>0</v>
          </cell>
          <cell r="HS487">
            <v>0</v>
          </cell>
          <cell r="II487">
            <v>0</v>
          </cell>
          <cell r="IJ487">
            <v>0</v>
          </cell>
          <cell r="IK487">
            <v>0</v>
          </cell>
          <cell r="IL487">
            <v>0</v>
          </cell>
          <cell r="IM487">
            <v>0</v>
          </cell>
          <cell r="IN487">
            <v>0</v>
          </cell>
          <cell r="IO487">
            <v>0</v>
          </cell>
          <cell r="IP487">
            <v>0</v>
          </cell>
          <cell r="IQ487">
            <v>0</v>
          </cell>
          <cell r="IR487">
            <v>0</v>
          </cell>
          <cell r="IS487">
            <v>0</v>
          </cell>
          <cell r="IT487">
            <v>0</v>
          </cell>
        </row>
        <row r="488">
          <cell r="GS488">
            <v>0</v>
          </cell>
          <cell r="GT488">
            <v>0</v>
          </cell>
          <cell r="GU488">
            <v>0</v>
          </cell>
          <cell r="GV488">
            <v>0</v>
          </cell>
          <cell r="GW488">
            <v>0</v>
          </cell>
          <cell r="GX488">
            <v>0</v>
          </cell>
          <cell r="GY488">
            <v>0</v>
          </cell>
          <cell r="GZ488">
            <v>0</v>
          </cell>
          <cell r="HA488">
            <v>0</v>
          </cell>
          <cell r="HB488">
            <v>0</v>
          </cell>
          <cell r="HC488">
            <v>0</v>
          </cell>
          <cell r="HD488">
            <v>0</v>
          </cell>
          <cell r="HH488">
            <v>0</v>
          </cell>
          <cell r="HI488">
            <v>0</v>
          </cell>
          <cell r="HJ488">
            <v>0</v>
          </cell>
          <cell r="HK488">
            <v>0</v>
          </cell>
          <cell r="HL488">
            <v>0</v>
          </cell>
          <cell r="HM488">
            <v>0</v>
          </cell>
          <cell r="HN488">
            <v>0</v>
          </cell>
          <cell r="HO488">
            <v>0</v>
          </cell>
          <cell r="HP488">
            <v>0</v>
          </cell>
          <cell r="HQ488">
            <v>0</v>
          </cell>
          <cell r="HR488">
            <v>0</v>
          </cell>
          <cell r="HS488">
            <v>0</v>
          </cell>
          <cell r="II488">
            <v>0</v>
          </cell>
          <cell r="IJ488">
            <v>0</v>
          </cell>
          <cell r="IK488">
            <v>0</v>
          </cell>
          <cell r="IL488">
            <v>0</v>
          </cell>
          <cell r="IM488">
            <v>0</v>
          </cell>
          <cell r="IN488">
            <v>0</v>
          </cell>
          <cell r="IO488">
            <v>0</v>
          </cell>
          <cell r="IP488">
            <v>0</v>
          </cell>
          <cell r="IQ488">
            <v>0</v>
          </cell>
          <cell r="IR488">
            <v>0</v>
          </cell>
          <cell r="IS488">
            <v>0</v>
          </cell>
          <cell r="IT488">
            <v>0</v>
          </cell>
        </row>
        <row r="489">
          <cell r="GS489">
            <v>0</v>
          </cell>
          <cell r="GT489">
            <v>0</v>
          </cell>
          <cell r="GU489">
            <v>0</v>
          </cell>
          <cell r="GV489">
            <v>0</v>
          </cell>
          <cell r="GW489">
            <v>0</v>
          </cell>
          <cell r="GX489">
            <v>0</v>
          </cell>
          <cell r="GY489">
            <v>0</v>
          </cell>
          <cell r="GZ489">
            <v>0</v>
          </cell>
          <cell r="HA489">
            <v>0</v>
          </cell>
          <cell r="HB489">
            <v>0</v>
          </cell>
          <cell r="HC489">
            <v>0</v>
          </cell>
          <cell r="HD489">
            <v>0</v>
          </cell>
          <cell r="HH489">
            <v>0</v>
          </cell>
          <cell r="HI489">
            <v>0</v>
          </cell>
          <cell r="HJ489">
            <v>0</v>
          </cell>
          <cell r="HK489">
            <v>0</v>
          </cell>
          <cell r="HL489">
            <v>0</v>
          </cell>
          <cell r="HM489">
            <v>0</v>
          </cell>
          <cell r="HN489">
            <v>0</v>
          </cell>
          <cell r="HO489">
            <v>0</v>
          </cell>
          <cell r="HP489">
            <v>0</v>
          </cell>
          <cell r="HQ489">
            <v>0</v>
          </cell>
          <cell r="HR489">
            <v>0</v>
          </cell>
          <cell r="HS489">
            <v>0</v>
          </cell>
          <cell r="II489">
            <v>0</v>
          </cell>
          <cell r="IJ489">
            <v>0</v>
          </cell>
          <cell r="IK489">
            <v>0</v>
          </cell>
          <cell r="IL489">
            <v>0</v>
          </cell>
          <cell r="IM489">
            <v>0</v>
          </cell>
          <cell r="IN489">
            <v>0</v>
          </cell>
          <cell r="IO489">
            <v>0</v>
          </cell>
          <cell r="IP489">
            <v>0</v>
          </cell>
          <cell r="IQ489">
            <v>0</v>
          </cell>
          <cell r="IR489">
            <v>0</v>
          </cell>
          <cell r="IS489">
            <v>0</v>
          </cell>
          <cell r="IT489">
            <v>0</v>
          </cell>
        </row>
        <row r="490">
          <cell r="GS490">
            <v>0</v>
          </cell>
          <cell r="GT490">
            <v>0</v>
          </cell>
          <cell r="GU490">
            <v>0</v>
          </cell>
          <cell r="GV490">
            <v>0</v>
          </cell>
          <cell r="GW490">
            <v>0</v>
          </cell>
          <cell r="GX490">
            <v>0</v>
          </cell>
          <cell r="GY490">
            <v>0</v>
          </cell>
          <cell r="GZ490">
            <v>0</v>
          </cell>
          <cell r="HA490">
            <v>0</v>
          </cell>
          <cell r="HB490">
            <v>0</v>
          </cell>
          <cell r="HC490">
            <v>0</v>
          </cell>
          <cell r="HD490">
            <v>0</v>
          </cell>
          <cell r="HH490">
            <v>0</v>
          </cell>
          <cell r="HI490">
            <v>0</v>
          </cell>
          <cell r="HJ490">
            <v>0</v>
          </cell>
          <cell r="HK490">
            <v>0</v>
          </cell>
          <cell r="HL490">
            <v>0</v>
          </cell>
          <cell r="HM490">
            <v>0</v>
          </cell>
          <cell r="HN490">
            <v>0</v>
          </cell>
          <cell r="HO490">
            <v>0</v>
          </cell>
          <cell r="HP490">
            <v>0</v>
          </cell>
          <cell r="HQ490">
            <v>0</v>
          </cell>
          <cell r="HR490">
            <v>0</v>
          </cell>
          <cell r="HS490">
            <v>0</v>
          </cell>
          <cell r="II490">
            <v>534.38000000000011</v>
          </cell>
          <cell r="IJ490">
            <v>1215.8899999999999</v>
          </cell>
          <cell r="IK490">
            <v>1913.5699999999997</v>
          </cell>
          <cell r="IL490">
            <v>2490.7399999999998</v>
          </cell>
          <cell r="IM490">
            <v>3757.38</v>
          </cell>
          <cell r="IN490">
            <v>4472.17</v>
          </cell>
          <cell r="IO490">
            <v>5193.71</v>
          </cell>
          <cell r="IP490">
            <v>5993.5300000000007</v>
          </cell>
          <cell r="IQ490">
            <v>6630.1600000000008</v>
          </cell>
          <cell r="IR490">
            <v>7847.8600000000006</v>
          </cell>
          <cell r="IS490">
            <v>8079.88</v>
          </cell>
          <cell r="IT490">
            <v>9870.5800000000017</v>
          </cell>
        </row>
        <row r="491">
          <cell r="GS491">
            <v>0</v>
          </cell>
          <cell r="GT491">
            <v>0</v>
          </cell>
          <cell r="GU491">
            <v>0</v>
          </cell>
          <cell r="GV491">
            <v>0</v>
          </cell>
          <cell r="GW491">
            <v>0</v>
          </cell>
          <cell r="GX491">
            <v>0</v>
          </cell>
          <cell r="GY491">
            <v>0</v>
          </cell>
          <cell r="GZ491">
            <v>0</v>
          </cell>
          <cell r="HA491">
            <v>0</v>
          </cell>
          <cell r="HB491">
            <v>0</v>
          </cell>
          <cell r="HC491">
            <v>0</v>
          </cell>
          <cell r="HD491">
            <v>0</v>
          </cell>
          <cell r="HH491">
            <v>0</v>
          </cell>
          <cell r="HI491">
            <v>0</v>
          </cell>
          <cell r="HJ491">
            <v>0</v>
          </cell>
          <cell r="HK491">
            <v>0</v>
          </cell>
          <cell r="HL491">
            <v>0</v>
          </cell>
          <cell r="HM491">
            <v>0</v>
          </cell>
          <cell r="HN491">
            <v>0</v>
          </cell>
          <cell r="HO491">
            <v>0</v>
          </cell>
          <cell r="HP491">
            <v>0</v>
          </cell>
          <cell r="HQ491">
            <v>0</v>
          </cell>
          <cell r="HR491">
            <v>0</v>
          </cell>
          <cell r="HS491">
            <v>0</v>
          </cell>
          <cell r="II491">
            <v>1.78</v>
          </cell>
          <cell r="IJ491">
            <v>3.21</v>
          </cell>
          <cell r="IK491">
            <v>4.29</v>
          </cell>
          <cell r="IL491">
            <v>5.98</v>
          </cell>
          <cell r="IM491">
            <v>7.44</v>
          </cell>
          <cell r="IN491">
            <v>8.0399999999999991</v>
          </cell>
          <cell r="IO491">
            <v>8.56</v>
          </cell>
          <cell r="IP491">
            <v>11.9</v>
          </cell>
          <cell r="IQ491">
            <v>13.65</v>
          </cell>
          <cell r="IR491">
            <v>16.16</v>
          </cell>
          <cell r="IS491">
            <v>17.95</v>
          </cell>
          <cell r="IT491">
            <v>19.18</v>
          </cell>
        </row>
        <row r="492">
          <cell r="GS492">
            <v>0</v>
          </cell>
          <cell r="GT492">
            <v>0</v>
          </cell>
          <cell r="GU492">
            <v>0</v>
          </cell>
          <cell r="GV492">
            <v>0</v>
          </cell>
          <cell r="GW492">
            <v>0</v>
          </cell>
          <cell r="GX492">
            <v>0</v>
          </cell>
          <cell r="GY492">
            <v>0</v>
          </cell>
          <cell r="GZ492">
            <v>0</v>
          </cell>
          <cell r="HA492">
            <v>0</v>
          </cell>
          <cell r="HB492">
            <v>0</v>
          </cell>
          <cell r="HC492">
            <v>0</v>
          </cell>
          <cell r="HD492">
            <v>0</v>
          </cell>
          <cell r="HH492">
            <v>0</v>
          </cell>
          <cell r="HI492">
            <v>0</v>
          </cell>
          <cell r="HJ492">
            <v>0</v>
          </cell>
          <cell r="HK492">
            <v>0</v>
          </cell>
          <cell r="HL492">
            <v>0</v>
          </cell>
          <cell r="HM492">
            <v>0</v>
          </cell>
          <cell r="HN492">
            <v>0</v>
          </cell>
          <cell r="HO492">
            <v>0</v>
          </cell>
          <cell r="HP492">
            <v>0</v>
          </cell>
          <cell r="HQ492">
            <v>0</v>
          </cell>
          <cell r="HR492">
            <v>0</v>
          </cell>
          <cell r="HS492">
            <v>0</v>
          </cell>
          <cell r="II492">
            <v>44.24</v>
          </cell>
          <cell r="IJ492">
            <v>165.41</v>
          </cell>
          <cell r="IK492">
            <v>344.16</v>
          </cell>
          <cell r="IL492">
            <v>362.84</v>
          </cell>
          <cell r="IM492">
            <v>970.49</v>
          </cell>
          <cell r="IN492">
            <v>1213.55</v>
          </cell>
          <cell r="IO492">
            <v>1307.9000000000001</v>
          </cell>
          <cell r="IP492">
            <v>1436.8</v>
          </cell>
          <cell r="IQ492">
            <v>1496.49</v>
          </cell>
          <cell r="IR492">
            <v>1712.45</v>
          </cell>
          <cell r="IS492">
            <v>1837.2</v>
          </cell>
          <cell r="IT492">
            <v>2131.94</v>
          </cell>
        </row>
        <row r="493">
          <cell r="GS493">
            <v>0</v>
          </cell>
          <cell r="GT493">
            <v>0</v>
          </cell>
          <cell r="GU493">
            <v>0</v>
          </cell>
          <cell r="GV493">
            <v>0</v>
          </cell>
          <cell r="GW493">
            <v>0</v>
          </cell>
          <cell r="GX493">
            <v>0</v>
          </cell>
          <cell r="GY493">
            <v>0</v>
          </cell>
          <cell r="GZ493">
            <v>0</v>
          </cell>
          <cell r="HA493">
            <v>0</v>
          </cell>
          <cell r="HB493">
            <v>0</v>
          </cell>
          <cell r="HC493">
            <v>0</v>
          </cell>
          <cell r="HD493">
            <v>0</v>
          </cell>
          <cell r="HH493">
            <v>0</v>
          </cell>
          <cell r="HI493">
            <v>0</v>
          </cell>
          <cell r="HJ493">
            <v>0</v>
          </cell>
          <cell r="HK493">
            <v>0</v>
          </cell>
          <cell r="HL493">
            <v>0</v>
          </cell>
          <cell r="HM493">
            <v>0</v>
          </cell>
          <cell r="HN493">
            <v>0</v>
          </cell>
          <cell r="HO493">
            <v>0</v>
          </cell>
          <cell r="HP493">
            <v>0</v>
          </cell>
          <cell r="HQ493">
            <v>0</v>
          </cell>
          <cell r="HR493">
            <v>0</v>
          </cell>
          <cell r="HS493">
            <v>0</v>
          </cell>
          <cell r="II493">
            <v>92.7</v>
          </cell>
          <cell r="IJ493">
            <v>231.19</v>
          </cell>
          <cell r="IK493">
            <v>302.33999999999997</v>
          </cell>
          <cell r="IL493">
            <v>392.22</v>
          </cell>
          <cell r="IM493">
            <v>567.12</v>
          </cell>
          <cell r="IN493">
            <v>611.82000000000005</v>
          </cell>
          <cell r="IO493">
            <v>762.96</v>
          </cell>
          <cell r="IP493">
            <v>944.63</v>
          </cell>
          <cell r="IQ493">
            <v>1060.8</v>
          </cell>
          <cell r="IR493">
            <v>1519.46</v>
          </cell>
          <cell r="IS493">
            <v>1523.06</v>
          </cell>
          <cell r="IT493">
            <v>2215.8000000000002</v>
          </cell>
        </row>
        <row r="494">
          <cell r="GS494">
            <v>0</v>
          </cell>
          <cell r="GT494">
            <v>0</v>
          </cell>
          <cell r="GU494">
            <v>0</v>
          </cell>
          <cell r="GV494">
            <v>0</v>
          </cell>
          <cell r="GW494">
            <v>0</v>
          </cell>
          <cell r="GX494">
            <v>0</v>
          </cell>
          <cell r="GY494">
            <v>0</v>
          </cell>
          <cell r="GZ494">
            <v>0</v>
          </cell>
          <cell r="HA494">
            <v>0</v>
          </cell>
          <cell r="HB494">
            <v>0</v>
          </cell>
          <cell r="HC494">
            <v>0</v>
          </cell>
          <cell r="HD494">
            <v>0</v>
          </cell>
          <cell r="HH494">
            <v>0</v>
          </cell>
          <cell r="HI494">
            <v>0</v>
          </cell>
          <cell r="HJ494">
            <v>0</v>
          </cell>
          <cell r="HK494">
            <v>0</v>
          </cell>
          <cell r="HL494">
            <v>0</v>
          </cell>
          <cell r="HM494">
            <v>0</v>
          </cell>
          <cell r="HN494">
            <v>0</v>
          </cell>
          <cell r="HO494">
            <v>0</v>
          </cell>
          <cell r="HP494">
            <v>0</v>
          </cell>
          <cell r="HQ494">
            <v>0</v>
          </cell>
          <cell r="HR494">
            <v>0</v>
          </cell>
          <cell r="HS494">
            <v>0</v>
          </cell>
          <cell r="II494">
            <v>1.8</v>
          </cell>
          <cell r="IJ494">
            <v>18.39</v>
          </cell>
          <cell r="IK494">
            <v>29.77</v>
          </cell>
          <cell r="IL494">
            <v>35.700000000000003</v>
          </cell>
          <cell r="IM494">
            <v>53.57</v>
          </cell>
          <cell r="IN494">
            <v>68.739999999999995</v>
          </cell>
          <cell r="IO494">
            <v>80.02</v>
          </cell>
          <cell r="IP494">
            <v>80.02</v>
          </cell>
          <cell r="IQ494">
            <v>92.95</v>
          </cell>
          <cell r="IR494">
            <v>114.6</v>
          </cell>
          <cell r="IS494">
            <v>117.3</v>
          </cell>
          <cell r="IT494">
            <v>144.72999999999999</v>
          </cell>
        </row>
        <row r="495">
          <cell r="GS495">
            <v>0</v>
          </cell>
          <cell r="GT495">
            <v>0</v>
          </cell>
          <cell r="GU495">
            <v>0</v>
          </cell>
          <cell r="GV495">
            <v>0</v>
          </cell>
          <cell r="GW495">
            <v>0</v>
          </cell>
          <cell r="GX495">
            <v>0</v>
          </cell>
          <cell r="GY495">
            <v>0</v>
          </cell>
          <cell r="GZ495">
            <v>0</v>
          </cell>
          <cell r="HA495">
            <v>0</v>
          </cell>
          <cell r="HB495">
            <v>0</v>
          </cell>
          <cell r="HC495">
            <v>0</v>
          </cell>
          <cell r="HD495">
            <v>0</v>
          </cell>
          <cell r="HH495">
            <v>0</v>
          </cell>
          <cell r="HI495">
            <v>0</v>
          </cell>
          <cell r="HJ495">
            <v>0</v>
          </cell>
          <cell r="HK495">
            <v>0</v>
          </cell>
          <cell r="HL495">
            <v>0</v>
          </cell>
          <cell r="HM495">
            <v>0</v>
          </cell>
          <cell r="HN495">
            <v>0</v>
          </cell>
          <cell r="HO495">
            <v>0</v>
          </cell>
          <cell r="HP495">
            <v>0</v>
          </cell>
          <cell r="HQ495">
            <v>0</v>
          </cell>
          <cell r="HR495">
            <v>0</v>
          </cell>
          <cell r="HS495">
            <v>0</v>
          </cell>
          <cell r="II495">
            <v>73.72</v>
          </cell>
          <cell r="IJ495">
            <v>150.25</v>
          </cell>
          <cell r="IK495">
            <v>225.64</v>
          </cell>
          <cell r="IL495">
            <v>299.51</v>
          </cell>
          <cell r="IM495">
            <v>370.38</v>
          </cell>
          <cell r="IN495">
            <v>442.84</v>
          </cell>
          <cell r="IO495">
            <v>513.54999999999995</v>
          </cell>
          <cell r="IP495">
            <v>584.5</v>
          </cell>
          <cell r="IQ495">
            <v>655.99</v>
          </cell>
          <cell r="IR495">
            <v>738.74</v>
          </cell>
          <cell r="IS495">
            <v>803.05</v>
          </cell>
          <cell r="IT495">
            <v>894.22</v>
          </cell>
        </row>
        <row r="496">
          <cell r="GS496">
            <v>0</v>
          </cell>
          <cell r="GT496">
            <v>0</v>
          </cell>
          <cell r="GU496">
            <v>0</v>
          </cell>
          <cell r="GV496">
            <v>0</v>
          </cell>
          <cell r="GW496">
            <v>0</v>
          </cell>
          <cell r="GX496">
            <v>0</v>
          </cell>
          <cell r="GY496">
            <v>0</v>
          </cell>
          <cell r="GZ496">
            <v>0</v>
          </cell>
          <cell r="HA496">
            <v>0</v>
          </cell>
          <cell r="HB496">
            <v>0</v>
          </cell>
          <cell r="HC496">
            <v>0</v>
          </cell>
          <cell r="HD496">
            <v>0</v>
          </cell>
          <cell r="HH496">
            <v>0</v>
          </cell>
          <cell r="HI496">
            <v>0</v>
          </cell>
          <cell r="HJ496">
            <v>0</v>
          </cell>
          <cell r="HK496">
            <v>0</v>
          </cell>
          <cell r="HL496">
            <v>0</v>
          </cell>
          <cell r="HM496">
            <v>0</v>
          </cell>
          <cell r="HN496">
            <v>0</v>
          </cell>
          <cell r="HO496">
            <v>0</v>
          </cell>
          <cell r="HP496">
            <v>0</v>
          </cell>
          <cell r="HQ496">
            <v>0</v>
          </cell>
          <cell r="HR496">
            <v>0</v>
          </cell>
          <cell r="HS496">
            <v>0</v>
          </cell>
          <cell r="II496">
            <v>3.23</v>
          </cell>
          <cell r="IJ496">
            <v>6.64</v>
          </cell>
          <cell r="IK496">
            <v>9.89</v>
          </cell>
          <cell r="IL496">
            <v>13.56</v>
          </cell>
          <cell r="IM496">
            <v>16.66</v>
          </cell>
          <cell r="IN496">
            <v>19.84</v>
          </cell>
          <cell r="IO496">
            <v>22.44</v>
          </cell>
          <cell r="IP496">
            <v>25.33</v>
          </cell>
          <cell r="IQ496">
            <v>28.03</v>
          </cell>
          <cell r="IR496">
            <v>31.21</v>
          </cell>
          <cell r="IS496">
            <v>39.89</v>
          </cell>
          <cell r="IT496">
            <v>43.6</v>
          </cell>
        </row>
        <row r="497">
          <cell r="GS497">
            <v>0</v>
          </cell>
          <cell r="GT497">
            <v>0</v>
          </cell>
          <cell r="GU497">
            <v>0</v>
          </cell>
          <cell r="GV497">
            <v>0</v>
          </cell>
          <cell r="GW497">
            <v>0</v>
          </cell>
          <cell r="GX497">
            <v>0</v>
          </cell>
          <cell r="GY497">
            <v>0</v>
          </cell>
          <cell r="GZ497">
            <v>0</v>
          </cell>
          <cell r="HA497">
            <v>0</v>
          </cell>
          <cell r="HB497">
            <v>0</v>
          </cell>
          <cell r="HC497">
            <v>0</v>
          </cell>
          <cell r="HD497">
            <v>0</v>
          </cell>
          <cell r="HH497">
            <v>0</v>
          </cell>
          <cell r="HI497">
            <v>0</v>
          </cell>
          <cell r="HJ497">
            <v>0</v>
          </cell>
          <cell r="HK497">
            <v>0</v>
          </cell>
          <cell r="HL497">
            <v>0</v>
          </cell>
          <cell r="HM497">
            <v>0</v>
          </cell>
          <cell r="HN497">
            <v>0</v>
          </cell>
          <cell r="HO497">
            <v>0</v>
          </cell>
          <cell r="HP497">
            <v>0</v>
          </cell>
          <cell r="HQ497">
            <v>0</v>
          </cell>
          <cell r="HR497">
            <v>0</v>
          </cell>
          <cell r="HS497">
            <v>0</v>
          </cell>
          <cell r="II497">
            <v>0</v>
          </cell>
          <cell r="IJ497">
            <v>0</v>
          </cell>
          <cell r="IK497">
            <v>0</v>
          </cell>
          <cell r="IL497">
            <v>0</v>
          </cell>
          <cell r="IM497">
            <v>0</v>
          </cell>
          <cell r="IN497">
            <v>0</v>
          </cell>
          <cell r="IO497">
            <v>0</v>
          </cell>
          <cell r="IP497">
            <v>0</v>
          </cell>
          <cell r="IQ497">
            <v>0</v>
          </cell>
          <cell r="IR497">
            <v>0</v>
          </cell>
          <cell r="IS497">
            <v>0</v>
          </cell>
          <cell r="IT497">
            <v>0</v>
          </cell>
        </row>
        <row r="498">
          <cell r="GS498">
            <v>0</v>
          </cell>
          <cell r="GT498">
            <v>0</v>
          </cell>
          <cell r="GU498">
            <v>0</v>
          </cell>
          <cell r="GV498">
            <v>0</v>
          </cell>
          <cell r="GW498">
            <v>0</v>
          </cell>
          <cell r="GX498">
            <v>0</v>
          </cell>
          <cell r="GY498">
            <v>0</v>
          </cell>
          <cell r="GZ498">
            <v>0</v>
          </cell>
          <cell r="HA498">
            <v>0</v>
          </cell>
          <cell r="HB498">
            <v>0</v>
          </cell>
          <cell r="HC498">
            <v>0</v>
          </cell>
          <cell r="HD498">
            <v>0</v>
          </cell>
          <cell r="HH498">
            <v>0</v>
          </cell>
          <cell r="HI498">
            <v>0</v>
          </cell>
          <cell r="HJ498">
            <v>0</v>
          </cell>
          <cell r="HK498">
            <v>0</v>
          </cell>
          <cell r="HL498">
            <v>0</v>
          </cell>
          <cell r="HM498">
            <v>0</v>
          </cell>
          <cell r="HN498">
            <v>0</v>
          </cell>
          <cell r="HO498">
            <v>0</v>
          </cell>
          <cell r="HP498">
            <v>0</v>
          </cell>
          <cell r="HQ498">
            <v>0</v>
          </cell>
          <cell r="HR498">
            <v>0</v>
          </cell>
          <cell r="HS498">
            <v>0</v>
          </cell>
          <cell r="II498">
            <v>0</v>
          </cell>
          <cell r="IJ498">
            <v>0</v>
          </cell>
          <cell r="IK498">
            <v>0</v>
          </cell>
          <cell r="IL498">
            <v>0</v>
          </cell>
          <cell r="IM498">
            <v>0</v>
          </cell>
          <cell r="IN498">
            <v>0</v>
          </cell>
          <cell r="IO498">
            <v>0</v>
          </cell>
          <cell r="IP498">
            <v>0</v>
          </cell>
          <cell r="IQ498">
            <v>0</v>
          </cell>
          <cell r="IR498">
            <v>0</v>
          </cell>
          <cell r="IS498">
            <v>0</v>
          </cell>
          <cell r="IT498">
            <v>0</v>
          </cell>
        </row>
        <row r="499">
          <cell r="GS499">
            <v>0</v>
          </cell>
          <cell r="GT499">
            <v>0</v>
          </cell>
          <cell r="GU499">
            <v>0</v>
          </cell>
          <cell r="GV499">
            <v>0</v>
          </cell>
          <cell r="GW499">
            <v>0</v>
          </cell>
          <cell r="GX499">
            <v>0</v>
          </cell>
          <cell r="GY499">
            <v>0</v>
          </cell>
          <cell r="GZ499">
            <v>0</v>
          </cell>
          <cell r="HA499">
            <v>0</v>
          </cell>
          <cell r="HB499">
            <v>0</v>
          </cell>
          <cell r="HC499">
            <v>0</v>
          </cell>
          <cell r="HD499">
            <v>0</v>
          </cell>
          <cell r="HH499">
            <v>0</v>
          </cell>
          <cell r="HI499">
            <v>0</v>
          </cell>
          <cell r="HJ499">
            <v>0</v>
          </cell>
          <cell r="HK499">
            <v>0</v>
          </cell>
          <cell r="HL499">
            <v>0</v>
          </cell>
          <cell r="HM499">
            <v>0</v>
          </cell>
          <cell r="HN499">
            <v>0</v>
          </cell>
          <cell r="HO499">
            <v>0</v>
          </cell>
          <cell r="HP499">
            <v>0</v>
          </cell>
          <cell r="HQ499">
            <v>0</v>
          </cell>
          <cell r="HR499">
            <v>0</v>
          </cell>
          <cell r="HS499">
            <v>0</v>
          </cell>
          <cell r="II499">
            <v>0</v>
          </cell>
          <cell r="IJ499">
            <v>0</v>
          </cell>
          <cell r="IK499">
            <v>0</v>
          </cell>
          <cell r="IL499">
            <v>0</v>
          </cell>
          <cell r="IM499">
            <v>0</v>
          </cell>
          <cell r="IN499">
            <v>0</v>
          </cell>
          <cell r="IO499">
            <v>0</v>
          </cell>
          <cell r="IP499">
            <v>0</v>
          </cell>
          <cell r="IQ499">
            <v>0</v>
          </cell>
          <cell r="IR499">
            <v>0</v>
          </cell>
          <cell r="IS499">
            <v>0</v>
          </cell>
          <cell r="IT499">
            <v>0</v>
          </cell>
        </row>
        <row r="500">
          <cell r="GS500">
            <v>0</v>
          </cell>
          <cell r="GT500">
            <v>0</v>
          </cell>
          <cell r="GU500">
            <v>0</v>
          </cell>
          <cell r="GV500">
            <v>0</v>
          </cell>
          <cell r="GW500">
            <v>0</v>
          </cell>
          <cell r="GX500">
            <v>0</v>
          </cell>
          <cell r="GY500">
            <v>0</v>
          </cell>
          <cell r="GZ500">
            <v>0</v>
          </cell>
          <cell r="HA500">
            <v>0</v>
          </cell>
          <cell r="HB500">
            <v>0</v>
          </cell>
          <cell r="HC500">
            <v>0</v>
          </cell>
          <cell r="HD500">
            <v>0</v>
          </cell>
          <cell r="HH500">
            <v>0</v>
          </cell>
          <cell r="HI500">
            <v>0</v>
          </cell>
          <cell r="HJ500">
            <v>0</v>
          </cell>
          <cell r="HK500">
            <v>0</v>
          </cell>
          <cell r="HL500">
            <v>0</v>
          </cell>
          <cell r="HM500">
            <v>0</v>
          </cell>
          <cell r="HN500">
            <v>0</v>
          </cell>
          <cell r="HO500">
            <v>0</v>
          </cell>
          <cell r="HP500">
            <v>0</v>
          </cell>
          <cell r="HQ500">
            <v>0</v>
          </cell>
          <cell r="HR500">
            <v>0</v>
          </cell>
          <cell r="HS500">
            <v>0</v>
          </cell>
          <cell r="II500">
            <v>0</v>
          </cell>
          <cell r="IJ500">
            <v>0</v>
          </cell>
          <cell r="IK500">
            <v>0</v>
          </cell>
          <cell r="IL500">
            <v>0</v>
          </cell>
          <cell r="IM500">
            <v>0</v>
          </cell>
          <cell r="IN500">
            <v>0</v>
          </cell>
          <cell r="IO500">
            <v>0</v>
          </cell>
          <cell r="IP500">
            <v>0</v>
          </cell>
          <cell r="IQ500">
            <v>0</v>
          </cell>
          <cell r="IR500">
            <v>0</v>
          </cell>
          <cell r="IS500">
            <v>0</v>
          </cell>
          <cell r="IT500">
            <v>0</v>
          </cell>
        </row>
        <row r="501">
          <cell r="GS501">
            <v>0</v>
          </cell>
          <cell r="GT501">
            <v>0</v>
          </cell>
          <cell r="GU501">
            <v>0</v>
          </cell>
          <cell r="GV501">
            <v>0</v>
          </cell>
          <cell r="GW501">
            <v>0</v>
          </cell>
          <cell r="GX501">
            <v>0</v>
          </cell>
          <cell r="GY501">
            <v>0</v>
          </cell>
          <cell r="GZ501">
            <v>0</v>
          </cell>
          <cell r="HA501">
            <v>0</v>
          </cell>
          <cell r="HB501">
            <v>0</v>
          </cell>
          <cell r="HC501">
            <v>0</v>
          </cell>
          <cell r="HD501">
            <v>0</v>
          </cell>
          <cell r="HH501">
            <v>0</v>
          </cell>
          <cell r="HI501">
            <v>0</v>
          </cell>
          <cell r="HJ501">
            <v>0</v>
          </cell>
          <cell r="HK501">
            <v>0</v>
          </cell>
          <cell r="HL501">
            <v>0</v>
          </cell>
          <cell r="HM501">
            <v>0</v>
          </cell>
          <cell r="HN501">
            <v>0</v>
          </cell>
          <cell r="HO501">
            <v>0</v>
          </cell>
          <cell r="HP501">
            <v>0</v>
          </cell>
          <cell r="HQ501">
            <v>0</v>
          </cell>
          <cell r="HR501">
            <v>0</v>
          </cell>
          <cell r="HS501">
            <v>0</v>
          </cell>
          <cell r="II501">
            <v>3.23</v>
          </cell>
          <cell r="IJ501">
            <v>6.64</v>
          </cell>
          <cell r="IK501">
            <v>9.89</v>
          </cell>
          <cell r="IL501">
            <v>13.56</v>
          </cell>
          <cell r="IM501">
            <v>16.66</v>
          </cell>
          <cell r="IN501">
            <v>19.84</v>
          </cell>
          <cell r="IO501">
            <v>22.44</v>
          </cell>
          <cell r="IP501">
            <v>25.33</v>
          </cell>
          <cell r="IQ501">
            <v>28.03</v>
          </cell>
          <cell r="IR501">
            <v>31.21</v>
          </cell>
          <cell r="IS501">
            <v>39.89</v>
          </cell>
          <cell r="IT501">
            <v>43.6</v>
          </cell>
        </row>
        <row r="502">
          <cell r="GS502">
            <v>0</v>
          </cell>
          <cell r="GT502">
            <v>0</v>
          </cell>
          <cell r="GU502">
            <v>0</v>
          </cell>
          <cell r="GV502">
            <v>0</v>
          </cell>
          <cell r="GW502">
            <v>0</v>
          </cell>
          <cell r="GX502">
            <v>0</v>
          </cell>
          <cell r="GY502">
            <v>0</v>
          </cell>
          <cell r="GZ502">
            <v>0</v>
          </cell>
          <cell r="HA502">
            <v>0</v>
          </cell>
          <cell r="HB502">
            <v>0</v>
          </cell>
          <cell r="HC502">
            <v>0</v>
          </cell>
          <cell r="HD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0</v>
          </cell>
          <cell r="HN502">
            <v>0</v>
          </cell>
          <cell r="HO502">
            <v>0</v>
          </cell>
          <cell r="HP502">
            <v>0</v>
          </cell>
          <cell r="HQ502">
            <v>0</v>
          </cell>
          <cell r="HR502">
            <v>0</v>
          </cell>
          <cell r="HS502">
            <v>0</v>
          </cell>
          <cell r="II502">
            <v>0</v>
          </cell>
          <cell r="IJ502">
            <v>0</v>
          </cell>
          <cell r="IK502">
            <v>0</v>
          </cell>
          <cell r="IL502">
            <v>0</v>
          </cell>
          <cell r="IM502">
            <v>0</v>
          </cell>
          <cell r="IN502">
            <v>0</v>
          </cell>
          <cell r="IO502">
            <v>0</v>
          </cell>
          <cell r="IP502">
            <v>0</v>
          </cell>
          <cell r="IQ502">
            <v>7.0000000000000007E-2</v>
          </cell>
          <cell r="IR502">
            <v>0</v>
          </cell>
          <cell r="IS502">
            <v>0</v>
          </cell>
          <cell r="IT502">
            <v>0</v>
          </cell>
        </row>
        <row r="503">
          <cell r="GS503">
            <v>0</v>
          </cell>
          <cell r="GT503">
            <v>0</v>
          </cell>
          <cell r="GU503">
            <v>0</v>
          </cell>
          <cell r="GV503">
            <v>0</v>
          </cell>
          <cell r="GW503">
            <v>0</v>
          </cell>
          <cell r="GX503">
            <v>0</v>
          </cell>
          <cell r="GY503">
            <v>0</v>
          </cell>
          <cell r="GZ503">
            <v>0</v>
          </cell>
          <cell r="HA503">
            <v>0</v>
          </cell>
          <cell r="HB503">
            <v>0</v>
          </cell>
          <cell r="HC503">
            <v>0</v>
          </cell>
          <cell r="HD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0</v>
          </cell>
          <cell r="HN503">
            <v>0</v>
          </cell>
          <cell r="HO503">
            <v>0</v>
          </cell>
          <cell r="HP503">
            <v>0</v>
          </cell>
          <cell r="HQ503">
            <v>0</v>
          </cell>
          <cell r="HR503">
            <v>0</v>
          </cell>
          <cell r="HS503">
            <v>0</v>
          </cell>
          <cell r="II503">
            <v>0</v>
          </cell>
          <cell r="IJ503">
            <v>0</v>
          </cell>
          <cell r="IK503">
            <v>0</v>
          </cell>
          <cell r="IL503">
            <v>0</v>
          </cell>
          <cell r="IM503">
            <v>0</v>
          </cell>
          <cell r="IN503">
            <v>0</v>
          </cell>
          <cell r="IO503">
            <v>0</v>
          </cell>
          <cell r="IP503">
            <v>0</v>
          </cell>
          <cell r="IQ503">
            <v>7.0000000000000007E-2</v>
          </cell>
          <cell r="IR503">
            <v>0</v>
          </cell>
          <cell r="IS503">
            <v>0</v>
          </cell>
          <cell r="IT503">
            <v>0</v>
          </cell>
        </row>
        <row r="504">
          <cell r="GS504">
            <v>0</v>
          </cell>
          <cell r="GT504">
            <v>0</v>
          </cell>
          <cell r="GU504">
            <v>0</v>
          </cell>
          <cell r="GV504">
            <v>0</v>
          </cell>
          <cell r="GW504">
            <v>0</v>
          </cell>
          <cell r="GX504">
            <v>0</v>
          </cell>
          <cell r="GY504">
            <v>0</v>
          </cell>
          <cell r="GZ504">
            <v>0</v>
          </cell>
          <cell r="HA504">
            <v>0</v>
          </cell>
          <cell r="HB504">
            <v>0</v>
          </cell>
          <cell r="HC504">
            <v>0</v>
          </cell>
          <cell r="HD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0</v>
          </cell>
          <cell r="HN504">
            <v>0</v>
          </cell>
          <cell r="HO504">
            <v>0</v>
          </cell>
          <cell r="HP504">
            <v>0</v>
          </cell>
          <cell r="HQ504">
            <v>0</v>
          </cell>
          <cell r="HR504">
            <v>0</v>
          </cell>
          <cell r="HS504">
            <v>0</v>
          </cell>
          <cell r="II504">
            <v>0</v>
          </cell>
          <cell r="IJ504">
            <v>0</v>
          </cell>
          <cell r="IK504">
            <v>0</v>
          </cell>
          <cell r="IL504">
            <v>0</v>
          </cell>
          <cell r="IM504">
            <v>0</v>
          </cell>
          <cell r="IN504">
            <v>0</v>
          </cell>
          <cell r="IO504">
            <v>0</v>
          </cell>
          <cell r="IP504">
            <v>0</v>
          </cell>
          <cell r="IQ504">
            <v>0</v>
          </cell>
          <cell r="IR504">
            <v>0</v>
          </cell>
          <cell r="IS504">
            <v>0</v>
          </cell>
          <cell r="IT504">
            <v>0</v>
          </cell>
        </row>
        <row r="505"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0</v>
          </cell>
          <cell r="GX505">
            <v>0</v>
          </cell>
          <cell r="GY505">
            <v>0</v>
          </cell>
          <cell r="GZ505">
            <v>0</v>
          </cell>
          <cell r="HA505">
            <v>0</v>
          </cell>
          <cell r="HB505">
            <v>0</v>
          </cell>
          <cell r="HC505">
            <v>0</v>
          </cell>
          <cell r="HD505">
            <v>0</v>
          </cell>
          <cell r="HH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0</v>
          </cell>
          <cell r="HN505">
            <v>0</v>
          </cell>
          <cell r="HO505">
            <v>0</v>
          </cell>
          <cell r="HP505">
            <v>0</v>
          </cell>
          <cell r="HQ505">
            <v>0</v>
          </cell>
          <cell r="HR505">
            <v>0</v>
          </cell>
          <cell r="HS505">
            <v>0</v>
          </cell>
          <cell r="II505">
            <v>0</v>
          </cell>
          <cell r="IJ505">
            <v>0</v>
          </cell>
          <cell r="IK505">
            <v>0</v>
          </cell>
          <cell r="IL505">
            <v>0</v>
          </cell>
          <cell r="IM505">
            <v>0</v>
          </cell>
          <cell r="IN505">
            <v>0</v>
          </cell>
          <cell r="IO505">
            <v>0</v>
          </cell>
          <cell r="IP505">
            <v>0</v>
          </cell>
          <cell r="IQ505">
            <v>0</v>
          </cell>
          <cell r="IR505">
            <v>0</v>
          </cell>
          <cell r="IS505">
            <v>0</v>
          </cell>
          <cell r="IT505">
            <v>0</v>
          </cell>
        </row>
        <row r="506">
          <cell r="GS506">
            <v>0</v>
          </cell>
          <cell r="GT506">
            <v>0</v>
          </cell>
          <cell r="GU506">
            <v>0</v>
          </cell>
          <cell r="GV506">
            <v>0</v>
          </cell>
          <cell r="GW506">
            <v>0</v>
          </cell>
          <cell r="GX506">
            <v>0</v>
          </cell>
          <cell r="GY506">
            <v>0</v>
          </cell>
          <cell r="GZ506">
            <v>0</v>
          </cell>
          <cell r="HA506">
            <v>0</v>
          </cell>
          <cell r="HB506">
            <v>0</v>
          </cell>
          <cell r="HC506">
            <v>0</v>
          </cell>
          <cell r="HD506">
            <v>0</v>
          </cell>
          <cell r="HH506">
            <v>0</v>
          </cell>
          <cell r="HI506">
            <v>0</v>
          </cell>
          <cell r="HJ506">
            <v>0</v>
          </cell>
          <cell r="HK506">
            <v>0</v>
          </cell>
          <cell r="HL506">
            <v>0</v>
          </cell>
          <cell r="HM506">
            <v>0</v>
          </cell>
          <cell r="HN506">
            <v>0</v>
          </cell>
          <cell r="HO506">
            <v>0</v>
          </cell>
          <cell r="HP506">
            <v>0</v>
          </cell>
          <cell r="HQ506">
            <v>0</v>
          </cell>
          <cell r="HR506">
            <v>0</v>
          </cell>
          <cell r="HS506">
            <v>0</v>
          </cell>
          <cell r="II506">
            <v>0</v>
          </cell>
          <cell r="IJ506">
            <v>0</v>
          </cell>
          <cell r="IK506">
            <v>0</v>
          </cell>
          <cell r="IL506">
            <v>0</v>
          </cell>
          <cell r="IM506">
            <v>0</v>
          </cell>
          <cell r="IN506">
            <v>0</v>
          </cell>
          <cell r="IO506">
            <v>0</v>
          </cell>
          <cell r="IP506">
            <v>0</v>
          </cell>
          <cell r="IQ506">
            <v>0</v>
          </cell>
          <cell r="IR506">
            <v>0</v>
          </cell>
          <cell r="IS506">
            <v>0</v>
          </cell>
          <cell r="IT506">
            <v>0</v>
          </cell>
        </row>
        <row r="507">
          <cell r="GS507">
            <v>0</v>
          </cell>
          <cell r="GT507">
            <v>0</v>
          </cell>
          <cell r="GU507">
            <v>0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C507">
            <v>0</v>
          </cell>
          <cell r="HD507">
            <v>0</v>
          </cell>
          <cell r="HH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  <cell r="II507">
            <v>0</v>
          </cell>
          <cell r="IJ507">
            <v>0</v>
          </cell>
          <cell r="IK507">
            <v>0</v>
          </cell>
          <cell r="IL507">
            <v>0</v>
          </cell>
          <cell r="IM507">
            <v>0</v>
          </cell>
          <cell r="IN507">
            <v>0</v>
          </cell>
          <cell r="IO507">
            <v>0</v>
          </cell>
          <cell r="IP507">
            <v>0</v>
          </cell>
          <cell r="IQ507">
            <v>0</v>
          </cell>
          <cell r="IR507">
            <v>0</v>
          </cell>
          <cell r="IS507">
            <v>0</v>
          </cell>
          <cell r="IT507">
            <v>0</v>
          </cell>
        </row>
        <row r="508">
          <cell r="GS508">
            <v>0</v>
          </cell>
          <cell r="GT508">
            <v>0</v>
          </cell>
          <cell r="GU508">
            <v>0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C508">
            <v>0</v>
          </cell>
          <cell r="HD508">
            <v>0</v>
          </cell>
          <cell r="HH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  <cell r="II508">
            <v>0</v>
          </cell>
          <cell r="IJ508">
            <v>0</v>
          </cell>
          <cell r="IK508">
            <v>0</v>
          </cell>
          <cell r="IL508">
            <v>0</v>
          </cell>
          <cell r="IM508">
            <v>0</v>
          </cell>
          <cell r="IN508">
            <v>0</v>
          </cell>
          <cell r="IO508">
            <v>0</v>
          </cell>
          <cell r="IP508">
            <v>0</v>
          </cell>
          <cell r="IQ508">
            <v>0</v>
          </cell>
          <cell r="IR508">
            <v>0</v>
          </cell>
          <cell r="IS508">
            <v>0</v>
          </cell>
          <cell r="IT508">
            <v>0</v>
          </cell>
        </row>
        <row r="509">
          <cell r="GS509">
            <v>0</v>
          </cell>
          <cell r="GT509">
            <v>0</v>
          </cell>
          <cell r="GU509">
            <v>0</v>
          </cell>
          <cell r="GV509">
            <v>0</v>
          </cell>
          <cell r="GW509">
            <v>0</v>
          </cell>
          <cell r="GX509">
            <v>0</v>
          </cell>
          <cell r="GY509">
            <v>0</v>
          </cell>
          <cell r="GZ509">
            <v>0</v>
          </cell>
          <cell r="HA509">
            <v>0</v>
          </cell>
          <cell r="HB509">
            <v>0</v>
          </cell>
          <cell r="HC509">
            <v>0</v>
          </cell>
          <cell r="HD509">
            <v>0</v>
          </cell>
          <cell r="HH509">
            <v>0</v>
          </cell>
          <cell r="HI509">
            <v>0</v>
          </cell>
          <cell r="HJ509">
            <v>0</v>
          </cell>
          <cell r="HK509">
            <v>0</v>
          </cell>
          <cell r="HL509">
            <v>0</v>
          </cell>
          <cell r="HM509">
            <v>0</v>
          </cell>
          <cell r="HN509">
            <v>0</v>
          </cell>
          <cell r="HO509">
            <v>0</v>
          </cell>
          <cell r="HP509">
            <v>0</v>
          </cell>
          <cell r="HQ509">
            <v>0</v>
          </cell>
          <cell r="HR509">
            <v>0</v>
          </cell>
          <cell r="HS509">
            <v>0</v>
          </cell>
          <cell r="II509">
            <v>0</v>
          </cell>
          <cell r="IJ509">
            <v>0</v>
          </cell>
          <cell r="IK509">
            <v>0</v>
          </cell>
          <cell r="IL509">
            <v>0</v>
          </cell>
          <cell r="IM509">
            <v>0</v>
          </cell>
          <cell r="IN509">
            <v>0</v>
          </cell>
          <cell r="IO509">
            <v>0</v>
          </cell>
          <cell r="IP509">
            <v>0</v>
          </cell>
          <cell r="IQ509">
            <v>0</v>
          </cell>
          <cell r="IR509">
            <v>0</v>
          </cell>
          <cell r="IS509">
            <v>0</v>
          </cell>
          <cell r="IT509">
            <v>0</v>
          </cell>
        </row>
        <row r="510">
          <cell r="GS510">
            <v>0</v>
          </cell>
          <cell r="GT510">
            <v>0</v>
          </cell>
          <cell r="GU510">
            <v>0</v>
          </cell>
          <cell r="GV510">
            <v>0</v>
          </cell>
          <cell r="GW510">
            <v>0</v>
          </cell>
          <cell r="GX510">
            <v>0</v>
          </cell>
          <cell r="GY510">
            <v>0</v>
          </cell>
          <cell r="GZ510">
            <v>0</v>
          </cell>
          <cell r="HA510">
            <v>0</v>
          </cell>
          <cell r="HB510">
            <v>0</v>
          </cell>
          <cell r="HC510">
            <v>0</v>
          </cell>
          <cell r="HD510">
            <v>0</v>
          </cell>
          <cell r="HH510">
            <v>0</v>
          </cell>
          <cell r="HI510">
            <v>0</v>
          </cell>
          <cell r="HJ510">
            <v>0</v>
          </cell>
          <cell r="HK510">
            <v>0</v>
          </cell>
          <cell r="HL510">
            <v>0</v>
          </cell>
          <cell r="HM510">
            <v>0</v>
          </cell>
          <cell r="HN510">
            <v>0</v>
          </cell>
          <cell r="HO510">
            <v>0</v>
          </cell>
          <cell r="HP510">
            <v>0</v>
          </cell>
          <cell r="HQ510">
            <v>0</v>
          </cell>
          <cell r="HR510">
            <v>0</v>
          </cell>
          <cell r="HS510">
            <v>0</v>
          </cell>
          <cell r="II510">
            <v>0</v>
          </cell>
          <cell r="IJ510">
            <v>0</v>
          </cell>
          <cell r="IK510">
            <v>0</v>
          </cell>
          <cell r="IL510">
            <v>0</v>
          </cell>
          <cell r="IM510">
            <v>0</v>
          </cell>
          <cell r="IN510">
            <v>0</v>
          </cell>
          <cell r="IO510">
            <v>0</v>
          </cell>
          <cell r="IP510">
            <v>0</v>
          </cell>
          <cell r="IQ510">
            <v>0</v>
          </cell>
          <cell r="IR510">
            <v>0</v>
          </cell>
          <cell r="IS510">
            <v>0</v>
          </cell>
          <cell r="IT510">
            <v>0</v>
          </cell>
        </row>
        <row r="511">
          <cell r="GS511">
            <v>0</v>
          </cell>
          <cell r="GT511">
            <v>0</v>
          </cell>
          <cell r="GU511">
            <v>0</v>
          </cell>
          <cell r="GV511">
            <v>0</v>
          </cell>
          <cell r="GW511">
            <v>0</v>
          </cell>
          <cell r="GX511">
            <v>0</v>
          </cell>
          <cell r="GY511">
            <v>0</v>
          </cell>
          <cell r="GZ511">
            <v>0</v>
          </cell>
          <cell r="HA511">
            <v>0</v>
          </cell>
          <cell r="HB511">
            <v>0</v>
          </cell>
          <cell r="HC511">
            <v>0</v>
          </cell>
          <cell r="HD511">
            <v>0</v>
          </cell>
          <cell r="HH511">
            <v>0</v>
          </cell>
          <cell r="HI511">
            <v>0</v>
          </cell>
          <cell r="HJ511">
            <v>0</v>
          </cell>
          <cell r="HK511">
            <v>0</v>
          </cell>
          <cell r="HL511">
            <v>0</v>
          </cell>
          <cell r="HM511">
            <v>0</v>
          </cell>
          <cell r="HN511">
            <v>0</v>
          </cell>
          <cell r="HO511">
            <v>0</v>
          </cell>
          <cell r="HP511">
            <v>0</v>
          </cell>
          <cell r="HQ511">
            <v>0</v>
          </cell>
          <cell r="HR511">
            <v>0</v>
          </cell>
          <cell r="HS511">
            <v>0</v>
          </cell>
          <cell r="II511">
            <v>0</v>
          </cell>
          <cell r="IJ511">
            <v>0</v>
          </cell>
          <cell r="IK511">
            <v>0</v>
          </cell>
          <cell r="IL511">
            <v>0</v>
          </cell>
          <cell r="IM511">
            <v>0</v>
          </cell>
          <cell r="IN511">
            <v>0</v>
          </cell>
          <cell r="IO511">
            <v>0</v>
          </cell>
          <cell r="IP511">
            <v>0</v>
          </cell>
          <cell r="IQ511">
            <v>0</v>
          </cell>
          <cell r="IR511">
            <v>0</v>
          </cell>
          <cell r="IS511">
            <v>0</v>
          </cell>
          <cell r="IT511">
            <v>0</v>
          </cell>
        </row>
        <row r="512">
          <cell r="GS512">
            <v>0</v>
          </cell>
          <cell r="GT512">
            <v>0</v>
          </cell>
          <cell r="GU512">
            <v>0</v>
          </cell>
          <cell r="GV512">
            <v>0</v>
          </cell>
          <cell r="GW512">
            <v>0</v>
          </cell>
          <cell r="GX512">
            <v>0</v>
          </cell>
          <cell r="GY512">
            <v>0</v>
          </cell>
          <cell r="GZ512">
            <v>0</v>
          </cell>
          <cell r="HA512">
            <v>0</v>
          </cell>
          <cell r="HB512">
            <v>0</v>
          </cell>
          <cell r="HC512">
            <v>0</v>
          </cell>
          <cell r="HD512">
            <v>0</v>
          </cell>
          <cell r="HH512">
            <v>0</v>
          </cell>
          <cell r="HI512">
            <v>0</v>
          </cell>
          <cell r="HJ512">
            <v>0</v>
          </cell>
          <cell r="HK512">
            <v>0</v>
          </cell>
          <cell r="HL512">
            <v>0</v>
          </cell>
          <cell r="HM512">
            <v>0</v>
          </cell>
          <cell r="HN512">
            <v>0</v>
          </cell>
          <cell r="HO512">
            <v>0</v>
          </cell>
          <cell r="HP512">
            <v>0</v>
          </cell>
          <cell r="HQ512">
            <v>0</v>
          </cell>
          <cell r="HR512">
            <v>0</v>
          </cell>
          <cell r="HS512">
            <v>0</v>
          </cell>
          <cell r="II512">
            <v>0</v>
          </cell>
          <cell r="IJ512">
            <v>0</v>
          </cell>
          <cell r="IK512">
            <v>0</v>
          </cell>
          <cell r="IL512">
            <v>0</v>
          </cell>
          <cell r="IM512">
            <v>0</v>
          </cell>
          <cell r="IN512">
            <v>0</v>
          </cell>
          <cell r="IO512">
            <v>0</v>
          </cell>
          <cell r="IP512">
            <v>0</v>
          </cell>
          <cell r="IQ512">
            <v>0</v>
          </cell>
          <cell r="IR512">
            <v>0</v>
          </cell>
          <cell r="IS512">
            <v>0</v>
          </cell>
          <cell r="IT512">
            <v>0</v>
          </cell>
        </row>
        <row r="513"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C513">
            <v>0</v>
          </cell>
          <cell r="HD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0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II513">
            <v>0</v>
          </cell>
          <cell r="IJ513">
            <v>0</v>
          </cell>
          <cell r="IK513">
            <v>0</v>
          </cell>
          <cell r="IL513">
            <v>0</v>
          </cell>
          <cell r="IM513">
            <v>0</v>
          </cell>
          <cell r="IN513">
            <v>0</v>
          </cell>
          <cell r="IO513">
            <v>0</v>
          </cell>
          <cell r="IP513">
            <v>0</v>
          </cell>
          <cell r="IQ513">
            <v>0</v>
          </cell>
          <cell r="IR513">
            <v>0</v>
          </cell>
          <cell r="IS513">
            <v>0</v>
          </cell>
          <cell r="IT513">
            <v>0</v>
          </cell>
        </row>
        <row r="514">
          <cell r="GS514">
            <v>0</v>
          </cell>
          <cell r="GT514">
            <v>0</v>
          </cell>
          <cell r="GU514">
            <v>0</v>
          </cell>
          <cell r="GV514">
            <v>0</v>
          </cell>
          <cell r="GW514">
            <v>0</v>
          </cell>
          <cell r="GX514">
            <v>0</v>
          </cell>
          <cell r="GY514">
            <v>0</v>
          </cell>
          <cell r="GZ514">
            <v>0</v>
          </cell>
          <cell r="HA514">
            <v>0</v>
          </cell>
          <cell r="HB514">
            <v>0</v>
          </cell>
          <cell r="HC514">
            <v>0</v>
          </cell>
          <cell r="HD514">
            <v>0</v>
          </cell>
          <cell r="HH514">
            <v>0</v>
          </cell>
          <cell r="HI514">
            <v>0</v>
          </cell>
          <cell r="HJ514">
            <v>0</v>
          </cell>
          <cell r="HK514">
            <v>0</v>
          </cell>
          <cell r="HL514">
            <v>0</v>
          </cell>
          <cell r="HM514">
            <v>0</v>
          </cell>
          <cell r="HN514">
            <v>0</v>
          </cell>
          <cell r="HO514">
            <v>0</v>
          </cell>
          <cell r="HP514">
            <v>0</v>
          </cell>
          <cell r="HQ514">
            <v>0</v>
          </cell>
          <cell r="HR514">
            <v>0</v>
          </cell>
          <cell r="HS514">
            <v>0</v>
          </cell>
          <cell r="II514">
            <v>0</v>
          </cell>
          <cell r="IJ514">
            <v>0</v>
          </cell>
          <cell r="IK514">
            <v>0</v>
          </cell>
          <cell r="IL514">
            <v>0</v>
          </cell>
          <cell r="IM514">
            <v>0</v>
          </cell>
          <cell r="IN514">
            <v>0</v>
          </cell>
          <cell r="IO514">
            <v>0</v>
          </cell>
          <cell r="IP514">
            <v>0</v>
          </cell>
          <cell r="IQ514">
            <v>0</v>
          </cell>
          <cell r="IR514">
            <v>0</v>
          </cell>
          <cell r="IS514">
            <v>0</v>
          </cell>
          <cell r="IT514">
            <v>0</v>
          </cell>
        </row>
        <row r="515">
          <cell r="GS515">
            <v>0</v>
          </cell>
          <cell r="GT515">
            <v>0</v>
          </cell>
          <cell r="GU515">
            <v>0</v>
          </cell>
          <cell r="GV515">
            <v>0</v>
          </cell>
          <cell r="GW515">
            <v>0</v>
          </cell>
          <cell r="GX515">
            <v>0</v>
          </cell>
          <cell r="GY515">
            <v>0</v>
          </cell>
          <cell r="GZ515">
            <v>0</v>
          </cell>
          <cell r="HA515">
            <v>0</v>
          </cell>
          <cell r="HB515">
            <v>0</v>
          </cell>
          <cell r="HC515">
            <v>0</v>
          </cell>
          <cell r="HD515">
            <v>0</v>
          </cell>
          <cell r="HH515">
            <v>0</v>
          </cell>
          <cell r="HI515">
            <v>0</v>
          </cell>
          <cell r="HJ515">
            <v>0</v>
          </cell>
          <cell r="HK515">
            <v>0</v>
          </cell>
          <cell r="HL515">
            <v>0</v>
          </cell>
          <cell r="HM515">
            <v>0</v>
          </cell>
          <cell r="HN515">
            <v>0</v>
          </cell>
          <cell r="HO515">
            <v>0</v>
          </cell>
          <cell r="HP515">
            <v>0</v>
          </cell>
          <cell r="HQ515">
            <v>0</v>
          </cell>
          <cell r="HR515">
            <v>0</v>
          </cell>
          <cell r="HS515">
            <v>0</v>
          </cell>
          <cell r="II515">
            <v>0</v>
          </cell>
          <cell r="IJ515">
            <v>0</v>
          </cell>
          <cell r="IK515">
            <v>0</v>
          </cell>
          <cell r="IL515">
            <v>0</v>
          </cell>
          <cell r="IM515">
            <v>0</v>
          </cell>
          <cell r="IN515">
            <v>0</v>
          </cell>
          <cell r="IO515">
            <v>0</v>
          </cell>
          <cell r="IP515">
            <v>0</v>
          </cell>
          <cell r="IQ515">
            <v>0</v>
          </cell>
          <cell r="IR515">
            <v>0</v>
          </cell>
          <cell r="IS515">
            <v>0</v>
          </cell>
          <cell r="IT515">
            <v>0</v>
          </cell>
        </row>
        <row r="516">
          <cell r="GS516">
            <v>0</v>
          </cell>
          <cell r="GT516">
            <v>0</v>
          </cell>
          <cell r="GU516">
            <v>0</v>
          </cell>
          <cell r="GV516">
            <v>0</v>
          </cell>
          <cell r="GW516">
            <v>0</v>
          </cell>
          <cell r="GX516">
            <v>0</v>
          </cell>
          <cell r="GY516">
            <v>0</v>
          </cell>
          <cell r="GZ516">
            <v>0</v>
          </cell>
          <cell r="HA516">
            <v>0</v>
          </cell>
          <cell r="HB516">
            <v>0</v>
          </cell>
          <cell r="HC516">
            <v>0</v>
          </cell>
          <cell r="HD516">
            <v>0</v>
          </cell>
          <cell r="HH516">
            <v>0</v>
          </cell>
          <cell r="HI516">
            <v>0</v>
          </cell>
          <cell r="HJ516">
            <v>0</v>
          </cell>
          <cell r="HK516">
            <v>0</v>
          </cell>
          <cell r="HL516">
            <v>0</v>
          </cell>
          <cell r="HM516">
            <v>0</v>
          </cell>
          <cell r="HN516">
            <v>0</v>
          </cell>
          <cell r="HO516">
            <v>0</v>
          </cell>
          <cell r="HP516">
            <v>0</v>
          </cell>
          <cell r="HQ516">
            <v>0</v>
          </cell>
          <cell r="HR516">
            <v>0</v>
          </cell>
          <cell r="HS516">
            <v>0</v>
          </cell>
          <cell r="II516">
            <v>0</v>
          </cell>
          <cell r="IJ516">
            <v>0</v>
          </cell>
          <cell r="IK516">
            <v>0</v>
          </cell>
          <cell r="IL516">
            <v>0</v>
          </cell>
          <cell r="IM516">
            <v>0</v>
          </cell>
          <cell r="IN516">
            <v>0</v>
          </cell>
          <cell r="IO516">
            <v>0</v>
          </cell>
          <cell r="IP516">
            <v>0</v>
          </cell>
          <cell r="IQ516">
            <v>0</v>
          </cell>
          <cell r="IR516">
            <v>0</v>
          </cell>
          <cell r="IS516">
            <v>0</v>
          </cell>
          <cell r="IT516">
            <v>0</v>
          </cell>
        </row>
        <row r="517">
          <cell r="GS517">
            <v>0</v>
          </cell>
          <cell r="GT517">
            <v>0</v>
          </cell>
          <cell r="GU517">
            <v>0</v>
          </cell>
          <cell r="GV517">
            <v>0</v>
          </cell>
          <cell r="GW517">
            <v>0</v>
          </cell>
          <cell r="GX517">
            <v>0</v>
          </cell>
          <cell r="GY517">
            <v>0</v>
          </cell>
          <cell r="GZ517">
            <v>0</v>
          </cell>
          <cell r="HA517">
            <v>0</v>
          </cell>
          <cell r="HB517">
            <v>0</v>
          </cell>
          <cell r="HC517">
            <v>0</v>
          </cell>
          <cell r="HD517">
            <v>0</v>
          </cell>
          <cell r="HH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0</v>
          </cell>
          <cell r="HN517">
            <v>0</v>
          </cell>
          <cell r="HO517">
            <v>0</v>
          </cell>
          <cell r="HP517">
            <v>0</v>
          </cell>
          <cell r="HQ517">
            <v>0</v>
          </cell>
          <cell r="HR517">
            <v>0</v>
          </cell>
          <cell r="HS517">
            <v>0</v>
          </cell>
          <cell r="II517">
            <v>0</v>
          </cell>
          <cell r="IJ517">
            <v>0</v>
          </cell>
          <cell r="IK517">
            <v>0</v>
          </cell>
          <cell r="IL517">
            <v>0</v>
          </cell>
          <cell r="IM517">
            <v>0</v>
          </cell>
          <cell r="IN517">
            <v>0</v>
          </cell>
          <cell r="IO517">
            <v>0</v>
          </cell>
          <cell r="IP517">
            <v>0</v>
          </cell>
          <cell r="IQ517">
            <v>0</v>
          </cell>
          <cell r="IR517">
            <v>0</v>
          </cell>
          <cell r="IS517">
            <v>0</v>
          </cell>
          <cell r="IT517">
            <v>0</v>
          </cell>
        </row>
        <row r="518">
          <cell r="GS518">
            <v>0</v>
          </cell>
          <cell r="GT518">
            <v>0</v>
          </cell>
          <cell r="GU518">
            <v>0</v>
          </cell>
          <cell r="GV518">
            <v>0</v>
          </cell>
          <cell r="GW518">
            <v>0</v>
          </cell>
          <cell r="GX518">
            <v>0</v>
          </cell>
          <cell r="GY518">
            <v>0</v>
          </cell>
          <cell r="GZ518">
            <v>0</v>
          </cell>
          <cell r="HA518">
            <v>0</v>
          </cell>
          <cell r="HB518">
            <v>0</v>
          </cell>
          <cell r="HC518">
            <v>0</v>
          </cell>
          <cell r="HD518">
            <v>0</v>
          </cell>
          <cell r="HH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0</v>
          </cell>
          <cell r="HN518">
            <v>0</v>
          </cell>
          <cell r="HO518">
            <v>0</v>
          </cell>
          <cell r="HP518">
            <v>0</v>
          </cell>
          <cell r="HQ518">
            <v>0</v>
          </cell>
          <cell r="HR518">
            <v>0</v>
          </cell>
          <cell r="HS518">
            <v>0</v>
          </cell>
          <cell r="II518">
            <v>307.47000000000003</v>
          </cell>
          <cell r="IJ518">
            <v>621.47</v>
          </cell>
          <cell r="IK518">
            <v>966.86</v>
          </cell>
          <cell r="IL518">
            <v>1337.08</v>
          </cell>
          <cell r="IM518">
            <v>1679.16</v>
          </cell>
          <cell r="IN518">
            <v>2005.69</v>
          </cell>
          <cell r="IO518">
            <v>2387.89</v>
          </cell>
          <cell r="IP518">
            <v>2789.25</v>
          </cell>
          <cell r="IQ518">
            <v>3153.81</v>
          </cell>
          <cell r="IR518">
            <v>3568.22</v>
          </cell>
          <cell r="IS518">
            <v>3568.22</v>
          </cell>
          <cell r="IT518">
            <v>4236.59</v>
          </cell>
        </row>
        <row r="519">
          <cell r="GS519">
            <v>0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C519">
            <v>0</v>
          </cell>
          <cell r="HD519">
            <v>0</v>
          </cell>
          <cell r="HH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II519">
            <v>9.44</v>
          </cell>
          <cell r="IJ519">
            <v>19.329999999999927</v>
          </cell>
          <cell r="IK519">
            <v>30.62</v>
          </cell>
          <cell r="IL519">
            <v>43.850000000000136</v>
          </cell>
          <cell r="IM519">
            <v>92.560000000000173</v>
          </cell>
          <cell r="IN519">
            <v>101.65</v>
          </cell>
          <cell r="IO519">
            <v>110.39</v>
          </cell>
          <cell r="IP519">
            <v>121.1</v>
          </cell>
          <cell r="IQ519">
            <v>128.37</v>
          </cell>
          <cell r="IR519">
            <v>147.02000000000001</v>
          </cell>
          <cell r="IS519">
            <v>173.21</v>
          </cell>
          <cell r="IT519">
            <v>184.52</v>
          </cell>
        </row>
        <row r="520">
          <cell r="GS520">
            <v>0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C520">
            <v>0</v>
          </cell>
          <cell r="HD520">
            <v>0</v>
          </cell>
          <cell r="HH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II520">
            <v>0</v>
          </cell>
          <cell r="IJ520">
            <v>14.88</v>
          </cell>
          <cell r="IK520">
            <v>22.31</v>
          </cell>
          <cell r="IL520">
            <v>29.75</v>
          </cell>
          <cell r="IM520">
            <v>37.19</v>
          </cell>
          <cell r="IN520">
            <v>44.62</v>
          </cell>
          <cell r="IO520">
            <v>51.94</v>
          </cell>
          <cell r="IP520">
            <v>56.23</v>
          </cell>
          <cell r="IQ520">
            <v>66.290000000000006</v>
          </cell>
          <cell r="IR520">
            <v>72.58</v>
          </cell>
          <cell r="IS520">
            <v>78.34</v>
          </cell>
          <cell r="IT520">
            <v>62.64</v>
          </cell>
        </row>
        <row r="521">
          <cell r="GS521">
            <v>0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C521">
            <v>0</v>
          </cell>
          <cell r="HD521">
            <v>0</v>
          </cell>
          <cell r="HH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II521">
            <v>0</v>
          </cell>
          <cell r="IJ521">
            <v>0</v>
          </cell>
          <cell r="IK521">
            <v>0</v>
          </cell>
          <cell r="IL521">
            <v>0</v>
          </cell>
          <cell r="IM521">
            <v>0</v>
          </cell>
          <cell r="IN521">
            <v>0</v>
          </cell>
          <cell r="IO521">
            <v>0</v>
          </cell>
          <cell r="IP521">
            <v>0</v>
          </cell>
          <cell r="IQ521">
            <v>0</v>
          </cell>
          <cell r="IR521">
            <v>0</v>
          </cell>
          <cell r="IS521">
            <v>0</v>
          </cell>
          <cell r="IT521">
            <v>42.64</v>
          </cell>
        </row>
        <row r="522">
          <cell r="GS522">
            <v>0</v>
          </cell>
          <cell r="GT522">
            <v>0</v>
          </cell>
          <cell r="GU522">
            <v>0</v>
          </cell>
          <cell r="GV522">
            <v>0</v>
          </cell>
          <cell r="GW522">
            <v>0</v>
          </cell>
          <cell r="GX522">
            <v>0</v>
          </cell>
          <cell r="GY522">
            <v>0</v>
          </cell>
          <cell r="GZ522">
            <v>0</v>
          </cell>
          <cell r="HA522">
            <v>0</v>
          </cell>
          <cell r="HB522">
            <v>0</v>
          </cell>
          <cell r="HC522">
            <v>0</v>
          </cell>
          <cell r="HD522">
            <v>0</v>
          </cell>
          <cell r="HH522">
            <v>0</v>
          </cell>
          <cell r="HI522">
            <v>0</v>
          </cell>
          <cell r="HJ522">
            <v>0</v>
          </cell>
          <cell r="HK522">
            <v>0</v>
          </cell>
          <cell r="HL522">
            <v>0</v>
          </cell>
          <cell r="HM522">
            <v>0</v>
          </cell>
          <cell r="HN522">
            <v>0</v>
          </cell>
          <cell r="HO522">
            <v>0</v>
          </cell>
          <cell r="HP522">
            <v>0</v>
          </cell>
          <cell r="HQ522">
            <v>0</v>
          </cell>
          <cell r="HR522">
            <v>0</v>
          </cell>
          <cell r="HS522">
            <v>0</v>
          </cell>
          <cell r="II522">
            <v>0</v>
          </cell>
          <cell r="IJ522">
            <v>14.88</v>
          </cell>
          <cell r="IK522">
            <v>22.31</v>
          </cell>
          <cell r="IL522">
            <v>29.75</v>
          </cell>
          <cell r="IM522">
            <v>37.19</v>
          </cell>
          <cell r="IN522">
            <v>44.62</v>
          </cell>
          <cell r="IO522">
            <v>51.94</v>
          </cell>
          <cell r="IP522">
            <v>56.23</v>
          </cell>
          <cell r="IQ522">
            <v>66.290000000000006</v>
          </cell>
          <cell r="IR522">
            <v>72.58</v>
          </cell>
          <cell r="IS522">
            <v>78.34</v>
          </cell>
          <cell r="IT522">
            <v>20</v>
          </cell>
        </row>
        <row r="523">
          <cell r="GS523">
            <v>0</v>
          </cell>
          <cell r="GT523">
            <v>0</v>
          </cell>
          <cell r="GU523">
            <v>0</v>
          </cell>
          <cell r="GV523">
            <v>0</v>
          </cell>
          <cell r="GW523">
            <v>0</v>
          </cell>
          <cell r="GX523">
            <v>0</v>
          </cell>
          <cell r="GY523">
            <v>0</v>
          </cell>
          <cell r="GZ523">
            <v>0</v>
          </cell>
          <cell r="HA523">
            <v>0</v>
          </cell>
          <cell r="HB523">
            <v>0</v>
          </cell>
          <cell r="HC523">
            <v>0</v>
          </cell>
          <cell r="HD523">
            <v>0</v>
          </cell>
          <cell r="HH523">
            <v>0</v>
          </cell>
          <cell r="HI523">
            <v>0</v>
          </cell>
          <cell r="HJ523">
            <v>0</v>
          </cell>
          <cell r="HK523">
            <v>0</v>
          </cell>
          <cell r="HL523">
            <v>0</v>
          </cell>
          <cell r="HM523">
            <v>0</v>
          </cell>
          <cell r="HN523">
            <v>0</v>
          </cell>
          <cell r="HO523">
            <v>0</v>
          </cell>
          <cell r="HP523">
            <v>0</v>
          </cell>
          <cell r="HQ523">
            <v>0</v>
          </cell>
          <cell r="HR523">
            <v>0</v>
          </cell>
          <cell r="HS523">
            <v>0</v>
          </cell>
          <cell r="II523">
            <v>14.16</v>
          </cell>
          <cell r="IJ523">
            <v>34.4</v>
          </cell>
          <cell r="IK523">
            <v>1046.99</v>
          </cell>
          <cell r="IL523">
            <v>1080.43</v>
          </cell>
          <cell r="IM523">
            <v>1102.8</v>
          </cell>
          <cell r="IN523">
            <v>1124.6200000000001</v>
          </cell>
          <cell r="IO523">
            <v>1139.6000000000001</v>
          </cell>
          <cell r="IP523">
            <v>1159.1200000000001</v>
          </cell>
          <cell r="IQ523">
            <v>1172.27</v>
          </cell>
          <cell r="IR523">
            <v>1193.8700000000001</v>
          </cell>
          <cell r="IS523">
            <v>1208.29</v>
          </cell>
          <cell r="IT523">
            <v>1203.47</v>
          </cell>
        </row>
        <row r="524">
          <cell r="GS524">
            <v>0</v>
          </cell>
          <cell r="GT524">
            <v>0</v>
          </cell>
          <cell r="GU524">
            <v>0</v>
          </cell>
          <cell r="GV524">
            <v>0</v>
          </cell>
          <cell r="GW524">
            <v>0</v>
          </cell>
          <cell r="GX524">
            <v>0</v>
          </cell>
          <cell r="GY524">
            <v>0</v>
          </cell>
          <cell r="GZ524">
            <v>0</v>
          </cell>
          <cell r="HA524">
            <v>0</v>
          </cell>
          <cell r="HB524">
            <v>0</v>
          </cell>
          <cell r="HC524">
            <v>0</v>
          </cell>
          <cell r="HD524">
            <v>0</v>
          </cell>
          <cell r="HH524">
            <v>0</v>
          </cell>
          <cell r="HI524">
            <v>0</v>
          </cell>
          <cell r="HJ524">
            <v>0</v>
          </cell>
          <cell r="HK524">
            <v>0</v>
          </cell>
          <cell r="HL524">
            <v>0</v>
          </cell>
          <cell r="HM524">
            <v>0</v>
          </cell>
          <cell r="HN524">
            <v>0</v>
          </cell>
          <cell r="HO524">
            <v>0</v>
          </cell>
          <cell r="HP524">
            <v>0</v>
          </cell>
          <cell r="HQ524">
            <v>0</v>
          </cell>
          <cell r="HR524">
            <v>0</v>
          </cell>
          <cell r="HS524">
            <v>0</v>
          </cell>
          <cell r="II524">
            <v>0</v>
          </cell>
          <cell r="IJ524">
            <v>0</v>
          </cell>
          <cell r="IK524">
            <v>0</v>
          </cell>
          <cell r="IL524">
            <v>0</v>
          </cell>
          <cell r="IM524">
            <v>0</v>
          </cell>
          <cell r="IN524">
            <v>0</v>
          </cell>
          <cell r="IO524">
            <v>0</v>
          </cell>
          <cell r="IP524">
            <v>0</v>
          </cell>
          <cell r="IQ524">
            <v>0</v>
          </cell>
          <cell r="IR524">
            <v>0</v>
          </cell>
          <cell r="IS524">
            <v>0</v>
          </cell>
          <cell r="IT524">
            <v>0</v>
          </cell>
        </row>
        <row r="525">
          <cell r="GS525">
            <v>0</v>
          </cell>
          <cell r="GT525">
            <v>0</v>
          </cell>
          <cell r="GU525">
            <v>0</v>
          </cell>
          <cell r="GV525">
            <v>0</v>
          </cell>
          <cell r="GW525">
            <v>0</v>
          </cell>
          <cell r="GX525">
            <v>0</v>
          </cell>
          <cell r="GY525">
            <v>0</v>
          </cell>
          <cell r="GZ525">
            <v>0</v>
          </cell>
          <cell r="HA525">
            <v>0</v>
          </cell>
          <cell r="HB525">
            <v>0</v>
          </cell>
          <cell r="HC525">
            <v>0</v>
          </cell>
          <cell r="HD525">
            <v>0</v>
          </cell>
          <cell r="HH525">
            <v>0</v>
          </cell>
          <cell r="HI525">
            <v>0</v>
          </cell>
          <cell r="HJ525">
            <v>0</v>
          </cell>
          <cell r="HK525">
            <v>0</v>
          </cell>
          <cell r="HL525">
            <v>0</v>
          </cell>
          <cell r="HM525">
            <v>0</v>
          </cell>
          <cell r="HN525">
            <v>0</v>
          </cell>
          <cell r="HO525">
            <v>0</v>
          </cell>
          <cell r="HP525">
            <v>0</v>
          </cell>
          <cell r="HQ525">
            <v>0</v>
          </cell>
          <cell r="HR525">
            <v>0</v>
          </cell>
          <cell r="HS525">
            <v>0</v>
          </cell>
          <cell r="II525">
            <v>0</v>
          </cell>
          <cell r="IJ525">
            <v>0</v>
          </cell>
          <cell r="IK525">
            <v>0</v>
          </cell>
          <cell r="IL525">
            <v>0</v>
          </cell>
          <cell r="IM525">
            <v>0</v>
          </cell>
          <cell r="IN525">
            <v>0</v>
          </cell>
          <cell r="IO525">
            <v>0</v>
          </cell>
          <cell r="IP525">
            <v>0</v>
          </cell>
          <cell r="IQ525">
            <v>0</v>
          </cell>
          <cell r="IR525">
            <v>0</v>
          </cell>
          <cell r="IS525">
            <v>0</v>
          </cell>
          <cell r="IT525">
            <v>0</v>
          </cell>
        </row>
        <row r="526">
          <cell r="GS526">
            <v>0</v>
          </cell>
          <cell r="GT526">
            <v>0</v>
          </cell>
          <cell r="GU526">
            <v>0</v>
          </cell>
          <cell r="GV526">
            <v>0</v>
          </cell>
          <cell r="GW526">
            <v>0</v>
          </cell>
          <cell r="GX526">
            <v>0</v>
          </cell>
          <cell r="GY526">
            <v>0</v>
          </cell>
          <cell r="GZ526">
            <v>0</v>
          </cell>
          <cell r="HA526">
            <v>0</v>
          </cell>
          <cell r="HB526">
            <v>0</v>
          </cell>
          <cell r="HC526">
            <v>0</v>
          </cell>
          <cell r="HD526">
            <v>0</v>
          </cell>
          <cell r="HH526">
            <v>0</v>
          </cell>
          <cell r="HI526">
            <v>0</v>
          </cell>
          <cell r="HJ526">
            <v>0</v>
          </cell>
          <cell r="HK526">
            <v>0</v>
          </cell>
          <cell r="HL526">
            <v>0</v>
          </cell>
          <cell r="HM526">
            <v>0</v>
          </cell>
          <cell r="HN526">
            <v>0</v>
          </cell>
          <cell r="HO526">
            <v>0</v>
          </cell>
          <cell r="HP526">
            <v>0</v>
          </cell>
          <cell r="HQ526">
            <v>0</v>
          </cell>
          <cell r="HR526">
            <v>0</v>
          </cell>
          <cell r="HS526">
            <v>0</v>
          </cell>
          <cell r="II526">
            <v>0</v>
          </cell>
          <cell r="IJ526">
            <v>0</v>
          </cell>
          <cell r="IK526">
            <v>0</v>
          </cell>
          <cell r="IL526">
            <v>0</v>
          </cell>
          <cell r="IM526">
            <v>0</v>
          </cell>
          <cell r="IN526">
            <v>0</v>
          </cell>
          <cell r="IO526">
            <v>0</v>
          </cell>
          <cell r="IP526">
            <v>0</v>
          </cell>
          <cell r="IQ526">
            <v>0</v>
          </cell>
          <cell r="IR526">
            <v>0</v>
          </cell>
          <cell r="IS526">
            <v>0</v>
          </cell>
          <cell r="IT526">
            <v>0</v>
          </cell>
        </row>
        <row r="527">
          <cell r="GS527">
            <v>0</v>
          </cell>
          <cell r="GT527">
            <v>0</v>
          </cell>
          <cell r="GU527">
            <v>0</v>
          </cell>
          <cell r="GV527">
            <v>0</v>
          </cell>
          <cell r="GW527">
            <v>0</v>
          </cell>
          <cell r="GX527">
            <v>0</v>
          </cell>
          <cell r="GY527">
            <v>0</v>
          </cell>
          <cell r="GZ527">
            <v>0</v>
          </cell>
          <cell r="HA527">
            <v>0</v>
          </cell>
          <cell r="HB527">
            <v>0</v>
          </cell>
          <cell r="HC527">
            <v>0</v>
          </cell>
          <cell r="HD527">
            <v>0</v>
          </cell>
          <cell r="HH527">
            <v>0</v>
          </cell>
          <cell r="HI527">
            <v>0</v>
          </cell>
          <cell r="HJ527">
            <v>0</v>
          </cell>
          <cell r="HK527">
            <v>0</v>
          </cell>
          <cell r="HL527">
            <v>0</v>
          </cell>
          <cell r="HM527">
            <v>0</v>
          </cell>
          <cell r="HN527">
            <v>0</v>
          </cell>
          <cell r="HO527">
            <v>0</v>
          </cell>
          <cell r="HP527">
            <v>0</v>
          </cell>
          <cell r="HQ527">
            <v>0</v>
          </cell>
          <cell r="HR527">
            <v>0</v>
          </cell>
          <cell r="HS527">
            <v>0</v>
          </cell>
          <cell r="II527">
            <v>0</v>
          </cell>
          <cell r="IJ527">
            <v>0</v>
          </cell>
          <cell r="IK527">
            <v>1000.2</v>
          </cell>
          <cell r="IL527">
            <v>1000.2</v>
          </cell>
          <cell r="IM527">
            <v>1000.2</v>
          </cell>
          <cell r="IN527">
            <v>1000.2</v>
          </cell>
          <cell r="IO527">
            <v>1000.2</v>
          </cell>
          <cell r="IP527">
            <v>1000.2</v>
          </cell>
          <cell r="IQ527">
            <v>1000.2</v>
          </cell>
          <cell r="IR527">
            <v>1000.2</v>
          </cell>
          <cell r="IS527">
            <v>1000.2</v>
          </cell>
          <cell r="IT527">
            <v>1000.31</v>
          </cell>
        </row>
        <row r="528">
          <cell r="GS528">
            <v>0</v>
          </cell>
          <cell r="GT528">
            <v>0</v>
          </cell>
          <cell r="GU528">
            <v>0</v>
          </cell>
          <cell r="GV528">
            <v>0</v>
          </cell>
          <cell r="GW528">
            <v>0</v>
          </cell>
          <cell r="GX528">
            <v>0</v>
          </cell>
          <cell r="GY528">
            <v>0</v>
          </cell>
          <cell r="GZ528">
            <v>0</v>
          </cell>
          <cell r="HA528">
            <v>0</v>
          </cell>
          <cell r="HB528">
            <v>0</v>
          </cell>
          <cell r="HC528">
            <v>0</v>
          </cell>
          <cell r="HD528">
            <v>0</v>
          </cell>
          <cell r="HH528">
            <v>0</v>
          </cell>
          <cell r="HI528">
            <v>0</v>
          </cell>
          <cell r="HJ528">
            <v>0</v>
          </cell>
          <cell r="HK528">
            <v>0</v>
          </cell>
          <cell r="HL528">
            <v>0</v>
          </cell>
          <cell r="HM528">
            <v>0</v>
          </cell>
          <cell r="HN528">
            <v>0</v>
          </cell>
          <cell r="HO528">
            <v>0</v>
          </cell>
          <cell r="HP528">
            <v>0</v>
          </cell>
          <cell r="HQ528">
            <v>0</v>
          </cell>
          <cell r="HR528">
            <v>0</v>
          </cell>
          <cell r="HS528">
            <v>0</v>
          </cell>
          <cell r="II528">
            <v>0</v>
          </cell>
          <cell r="IJ528">
            <v>0</v>
          </cell>
          <cell r="IK528">
            <v>0</v>
          </cell>
          <cell r="IL528">
            <v>0</v>
          </cell>
          <cell r="IM528">
            <v>0</v>
          </cell>
          <cell r="IN528">
            <v>0</v>
          </cell>
          <cell r="IO528">
            <v>0</v>
          </cell>
          <cell r="IP528">
            <v>0</v>
          </cell>
          <cell r="IQ528">
            <v>0</v>
          </cell>
          <cell r="IR528">
            <v>0</v>
          </cell>
          <cell r="IS528">
            <v>0</v>
          </cell>
          <cell r="IT528">
            <v>0</v>
          </cell>
        </row>
        <row r="529">
          <cell r="GS529">
            <v>0</v>
          </cell>
          <cell r="GT529">
            <v>0</v>
          </cell>
          <cell r="GU529">
            <v>0</v>
          </cell>
          <cell r="GV529">
            <v>0</v>
          </cell>
          <cell r="GW529">
            <v>0</v>
          </cell>
          <cell r="GX529">
            <v>0</v>
          </cell>
          <cell r="GY529">
            <v>0</v>
          </cell>
          <cell r="GZ529">
            <v>0</v>
          </cell>
          <cell r="HA529">
            <v>0</v>
          </cell>
          <cell r="HB529">
            <v>0</v>
          </cell>
          <cell r="HC529">
            <v>0</v>
          </cell>
          <cell r="HD529">
            <v>0</v>
          </cell>
          <cell r="HH529">
            <v>0</v>
          </cell>
          <cell r="HI529">
            <v>0</v>
          </cell>
          <cell r="HJ529">
            <v>0</v>
          </cell>
          <cell r="HK529">
            <v>0</v>
          </cell>
          <cell r="HL529">
            <v>0</v>
          </cell>
          <cell r="HM529">
            <v>0</v>
          </cell>
          <cell r="HN529">
            <v>0</v>
          </cell>
          <cell r="HO529">
            <v>0</v>
          </cell>
          <cell r="HP529">
            <v>0</v>
          </cell>
          <cell r="HQ529">
            <v>0</v>
          </cell>
          <cell r="HR529">
            <v>0</v>
          </cell>
          <cell r="HS529">
            <v>0</v>
          </cell>
          <cell r="II529">
            <v>0</v>
          </cell>
          <cell r="IJ529">
            <v>0</v>
          </cell>
          <cell r="IK529">
            <v>0</v>
          </cell>
          <cell r="IL529">
            <v>0</v>
          </cell>
          <cell r="IM529">
            <v>0</v>
          </cell>
          <cell r="IN529">
            <v>0</v>
          </cell>
          <cell r="IO529">
            <v>0</v>
          </cell>
          <cell r="IP529">
            <v>0</v>
          </cell>
          <cell r="IQ529">
            <v>0</v>
          </cell>
          <cell r="IR529">
            <v>0</v>
          </cell>
          <cell r="IS529">
            <v>0</v>
          </cell>
          <cell r="IT529">
            <v>0</v>
          </cell>
        </row>
        <row r="530">
          <cell r="GS530">
            <v>0</v>
          </cell>
          <cell r="GT530">
            <v>0</v>
          </cell>
          <cell r="GU530">
            <v>0</v>
          </cell>
          <cell r="GV530">
            <v>0</v>
          </cell>
          <cell r="GW530">
            <v>0</v>
          </cell>
          <cell r="GX530">
            <v>0</v>
          </cell>
          <cell r="GY530">
            <v>0</v>
          </cell>
          <cell r="GZ530">
            <v>0</v>
          </cell>
          <cell r="HA530">
            <v>0</v>
          </cell>
          <cell r="HB530">
            <v>0</v>
          </cell>
          <cell r="HC530">
            <v>0</v>
          </cell>
          <cell r="HD530">
            <v>0</v>
          </cell>
          <cell r="HH530">
            <v>0</v>
          </cell>
          <cell r="HI530">
            <v>0</v>
          </cell>
          <cell r="HJ530">
            <v>0</v>
          </cell>
          <cell r="HK530">
            <v>0</v>
          </cell>
          <cell r="HL530">
            <v>0</v>
          </cell>
          <cell r="HM530">
            <v>0</v>
          </cell>
          <cell r="HN530">
            <v>0</v>
          </cell>
          <cell r="HO530">
            <v>0</v>
          </cell>
          <cell r="HP530">
            <v>0</v>
          </cell>
          <cell r="HQ530">
            <v>0</v>
          </cell>
          <cell r="HR530">
            <v>0</v>
          </cell>
          <cell r="HS530">
            <v>0</v>
          </cell>
          <cell r="II530">
            <v>0</v>
          </cell>
          <cell r="IJ530">
            <v>0</v>
          </cell>
          <cell r="IK530">
            <v>0</v>
          </cell>
          <cell r="IL530">
            <v>0</v>
          </cell>
          <cell r="IM530">
            <v>0</v>
          </cell>
          <cell r="IN530">
            <v>0</v>
          </cell>
          <cell r="IO530">
            <v>0</v>
          </cell>
          <cell r="IP530">
            <v>0</v>
          </cell>
          <cell r="IQ530">
            <v>0</v>
          </cell>
          <cell r="IR530">
            <v>0</v>
          </cell>
          <cell r="IS530">
            <v>0</v>
          </cell>
          <cell r="IT530">
            <v>0</v>
          </cell>
        </row>
        <row r="531">
          <cell r="GS531">
            <v>0</v>
          </cell>
          <cell r="GT531">
            <v>0</v>
          </cell>
          <cell r="GU531">
            <v>0</v>
          </cell>
          <cell r="GV531">
            <v>0</v>
          </cell>
          <cell r="GW531">
            <v>0</v>
          </cell>
          <cell r="GX531">
            <v>0</v>
          </cell>
          <cell r="GY531">
            <v>0</v>
          </cell>
          <cell r="GZ531">
            <v>0</v>
          </cell>
          <cell r="HA531">
            <v>0</v>
          </cell>
          <cell r="HB531">
            <v>0</v>
          </cell>
          <cell r="HC531">
            <v>0</v>
          </cell>
          <cell r="HD531">
            <v>0</v>
          </cell>
          <cell r="HH531">
            <v>0</v>
          </cell>
          <cell r="HI531">
            <v>0</v>
          </cell>
          <cell r="HJ531">
            <v>0</v>
          </cell>
          <cell r="HK531">
            <v>0</v>
          </cell>
          <cell r="HL531">
            <v>0</v>
          </cell>
          <cell r="HM531">
            <v>0</v>
          </cell>
          <cell r="HN531">
            <v>0</v>
          </cell>
          <cell r="HO531">
            <v>0</v>
          </cell>
          <cell r="HP531">
            <v>0</v>
          </cell>
          <cell r="HQ531">
            <v>0</v>
          </cell>
          <cell r="HR531">
            <v>0</v>
          </cell>
          <cell r="HS531">
            <v>0</v>
          </cell>
          <cell r="II531">
            <v>0</v>
          </cell>
          <cell r="IJ531">
            <v>0</v>
          </cell>
          <cell r="IK531">
            <v>0</v>
          </cell>
          <cell r="IL531">
            <v>0</v>
          </cell>
          <cell r="IM531">
            <v>0</v>
          </cell>
          <cell r="IN531">
            <v>0</v>
          </cell>
          <cell r="IO531">
            <v>0</v>
          </cell>
          <cell r="IP531">
            <v>0</v>
          </cell>
          <cell r="IQ531">
            <v>0</v>
          </cell>
          <cell r="IR531">
            <v>0</v>
          </cell>
          <cell r="IS531">
            <v>0</v>
          </cell>
          <cell r="IT531">
            <v>0</v>
          </cell>
        </row>
        <row r="532">
          <cell r="GS532">
            <v>0</v>
          </cell>
          <cell r="GT532">
            <v>0</v>
          </cell>
          <cell r="GU532">
            <v>0</v>
          </cell>
          <cell r="GV532">
            <v>0</v>
          </cell>
          <cell r="GW532">
            <v>0</v>
          </cell>
          <cell r="GX532">
            <v>0</v>
          </cell>
          <cell r="GY532">
            <v>0</v>
          </cell>
          <cell r="GZ532">
            <v>0</v>
          </cell>
          <cell r="HA532">
            <v>0</v>
          </cell>
          <cell r="HB532">
            <v>0</v>
          </cell>
          <cell r="HC532">
            <v>0</v>
          </cell>
          <cell r="HD532">
            <v>0</v>
          </cell>
          <cell r="HH532">
            <v>0</v>
          </cell>
          <cell r="HI532">
            <v>0</v>
          </cell>
          <cell r="HJ532">
            <v>0</v>
          </cell>
          <cell r="HK532">
            <v>0</v>
          </cell>
          <cell r="HL532">
            <v>0</v>
          </cell>
          <cell r="HM532">
            <v>0</v>
          </cell>
          <cell r="HN532">
            <v>0</v>
          </cell>
          <cell r="HO532">
            <v>0</v>
          </cell>
          <cell r="HP532">
            <v>0</v>
          </cell>
          <cell r="HQ532">
            <v>0</v>
          </cell>
          <cell r="HR532">
            <v>0</v>
          </cell>
          <cell r="HS532">
            <v>0</v>
          </cell>
          <cell r="II532">
            <v>0</v>
          </cell>
          <cell r="IJ532">
            <v>0</v>
          </cell>
          <cell r="IK532">
            <v>0</v>
          </cell>
          <cell r="IL532">
            <v>0</v>
          </cell>
          <cell r="IM532">
            <v>0</v>
          </cell>
          <cell r="IN532">
            <v>0</v>
          </cell>
          <cell r="IO532">
            <v>0</v>
          </cell>
          <cell r="IP532">
            <v>0</v>
          </cell>
          <cell r="IQ532">
            <v>0</v>
          </cell>
          <cell r="IR532">
            <v>0</v>
          </cell>
          <cell r="IS532">
            <v>0</v>
          </cell>
          <cell r="IT532">
            <v>0</v>
          </cell>
        </row>
        <row r="533">
          <cell r="GS533">
            <v>0</v>
          </cell>
          <cell r="GT533">
            <v>0</v>
          </cell>
          <cell r="GU533">
            <v>0</v>
          </cell>
          <cell r="GV533">
            <v>0</v>
          </cell>
          <cell r="GW533">
            <v>0</v>
          </cell>
          <cell r="GX533">
            <v>0</v>
          </cell>
          <cell r="GY533">
            <v>0</v>
          </cell>
          <cell r="GZ533">
            <v>0</v>
          </cell>
          <cell r="HA533">
            <v>0</v>
          </cell>
          <cell r="HB533">
            <v>0</v>
          </cell>
          <cell r="HC533">
            <v>0</v>
          </cell>
          <cell r="HD533">
            <v>0</v>
          </cell>
          <cell r="HH533">
            <v>0</v>
          </cell>
          <cell r="HI533">
            <v>0</v>
          </cell>
          <cell r="HJ533">
            <v>0</v>
          </cell>
          <cell r="HK533">
            <v>0</v>
          </cell>
          <cell r="HL533">
            <v>0</v>
          </cell>
          <cell r="HM533">
            <v>0</v>
          </cell>
          <cell r="HN533">
            <v>0</v>
          </cell>
          <cell r="HO533">
            <v>0</v>
          </cell>
          <cell r="HP533">
            <v>0</v>
          </cell>
          <cell r="HQ533">
            <v>0</v>
          </cell>
          <cell r="HR533">
            <v>0</v>
          </cell>
          <cell r="HS533">
            <v>0</v>
          </cell>
          <cell r="II533">
            <v>0</v>
          </cell>
          <cell r="IJ533">
            <v>0</v>
          </cell>
          <cell r="IK533">
            <v>0</v>
          </cell>
          <cell r="IL533">
            <v>0</v>
          </cell>
          <cell r="IM533">
            <v>0</v>
          </cell>
          <cell r="IN533">
            <v>0</v>
          </cell>
          <cell r="IO533">
            <v>0</v>
          </cell>
          <cell r="IP533">
            <v>0</v>
          </cell>
          <cell r="IQ533">
            <v>0</v>
          </cell>
          <cell r="IR533">
            <v>0</v>
          </cell>
          <cell r="IS533">
            <v>0</v>
          </cell>
          <cell r="IT533">
            <v>0</v>
          </cell>
        </row>
        <row r="534">
          <cell r="GS534">
            <v>0</v>
          </cell>
          <cell r="GT534">
            <v>0</v>
          </cell>
          <cell r="GU534">
            <v>0</v>
          </cell>
          <cell r="GV534">
            <v>0</v>
          </cell>
          <cell r="GW534">
            <v>0</v>
          </cell>
          <cell r="GX534">
            <v>0</v>
          </cell>
          <cell r="GY534">
            <v>0</v>
          </cell>
          <cell r="GZ534">
            <v>0</v>
          </cell>
          <cell r="HA534">
            <v>0</v>
          </cell>
          <cell r="HB534">
            <v>0</v>
          </cell>
          <cell r="HC534">
            <v>0</v>
          </cell>
          <cell r="HD534">
            <v>0</v>
          </cell>
          <cell r="HH534">
            <v>0</v>
          </cell>
          <cell r="HI534">
            <v>0</v>
          </cell>
          <cell r="HJ534">
            <v>0</v>
          </cell>
          <cell r="HK534">
            <v>0</v>
          </cell>
          <cell r="HL534">
            <v>0</v>
          </cell>
          <cell r="HM534">
            <v>0</v>
          </cell>
          <cell r="HN534">
            <v>0</v>
          </cell>
          <cell r="HO534">
            <v>0</v>
          </cell>
          <cell r="HP534">
            <v>0</v>
          </cell>
          <cell r="HQ534">
            <v>0</v>
          </cell>
          <cell r="HR534">
            <v>0</v>
          </cell>
          <cell r="HS534">
            <v>0</v>
          </cell>
          <cell r="II534">
            <v>0</v>
          </cell>
          <cell r="IJ534">
            <v>0</v>
          </cell>
          <cell r="IK534">
            <v>0</v>
          </cell>
          <cell r="IL534">
            <v>0</v>
          </cell>
          <cell r="IM534">
            <v>0</v>
          </cell>
          <cell r="IN534">
            <v>0</v>
          </cell>
          <cell r="IO534">
            <v>0</v>
          </cell>
          <cell r="IP534">
            <v>0</v>
          </cell>
          <cell r="IQ534">
            <v>0</v>
          </cell>
          <cell r="IR534">
            <v>0</v>
          </cell>
          <cell r="IS534">
            <v>0</v>
          </cell>
          <cell r="IT534">
            <v>0</v>
          </cell>
        </row>
        <row r="535">
          <cell r="GS535">
            <v>0</v>
          </cell>
          <cell r="GT535">
            <v>0</v>
          </cell>
          <cell r="GU535">
            <v>0</v>
          </cell>
          <cell r="GV535">
            <v>0</v>
          </cell>
          <cell r="GW535">
            <v>0</v>
          </cell>
          <cell r="GX535">
            <v>0</v>
          </cell>
          <cell r="GY535">
            <v>0</v>
          </cell>
          <cell r="GZ535">
            <v>0</v>
          </cell>
          <cell r="HA535">
            <v>0</v>
          </cell>
          <cell r="HB535">
            <v>0</v>
          </cell>
          <cell r="HC535">
            <v>0</v>
          </cell>
          <cell r="HD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0</v>
          </cell>
          <cell r="HN535">
            <v>0</v>
          </cell>
          <cell r="HO535">
            <v>0</v>
          </cell>
          <cell r="HP535">
            <v>0</v>
          </cell>
          <cell r="HQ535">
            <v>0</v>
          </cell>
          <cell r="HR535">
            <v>0</v>
          </cell>
          <cell r="HS535">
            <v>0</v>
          </cell>
          <cell r="II535">
            <v>0</v>
          </cell>
          <cell r="IJ535">
            <v>0</v>
          </cell>
          <cell r="IK535">
            <v>0</v>
          </cell>
          <cell r="IL535">
            <v>0</v>
          </cell>
          <cell r="IM535">
            <v>0</v>
          </cell>
          <cell r="IN535">
            <v>0</v>
          </cell>
          <cell r="IO535">
            <v>0</v>
          </cell>
          <cell r="IP535">
            <v>0</v>
          </cell>
          <cell r="IQ535">
            <v>0</v>
          </cell>
          <cell r="IR535">
            <v>0</v>
          </cell>
          <cell r="IS535">
            <v>0</v>
          </cell>
          <cell r="IT535">
            <v>0</v>
          </cell>
        </row>
        <row r="536">
          <cell r="GS536">
            <v>0</v>
          </cell>
          <cell r="GT536">
            <v>0</v>
          </cell>
          <cell r="GU536">
            <v>0</v>
          </cell>
          <cell r="GV536">
            <v>0</v>
          </cell>
          <cell r="GW536">
            <v>0</v>
          </cell>
          <cell r="GX536">
            <v>0</v>
          </cell>
          <cell r="GY536">
            <v>0</v>
          </cell>
          <cell r="GZ536">
            <v>0</v>
          </cell>
          <cell r="HA536">
            <v>0</v>
          </cell>
          <cell r="HB536">
            <v>0</v>
          </cell>
          <cell r="HC536">
            <v>0</v>
          </cell>
          <cell r="HD536">
            <v>0</v>
          </cell>
          <cell r="HH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0</v>
          </cell>
          <cell r="HN536">
            <v>0</v>
          </cell>
          <cell r="HO536">
            <v>0</v>
          </cell>
          <cell r="HP536">
            <v>0</v>
          </cell>
          <cell r="HQ536">
            <v>0</v>
          </cell>
          <cell r="HR536">
            <v>0</v>
          </cell>
          <cell r="HS536">
            <v>0</v>
          </cell>
          <cell r="II536">
            <v>0</v>
          </cell>
          <cell r="IJ536">
            <v>0</v>
          </cell>
          <cell r="IK536">
            <v>0</v>
          </cell>
          <cell r="IL536">
            <v>0</v>
          </cell>
          <cell r="IM536">
            <v>0</v>
          </cell>
          <cell r="IN536">
            <v>0</v>
          </cell>
          <cell r="IO536">
            <v>0</v>
          </cell>
          <cell r="IP536">
            <v>0</v>
          </cell>
          <cell r="IQ536">
            <v>0</v>
          </cell>
          <cell r="IR536">
            <v>0</v>
          </cell>
          <cell r="IS536">
            <v>0</v>
          </cell>
          <cell r="IT536">
            <v>0</v>
          </cell>
        </row>
        <row r="537">
          <cell r="GS537">
            <v>0</v>
          </cell>
          <cell r="GT537">
            <v>0</v>
          </cell>
          <cell r="GU537">
            <v>0</v>
          </cell>
          <cell r="GV537">
            <v>0</v>
          </cell>
          <cell r="GW537">
            <v>0</v>
          </cell>
          <cell r="GX537">
            <v>0</v>
          </cell>
          <cell r="GY537">
            <v>0</v>
          </cell>
          <cell r="GZ537">
            <v>0</v>
          </cell>
          <cell r="HA537">
            <v>0</v>
          </cell>
          <cell r="HB537">
            <v>0</v>
          </cell>
          <cell r="HC537">
            <v>0</v>
          </cell>
          <cell r="HD537">
            <v>0</v>
          </cell>
          <cell r="HH537">
            <v>0</v>
          </cell>
          <cell r="HI537">
            <v>0</v>
          </cell>
          <cell r="HJ537">
            <v>0</v>
          </cell>
          <cell r="HK537">
            <v>0</v>
          </cell>
          <cell r="HL537">
            <v>0</v>
          </cell>
          <cell r="HM537">
            <v>0</v>
          </cell>
          <cell r="HN537">
            <v>0</v>
          </cell>
          <cell r="HO537">
            <v>0</v>
          </cell>
          <cell r="HP537">
            <v>0</v>
          </cell>
          <cell r="HQ537">
            <v>0</v>
          </cell>
          <cell r="HR537">
            <v>0</v>
          </cell>
          <cell r="HS537">
            <v>0</v>
          </cell>
          <cell r="II537">
            <v>0</v>
          </cell>
          <cell r="IJ537">
            <v>0</v>
          </cell>
          <cell r="IK537">
            <v>0</v>
          </cell>
          <cell r="IL537">
            <v>0</v>
          </cell>
          <cell r="IM537">
            <v>0</v>
          </cell>
          <cell r="IN537">
            <v>0</v>
          </cell>
          <cell r="IO537">
            <v>0</v>
          </cell>
          <cell r="IP537">
            <v>0</v>
          </cell>
          <cell r="IQ537">
            <v>0</v>
          </cell>
          <cell r="IR537">
            <v>0</v>
          </cell>
          <cell r="IS537">
            <v>0</v>
          </cell>
          <cell r="IT537">
            <v>0</v>
          </cell>
        </row>
        <row r="538">
          <cell r="GS538">
            <v>0</v>
          </cell>
          <cell r="GT538">
            <v>0</v>
          </cell>
          <cell r="GU538">
            <v>0</v>
          </cell>
          <cell r="GV538">
            <v>0</v>
          </cell>
          <cell r="GW538">
            <v>0</v>
          </cell>
          <cell r="GX538">
            <v>0</v>
          </cell>
          <cell r="GY538">
            <v>0</v>
          </cell>
          <cell r="GZ538">
            <v>0</v>
          </cell>
          <cell r="HA538">
            <v>0</v>
          </cell>
          <cell r="HB538">
            <v>0</v>
          </cell>
          <cell r="HC538">
            <v>0</v>
          </cell>
          <cell r="HD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0</v>
          </cell>
          <cell r="HN538">
            <v>0</v>
          </cell>
          <cell r="HO538">
            <v>0</v>
          </cell>
          <cell r="HP538">
            <v>0</v>
          </cell>
          <cell r="HQ538">
            <v>0</v>
          </cell>
          <cell r="HR538">
            <v>0</v>
          </cell>
          <cell r="HS538">
            <v>0</v>
          </cell>
          <cell r="II538">
            <v>14.16</v>
          </cell>
          <cell r="IJ538">
            <v>34.4</v>
          </cell>
          <cell r="IK538">
            <v>46.79</v>
          </cell>
          <cell r="IL538">
            <v>80.23</v>
          </cell>
          <cell r="IM538">
            <v>102.6</v>
          </cell>
          <cell r="IN538">
            <v>124.42</v>
          </cell>
          <cell r="IO538">
            <v>139.4</v>
          </cell>
          <cell r="IP538">
            <v>158.91999999999999</v>
          </cell>
          <cell r="IQ538">
            <v>172.07</v>
          </cell>
          <cell r="IR538">
            <v>193.67</v>
          </cell>
          <cell r="IS538">
            <v>208.09</v>
          </cell>
          <cell r="IT538">
            <v>203.16</v>
          </cell>
        </row>
        <row r="539">
          <cell r="GS539">
            <v>0</v>
          </cell>
          <cell r="GT539">
            <v>0</v>
          </cell>
          <cell r="GU539">
            <v>0</v>
          </cell>
          <cell r="GV539">
            <v>0</v>
          </cell>
          <cell r="GW539">
            <v>0</v>
          </cell>
          <cell r="GX539">
            <v>0</v>
          </cell>
          <cell r="GY539">
            <v>0</v>
          </cell>
          <cell r="GZ539">
            <v>0</v>
          </cell>
          <cell r="HA539">
            <v>0</v>
          </cell>
          <cell r="HB539">
            <v>0</v>
          </cell>
          <cell r="HC539">
            <v>0</v>
          </cell>
          <cell r="HD539">
            <v>0</v>
          </cell>
          <cell r="HH539">
            <v>0</v>
          </cell>
          <cell r="HI539">
            <v>0</v>
          </cell>
          <cell r="HJ539">
            <v>0</v>
          </cell>
          <cell r="HK539">
            <v>0</v>
          </cell>
          <cell r="HL539">
            <v>0</v>
          </cell>
          <cell r="HM539">
            <v>0</v>
          </cell>
          <cell r="HN539">
            <v>0</v>
          </cell>
          <cell r="HO539">
            <v>0</v>
          </cell>
          <cell r="HP539">
            <v>0</v>
          </cell>
          <cell r="HQ539">
            <v>0</v>
          </cell>
          <cell r="HR539">
            <v>0</v>
          </cell>
          <cell r="HS539">
            <v>0</v>
          </cell>
          <cell r="II539">
            <v>777.2</v>
          </cell>
          <cell r="IJ539">
            <v>1390.6999999999998</v>
          </cell>
          <cell r="IK539">
            <v>2398.0299999999997</v>
          </cell>
          <cell r="IL539">
            <v>3555.2999999999997</v>
          </cell>
          <cell r="IM539">
            <v>4212.7</v>
          </cell>
          <cell r="IN539">
            <v>4897.8599999999997</v>
          </cell>
          <cell r="IO539">
            <v>6196.39</v>
          </cell>
          <cell r="IP539">
            <v>6919.73</v>
          </cell>
          <cell r="IQ539">
            <v>7591.2</v>
          </cell>
          <cell r="IR539">
            <v>9147.69</v>
          </cell>
          <cell r="IS539">
            <v>10024.52</v>
          </cell>
          <cell r="IT539">
            <v>12876.49</v>
          </cell>
        </row>
        <row r="540">
          <cell r="GS540">
            <v>0</v>
          </cell>
          <cell r="GT540">
            <v>0</v>
          </cell>
          <cell r="GU540">
            <v>0</v>
          </cell>
          <cell r="GV540">
            <v>0</v>
          </cell>
          <cell r="GW540">
            <v>0</v>
          </cell>
          <cell r="GX540">
            <v>0</v>
          </cell>
          <cell r="GY540">
            <v>0</v>
          </cell>
          <cell r="GZ540">
            <v>0</v>
          </cell>
          <cell r="HA540">
            <v>0</v>
          </cell>
          <cell r="HB540">
            <v>0</v>
          </cell>
          <cell r="HC540">
            <v>0</v>
          </cell>
          <cell r="HD540">
            <v>0</v>
          </cell>
          <cell r="HH540">
            <v>0</v>
          </cell>
          <cell r="HI540">
            <v>0</v>
          </cell>
          <cell r="HJ540">
            <v>0</v>
          </cell>
          <cell r="HK540">
            <v>0</v>
          </cell>
          <cell r="HL540">
            <v>0</v>
          </cell>
          <cell r="HM540">
            <v>0</v>
          </cell>
          <cell r="HN540">
            <v>0</v>
          </cell>
          <cell r="HO540">
            <v>0</v>
          </cell>
          <cell r="HP540">
            <v>0</v>
          </cell>
          <cell r="HQ540">
            <v>0</v>
          </cell>
          <cell r="HR540">
            <v>0</v>
          </cell>
          <cell r="HS540">
            <v>0</v>
          </cell>
          <cell r="II540">
            <v>582.16999999999996</v>
          </cell>
          <cell r="IJ540">
            <v>1052.97</v>
          </cell>
          <cell r="IK540">
            <v>1668.22</v>
          </cell>
          <cell r="IL540">
            <v>2579.6099999999997</v>
          </cell>
          <cell r="IM540">
            <v>3047.0399999999995</v>
          </cell>
          <cell r="IN540">
            <v>3560.0299999999997</v>
          </cell>
          <cell r="IO540">
            <v>4607.24</v>
          </cell>
          <cell r="IP540">
            <v>5188.24</v>
          </cell>
          <cell r="IQ540">
            <v>5737.3399999999992</v>
          </cell>
          <cell r="IR540">
            <v>7034.1699999999992</v>
          </cell>
          <cell r="IS540">
            <v>7707.3600000000006</v>
          </cell>
          <cell r="IT540">
            <v>10013.42</v>
          </cell>
        </row>
        <row r="541">
          <cell r="GS541">
            <v>0</v>
          </cell>
          <cell r="GT541">
            <v>0</v>
          </cell>
          <cell r="GU541">
            <v>0</v>
          </cell>
          <cell r="GV541">
            <v>0</v>
          </cell>
          <cell r="GW541">
            <v>0</v>
          </cell>
          <cell r="GX541">
            <v>0</v>
          </cell>
          <cell r="GY541">
            <v>0</v>
          </cell>
          <cell r="GZ541">
            <v>0</v>
          </cell>
          <cell r="HA541">
            <v>0</v>
          </cell>
          <cell r="HB541">
            <v>0</v>
          </cell>
          <cell r="HC541">
            <v>0</v>
          </cell>
          <cell r="HD541">
            <v>0</v>
          </cell>
          <cell r="HH541">
            <v>0</v>
          </cell>
          <cell r="HI541">
            <v>0</v>
          </cell>
          <cell r="HJ541">
            <v>0</v>
          </cell>
          <cell r="HK541">
            <v>0</v>
          </cell>
          <cell r="HL541">
            <v>0</v>
          </cell>
          <cell r="HM541">
            <v>0</v>
          </cell>
          <cell r="HN541">
            <v>0</v>
          </cell>
          <cell r="HO541">
            <v>0</v>
          </cell>
          <cell r="HP541">
            <v>0</v>
          </cell>
          <cell r="HQ541">
            <v>0</v>
          </cell>
          <cell r="HR541">
            <v>0</v>
          </cell>
          <cell r="HS541">
            <v>0</v>
          </cell>
          <cell r="II541">
            <v>148.30000000000001</v>
          </cell>
          <cell r="IJ541">
            <v>283.36</v>
          </cell>
          <cell r="IK541">
            <v>615.65</v>
          </cell>
          <cell r="IL541">
            <v>860.32</v>
          </cell>
          <cell r="IM541">
            <v>994.03</v>
          </cell>
          <cell r="IN541">
            <v>1121.8300000000002</v>
          </cell>
          <cell r="IO541">
            <v>1356.8600000000001</v>
          </cell>
          <cell r="IP541">
            <v>1479.4</v>
          </cell>
          <cell r="IQ541">
            <v>1586.8100000000002</v>
          </cell>
          <cell r="IR541">
            <v>1779.1600000000003</v>
          </cell>
          <cell r="IS541">
            <v>1877.23</v>
          </cell>
          <cell r="IT541">
            <v>2342.9899999999998</v>
          </cell>
        </row>
        <row r="542">
          <cell r="GS542">
            <v>0</v>
          </cell>
          <cell r="GT542">
            <v>0</v>
          </cell>
          <cell r="GU542">
            <v>0</v>
          </cell>
          <cell r="GV542">
            <v>0</v>
          </cell>
          <cell r="GW542">
            <v>0</v>
          </cell>
          <cell r="GX542">
            <v>0</v>
          </cell>
          <cell r="GY542">
            <v>0</v>
          </cell>
          <cell r="GZ542">
            <v>0</v>
          </cell>
          <cell r="HA542">
            <v>0</v>
          </cell>
          <cell r="HB542">
            <v>0</v>
          </cell>
          <cell r="HC542">
            <v>0</v>
          </cell>
          <cell r="HD542">
            <v>0</v>
          </cell>
          <cell r="HH542">
            <v>0</v>
          </cell>
          <cell r="HI542">
            <v>0</v>
          </cell>
          <cell r="HJ542">
            <v>0</v>
          </cell>
          <cell r="HK542">
            <v>0</v>
          </cell>
          <cell r="HL542">
            <v>0</v>
          </cell>
          <cell r="HM542">
            <v>0</v>
          </cell>
          <cell r="HN542">
            <v>0</v>
          </cell>
          <cell r="HO542">
            <v>0</v>
          </cell>
          <cell r="HP542">
            <v>0</v>
          </cell>
          <cell r="HQ542">
            <v>0</v>
          </cell>
          <cell r="HR542">
            <v>0</v>
          </cell>
          <cell r="HS542">
            <v>0</v>
          </cell>
          <cell r="II542">
            <v>46.73</v>
          </cell>
          <cell r="IJ542">
            <v>54.37</v>
          </cell>
          <cell r="IK542">
            <v>114.16</v>
          </cell>
          <cell r="IL542">
            <v>115.37</v>
          </cell>
          <cell r="IM542">
            <v>171.63</v>
          </cell>
          <cell r="IN542">
            <v>216</v>
          </cell>
          <cell r="IO542">
            <v>232.29</v>
          </cell>
          <cell r="IP542">
            <v>252.09</v>
          </cell>
          <cell r="IQ542">
            <v>267.05</v>
          </cell>
          <cell r="IR542">
            <v>334.36</v>
          </cell>
          <cell r="IS542">
            <v>439.93</v>
          </cell>
          <cell r="IT542">
            <v>520.08000000000004</v>
          </cell>
        </row>
        <row r="543">
          <cell r="GS543">
            <v>0</v>
          </cell>
          <cell r="GT543">
            <v>0</v>
          </cell>
          <cell r="GU543">
            <v>0</v>
          </cell>
          <cell r="GV543">
            <v>0</v>
          </cell>
          <cell r="GW543">
            <v>0</v>
          </cell>
          <cell r="GX543">
            <v>0</v>
          </cell>
          <cell r="GY543">
            <v>0</v>
          </cell>
          <cell r="GZ543">
            <v>0</v>
          </cell>
          <cell r="HA543">
            <v>0</v>
          </cell>
          <cell r="HB543">
            <v>0</v>
          </cell>
          <cell r="HC543">
            <v>0</v>
          </cell>
          <cell r="HD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0</v>
          </cell>
          <cell r="HL543">
            <v>0</v>
          </cell>
          <cell r="HM543">
            <v>0</v>
          </cell>
          <cell r="HN543">
            <v>0</v>
          </cell>
          <cell r="HO543">
            <v>0</v>
          </cell>
          <cell r="HP543">
            <v>0</v>
          </cell>
          <cell r="HQ543">
            <v>0</v>
          </cell>
          <cell r="HR543">
            <v>0</v>
          </cell>
          <cell r="HS543">
            <v>0</v>
          </cell>
          <cell r="II543">
            <v>4.2300000000000004</v>
          </cell>
          <cell r="IJ543">
            <v>6.38</v>
          </cell>
          <cell r="IK543">
            <v>12.28</v>
          </cell>
          <cell r="IL543">
            <v>18.989999999999998</v>
          </cell>
          <cell r="IM543">
            <v>21.65</v>
          </cell>
          <cell r="IN543">
            <v>24.59</v>
          </cell>
          <cell r="IO543">
            <v>35.78</v>
          </cell>
          <cell r="IP543">
            <v>38.14</v>
          </cell>
          <cell r="IQ543">
            <v>45.22</v>
          </cell>
          <cell r="IR543">
            <v>103.4</v>
          </cell>
          <cell r="IS543">
            <v>108.06</v>
          </cell>
          <cell r="IT543">
            <v>110.72</v>
          </cell>
        </row>
        <row r="544">
          <cell r="GS544">
            <v>0</v>
          </cell>
          <cell r="GT544">
            <v>0</v>
          </cell>
          <cell r="GU544">
            <v>0</v>
          </cell>
          <cell r="GV544">
            <v>0</v>
          </cell>
          <cell r="GW544">
            <v>0</v>
          </cell>
          <cell r="GX544">
            <v>0</v>
          </cell>
          <cell r="GY544">
            <v>0</v>
          </cell>
          <cell r="GZ544">
            <v>0</v>
          </cell>
          <cell r="HA544">
            <v>0</v>
          </cell>
          <cell r="HB544">
            <v>0</v>
          </cell>
          <cell r="HC544">
            <v>0</v>
          </cell>
          <cell r="HD544">
            <v>0</v>
          </cell>
          <cell r="HH544">
            <v>0</v>
          </cell>
          <cell r="HI544">
            <v>0</v>
          </cell>
          <cell r="HJ544">
            <v>0</v>
          </cell>
          <cell r="HK544">
            <v>0</v>
          </cell>
          <cell r="HL544">
            <v>0</v>
          </cell>
          <cell r="HM544">
            <v>0</v>
          </cell>
          <cell r="HN544">
            <v>0</v>
          </cell>
          <cell r="HO544">
            <v>0</v>
          </cell>
          <cell r="HP544">
            <v>0</v>
          </cell>
          <cell r="HQ544">
            <v>0</v>
          </cell>
          <cell r="HR544">
            <v>0</v>
          </cell>
          <cell r="HS544">
            <v>0</v>
          </cell>
          <cell r="II544">
            <v>0</v>
          </cell>
          <cell r="IJ544">
            <v>0</v>
          </cell>
          <cell r="IK544">
            <v>0</v>
          </cell>
          <cell r="IL544">
            <v>0</v>
          </cell>
          <cell r="IM544">
            <v>0</v>
          </cell>
          <cell r="IN544">
            <v>0</v>
          </cell>
          <cell r="IO544">
            <v>0</v>
          </cell>
          <cell r="IP544">
            <v>0</v>
          </cell>
          <cell r="IQ544">
            <v>0</v>
          </cell>
          <cell r="IR544">
            <v>0</v>
          </cell>
          <cell r="IS544">
            <v>0</v>
          </cell>
          <cell r="IT544">
            <v>0</v>
          </cell>
        </row>
        <row r="545">
          <cell r="GS545">
            <v>0</v>
          </cell>
          <cell r="GT545">
            <v>0</v>
          </cell>
          <cell r="GU545">
            <v>0</v>
          </cell>
          <cell r="GV545">
            <v>0</v>
          </cell>
          <cell r="GW545">
            <v>0</v>
          </cell>
          <cell r="GX545">
            <v>0</v>
          </cell>
          <cell r="GY545">
            <v>0</v>
          </cell>
          <cell r="GZ545">
            <v>0</v>
          </cell>
          <cell r="HA545">
            <v>0</v>
          </cell>
          <cell r="HB545">
            <v>0</v>
          </cell>
          <cell r="HC545">
            <v>0</v>
          </cell>
          <cell r="HD545">
            <v>0</v>
          </cell>
          <cell r="HH545">
            <v>0</v>
          </cell>
          <cell r="HI545">
            <v>0</v>
          </cell>
          <cell r="HJ545">
            <v>0</v>
          </cell>
          <cell r="HK545">
            <v>0</v>
          </cell>
          <cell r="HL545">
            <v>0</v>
          </cell>
          <cell r="HM545">
            <v>0</v>
          </cell>
          <cell r="HN545">
            <v>0</v>
          </cell>
          <cell r="HO545">
            <v>0</v>
          </cell>
          <cell r="HP545">
            <v>0</v>
          </cell>
          <cell r="HQ545">
            <v>0</v>
          </cell>
          <cell r="HR545">
            <v>0</v>
          </cell>
          <cell r="HS545">
            <v>0</v>
          </cell>
          <cell r="II545">
            <v>4.2300000000000004</v>
          </cell>
          <cell r="IJ545">
            <v>6.38</v>
          </cell>
          <cell r="IK545">
            <v>12.28</v>
          </cell>
          <cell r="IL545">
            <v>18.989999999999998</v>
          </cell>
          <cell r="IM545">
            <v>21.65</v>
          </cell>
          <cell r="IN545">
            <v>24.59</v>
          </cell>
          <cell r="IO545">
            <v>35.78</v>
          </cell>
          <cell r="IP545">
            <v>38.14</v>
          </cell>
          <cell r="IQ545">
            <v>45.22</v>
          </cell>
          <cell r="IR545">
            <v>103.4</v>
          </cell>
          <cell r="IS545">
            <v>108.06</v>
          </cell>
          <cell r="IT545">
            <v>110.72</v>
          </cell>
        </row>
        <row r="546">
          <cell r="GS546">
            <v>0</v>
          </cell>
          <cell r="GT546">
            <v>0</v>
          </cell>
          <cell r="GU546">
            <v>0</v>
          </cell>
          <cell r="GV546">
            <v>0</v>
          </cell>
          <cell r="GW546">
            <v>0</v>
          </cell>
          <cell r="GX546">
            <v>0</v>
          </cell>
          <cell r="GY546">
            <v>0</v>
          </cell>
          <cell r="GZ546">
            <v>0</v>
          </cell>
          <cell r="HA546">
            <v>0</v>
          </cell>
          <cell r="HB546">
            <v>0</v>
          </cell>
          <cell r="HC546">
            <v>0</v>
          </cell>
          <cell r="HD546">
            <v>0</v>
          </cell>
          <cell r="HH546">
            <v>0</v>
          </cell>
          <cell r="HI546">
            <v>0</v>
          </cell>
          <cell r="HJ546">
            <v>0</v>
          </cell>
          <cell r="HK546">
            <v>0</v>
          </cell>
          <cell r="HL546">
            <v>0</v>
          </cell>
          <cell r="HM546">
            <v>0</v>
          </cell>
          <cell r="HN546">
            <v>0</v>
          </cell>
          <cell r="HO546">
            <v>0</v>
          </cell>
          <cell r="HP546">
            <v>0</v>
          </cell>
          <cell r="HQ546">
            <v>0</v>
          </cell>
          <cell r="HR546">
            <v>0</v>
          </cell>
          <cell r="HS546">
            <v>0</v>
          </cell>
          <cell r="II546">
            <v>7.69</v>
          </cell>
          <cell r="IJ546">
            <v>39.909999999999997</v>
          </cell>
          <cell r="IK546">
            <v>49.43</v>
          </cell>
          <cell r="IL546">
            <v>71.67</v>
          </cell>
          <cell r="IM546">
            <v>85.89</v>
          </cell>
          <cell r="IN546">
            <v>117.43</v>
          </cell>
          <cell r="IO546">
            <v>118.24</v>
          </cell>
          <cell r="IP546">
            <v>119.42</v>
          </cell>
          <cell r="IQ546">
            <v>119.73</v>
          </cell>
          <cell r="IR546">
            <v>126.06</v>
          </cell>
          <cell r="IS546">
            <v>148.44999999999999</v>
          </cell>
          <cell r="IT546">
            <v>195.28</v>
          </cell>
        </row>
        <row r="547">
          <cell r="GS547">
            <v>0</v>
          </cell>
          <cell r="GT547">
            <v>0</v>
          </cell>
          <cell r="GU547">
            <v>0</v>
          </cell>
          <cell r="GV547">
            <v>0</v>
          </cell>
          <cell r="GW547">
            <v>0</v>
          </cell>
          <cell r="GX547">
            <v>0</v>
          </cell>
          <cell r="GY547">
            <v>0</v>
          </cell>
          <cell r="GZ547">
            <v>0</v>
          </cell>
          <cell r="HA547">
            <v>0</v>
          </cell>
          <cell r="HB547">
            <v>0</v>
          </cell>
          <cell r="HC547">
            <v>0</v>
          </cell>
          <cell r="HD547">
            <v>0</v>
          </cell>
          <cell r="HH547">
            <v>0</v>
          </cell>
          <cell r="HI547">
            <v>0</v>
          </cell>
          <cell r="HJ547">
            <v>0</v>
          </cell>
          <cell r="HK547">
            <v>0</v>
          </cell>
          <cell r="HL547">
            <v>0</v>
          </cell>
          <cell r="HM547">
            <v>0</v>
          </cell>
          <cell r="HN547">
            <v>0</v>
          </cell>
          <cell r="HO547">
            <v>0</v>
          </cell>
          <cell r="HP547">
            <v>0</v>
          </cell>
          <cell r="HQ547">
            <v>0</v>
          </cell>
          <cell r="HR547">
            <v>0</v>
          </cell>
          <cell r="HS547">
            <v>0</v>
          </cell>
          <cell r="II547">
            <v>5.47</v>
          </cell>
          <cell r="IJ547">
            <v>81.819999999999993</v>
          </cell>
          <cell r="IK547">
            <v>92.88</v>
          </cell>
          <cell r="IL547">
            <v>114.39</v>
          </cell>
          <cell r="IM547">
            <v>190.28</v>
          </cell>
          <cell r="IN547">
            <v>193.19</v>
          </cell>
          <cell r="IO547">
            <v>195.91</v>
          </cell>
          <cell r="IP547">
            <v>198.32</v>
          </cell>
          <cell r="IQ547">
            <v>201.24</v>
          </cell>
          <cell r="IR547">
            <v>203.75</v>
          </cell>
          <cell r="IS547">
            <v>205.49</v>
          </cell>
          <cell r="IT547">
            <v>212.84</v>
          </cell>
        </row>
        <row r="548">
          <cell r="GS548">
            <v>0</v>
          </cell>
          <cell r="GT548">
            <v>0</v>
          </cell>
          <cell r="GU548">
            <v>0</v>
          </cell>
          <cell r="GV548">
            <v>0</v>
          </cell>
          <cell r="GW548">
            <v>0</v>
          </cell>
          <cell r="GX548">
            <v>0</v>
          </cell>
          <cell r="GY548">
            <v>0</v>
          </cell>
          <cell r="GZ548">
            <v>0</v>
          </cell>
          <cell r="HA548">
            <v>0</v>
          </cell>
          <cell r="HB548">
            <v>0</v>
          </cell>
          <cell r="HC548">
            <v>0</v>
          </cell>
          <cell r="HD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0</v>
          </cell>
          <cell r="HL548">
            <v>0</v>
          </cell>
          <cell r="HM548">
            <v>0</v>
          </cell>
          <cell r="HN548">
            <v>0</v>
          </cell>
          <cell r="HO548">
            <v>0</v>
          </cell>
          <cell r="HP548">
            <v>0</v>
          </cell>
          <cell r="HQ548">
            <v>0</v>
          </cell>
          <cell r="HR548">
            <v>0</v>
          </cell>
          <cell r="HS548">
            <v>0</v>
          </cell>
          <cell r="II548">
            <v>0</v>
          </cell>
          <cell r="IJ548">
            <v>0</v>
          </cell>
          <cell r="IK548">
            <v>0</v>
          </cell>
          <cell r="IL548">
            <v>0</v>
          </cell>
          <cell r="IM548">
            <v>0</v>
          </cell>
          <cell r="IN548">
            <v>0</v>
          </cell>
          <cell r="IO548">
            <v>0</v>
          </cell>
          <cell r="IP548">
            <v>0</v>
          </cell>
          <cell r="IQ548">
            <v>0</v>
          </cell>
          <cell r="IR548">
            <v>0</v>
          </cell>
          <cell r="IS548">
            <v>0</v>
          </cell>
          <cell r="IT548">
            <v>0</v>
          </cell>
        </row>
        <row r="554">
          <cell r="GS554">
            <v>0</v>
          </cell>
          <cell r="GT554">
            <v>0</v>
          </cell>
          <cell r="GU554">
            <v>0</v>
          </cell>
          <cell r="GV554">
            <v>0</v>
          </cell>
          <cell r="GW554">
            <v>0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C554">
            <v>0</v>
          </cell>
          <cell r="HD554">
            <v>0</v>
          </cell>
          <cell r="II554">
            <v>312.55</v>
          </cell>
          <cell r="IJ554">
            <v>645.48</v>
          </cell>
          <cell r="IK554">
            <v>1999.18</v>
          </cell>
          <cell r="IL554">
            <v>2395.67</v>
          </cell>
          <cell r="IM554">
            <v>2753.24</v>
          </cell>
          <cell r="IN554">
            <v>3091</v>
          </cell>
          <cell r="IO554">
            <v>3481.95</v>
          </cell>
          <cell r="IP554">
            <v>3898.78</v>
          </cell>
          <cell r="IQ554">
            <v>4268.7700000000004</v>
          </cell>
          <cell r="IR554">
            <v>4688.8599999999997</v>
          </cell>
          <cell r="IS554">
            <v>4693.8500000000004</v>
          </cell>
          <cell r="IT554">
            <v>5379.05</v>
          </cell>
        </row>
        <row r="555">
          <cell r="GS555">
            <v>0</v>
          </cell>
          <cell r="GT555">
            <v>0</v>
          </cell>
          <cell r="GU555">
            <v>0</v>
          </cell>
          <cell r="GV555">
            <v>0</v>
          </cell>
          <cell r="GW555">
            <v>0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C555">
            <v>0</v>
          </cell>
          <cell r="HD555">
            <v>0</v>
          </cell>
          <cell r="II555">
            <v>658.12</v>
          </cell>
          <cell r="IJ555">
            <v>1420.88</v>
          </cell>
          <cell r="IK555">
            <v>2384.84</v>
          </cell>
          <cell r="IL555">
            <v>3283.64</v>
          </cell>
          <cell r="IM555">
            <v>4597.25</v>
          </cell>
          <cell r="IN555">
            <v>5405.1</v>
          </cell>
          <cell r="IO555">
            <v>6650.6</v>
          </cell>
          <cell r="IP555">
            <v>7410.45</v>
          </cell>
          <cell r="IQ555">
            <v>8035.08</v>
          </cell>
          <cell r="IR555">
            <v>9950.1200000000008</v>
          </cell>
          <cell r="IS555">
            <v>10942.41</v>
          </cell>
          <cell r="IT555">
            <v>13751.59</v>
          </cell>
        </row>
        <row r="556">
          <cell r="GS556">
            <v>0</v>
          </cell>
          <cell r="GT556">
            <v>0</v>
          </cell>
          <cell r="GU556">
            <v>0</v>
          </cell>
          <cell r="GV556">
            <v>0</v>
          </cell>
          <cell r="GW556">
            <v>0</v>
          </cell>
          <cell r="GX556">
            <v>0</v>
          </cell>
          <cell r="GY556">
            <v>0</v>
          </cell>
          <cell r="GZ556">
            <v>0</v>
          </cell>
          <cell r="HA556">
            <v>0</v>
          </cell>
          <cell r="HB556">
            <v>0</v>
          </cell>
          <cell r="HC556">
            <v>0</v>
          </cell>
          <cell r="HD556">
            <v>0</v>
          </cell>
          <cell r="II556">
            <v>436.38</v>
          </cell>
          <cell r="IJ556">
            <v>837.11</v>
          </cell>
          <cell r="IK556">
            <v>1325.03</v>
          </cell>
          <cell r="IL556">
            <v>1917.17</v>
          </cell>
          <cell r="IM556">
            <v>2350.37</v>
          </cell>
          <cell r="IN556">
            <v>2722.88</v>
          </cell>
          <cell r="IO556">
            <v>3200.92</v>
          </cell>
          <cell r="IP556">
            <v>3628.43</v>
          </cell>
          <cell r="IQ556">
            <v>4046.37</v>
          </cell>
          <cell r="IR556">
            <v>4652.1899999999996</v>
          </cell>
          <cell r="IS556">
            <v>5004.37</v>
          </cell>
          <cell r="IT556">
            <v>6308.96</v>
          </cell>
        </row>
        <row r="557"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0</v>
          </cell>
          <cell r="GX557">
            <v>0</v>
          </cell>
          <cell r="GY557">
            <v>0</v>
          </cell>
          <cell r="GZ557">
            <v>0</v>
          </cell>
          <cell r="HA557">
            <v>0</v>
          </cell>
          <cell r="HB557">
            <v>0</v>
          </cell>
          <cell r="HC557">
            <v>0</v>
          </cell>
          <cell r="HD557">
            <v>0</v>
          </cell>
          <cell r="HH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0</v>
          </cell>
          <cell r="HN557">
            <v>0</v>
          </cell>
          <cell r="HO557">
            <v>0</v>
          </cell>
          <cell r="HP557">
            <v>0</v>
          </cell>
          <cell r="HQ557">
            <v>0</v>
          </cell>
          <cell r="HR557">
            <v>0</v>
          </cell>
          <cell r="HS557">
            <v>0</v>
          </cell>
          <cell r="II557">
            <v>191771.82500000001</v>
          </cell>
          <cell r="IJ557">
            <v>392105.25195000001</v>
          </cell>
          <cell r="IK557">
            <v>605644.24195000005</v>
          </cell>
          <cell r="IL557">
            <v>828605.75195000018</v>
          </cell>
          <cell r="IM557">
            <v>1052547.2669500001</v>
          </cell>
          <cell r="IN557">
            <v>1255424.3369499999</v>
          </cell>
          <cell r="IO557">
            <v>1493566.73695</v>
          </cell>
          <cell r="IP557">
            <v>1734766.5469500001</v>
          </cell>
          <cell r="IQ557">
            <v>1984328.5769500001</v>
          </cell>
          <cell r="IR557">
            <v>2257303.5269500003</v>
          </cell>
          <cell r="IS557">
            <v>2504220.2969499994</v>
          </cell>
          <cell r="IT557">
            <v>2768949.6569499997</v>
          </cell>
        </row>
        <row r="558">
          <cell r="GS558">
            <v>0</v>
          </cell>
          <cell r="GT558">
            <v>0</v>
          </cell>
          <cell r="GU558">
            <v>0</v>
          </cell>
          <cell r="GV558">
            <v>0</v>
          </cell>
          <cell r="GW558">
            <v>0</v>
          </cell>
          <cell r="GX558">
            <v>0</v>
          </cell>
          <cell r="GY558">
            <v>0</v>
          </cell>
          <cell r="GZ558">
            <v>0</v>
          </cell>
          <cell r="HA558">
            <v>0</v>
          </cell>
          <cell r="HB558">
            <v>0</v>
          </cell>
          <cell r="HC558">
            <v>0</v>
          </cell>
          <cell r="HD558">
            <v>0</v>
          </cell>
          <cell r="HH558">
            <v>0</v>
          </cell>
          <cell r="HI558">
            <v>0</v>
          </cell>
          <cell r="HJ558">
            <v>0</v>
          </cell>
          <cell r="HK558">
            <v>0</v>
          </cell>
          <cell r="HL558">
            <v>0</v>
          </cell>
          <cell r="HM558">
            <v>0</v>
          </cell>
          <cell r="HN558">
            <v>0</v>
          </cell>
          <cell r="HO558">
            <v>0</v>
          </cell>
          <cell r="HP558">
            <v>0</v>
          </cell>
          <cell r="HQ558">
            <v>0</v>
          </cell>
          <cell r="HR558">
            <v>0</v>
          </cell>
          <cell r="HS558">
            <v>0</v>
          </cell>
          <cell r="II558">
            <v>0</v>
          </cell>
          <cell r="IJ558">
            <v>0</v>
          </cell>
          <cell r="IK558">
            <v>0</v>
          </cell>
          <cell r="IL558">
            <v>0</v>
          </cell>
          <cell r="IM558">
            <v>0</v>
          </cell>
          <cell r="IN558">
            <v>0</v>
          </cell>
          <cell r="IO558">
            <v>0</v>
          </cell>
          <cell r="IP558">
            <v>0</v>
          </cell>
          <cell r="IQ558">
            <v>0</v>
          </cell>
          <cell r="IR558">
            <v>0</v>
          </cell>
          <cell r="IS558">
            <v>0</v>
          </cell>
          <cell r="IT558">
            <v>0</v>
          </cell>
        </row>
        <row r="559">
          <cell r="GS559">
            <v>0</v>
          </cell>
          <cell r="GT559">
            <v>0</v>
          </cell>
          <cell r="GU559">
            <v>0</v>
          </cell>
          <cell r="GV559">
            <v>0</v>
          </cell>
          <cell r="GW559">
            <v>0</v>
          </cell>
          <cell r="GX559">
            <v>0</v>
          </cell>
          <cell r="GY559">
            <v>0</v>
          </cell>
          <cell r="GZ559">
            <v>0</v>
          </cell>
          <cell r="HA559">
            <v>0</v>
          </cell>
          <cell r="HB559">
            <v>0</v>
          </cell>
          <cell r="HC559">
            <v>0</v>
          </cell>
          <cell r="HD559">
            <v>0</v>
          </cell>
          <cell r="HH559">
            <v>0</v>
          </cell>
          <cell r="HI559">
            <v>0</v>
          </cell>
          <cell r="HJ559">
            <v>0</v>
          </cell>
          <cell r="HK559">
            <v>0</v>
          </cell>
          <cell r="HL559">
            <v>0</v>
          </cell>
          <cell r="HM559">
            <v>0</v>
          </cell>
          <cell r="HN559">
            <v>0</v>
          </cell>
          <cell r="HO559">
            <v>0</v>
          </cell>
          <cell r="HP559">
            <v>0</v>
          </cell>
          <cell r="HQ559">
            <v>0</v>
          </cell>
          <cell r="HR559">
            <v>0</v>
          </cell>
          <cell r="HS559">
            <v>0</v>
          </cell>
          <cell r="II559">
            <v>193178.875</v>
          </cell>
          <cell r="IJ559">
            <v>395008.72194999998</v>
          </cell>
          <cell r="IK559">
            <v>611353.2919500001</v>
          </cell>
          <cell r="IL559">
            <v>836202.23195000016</v>
          </cell>
          <cell r="IM559">
            <v>1062248.1269500002</v>
          </cell>
          <cell r="IN559">
            <v>1266643.3169499999</v>
          </cell>
          <cell r="IO559">
            <v>1506900.20695</v>
          </cell>
          <cell r="IP559">
            <v>1749704.20695</v>
          </cell>
          <cell r="IQ559">
            <v>2000678.7969500001</v>
          </cell>
          <cell r="IR559">
            <v>2276594.6969500002</v>
          </cell>
          <cell r="IS559">
            <v>2524860.9269499993</v>
          </cell>
          <cell r="IT559">
            <v>2794389.2569499998</v>
          </cell>
        </row>
        <row r="561">
          <cell r="GS561">
            <v>0</v>
          </cell>
          <cell r="GT561">
            <v>0</v>
          </cell>
          <cell r="GU561">
            <v>0</v>
          </cell>
          <cell r="GV561">
            <v>0</v>
          </cell>
          <cell r="GW561">
            <v>0</v>
          </cell>
          <cell r="GX561">
            <v>0</v>
          </cell>
          <cell r="GY561">
            <v>0</v>
          </cell>
          <cell r="GZ561">
            <v>0</v>
          </cell>
          <cell r="HA561">
            <v>0</v>
          </cell>
          <cell r="HB561">
            <v>0</v>
          </cell>
          <cell r="HC561">
            <v>0</v>
          </cell>
          <cell r="HD561">
            <v>0</v>
          </cell>
          <cell r="HH561">
            <v>0</v>
          </cell>
          <cell r="HI561">
            <v>0</v>
          </cell>
          <cell r="HJ561">
            <v>0</v>
          </cell>
          <cell r="HK561">
            <v>0</v>
          </cell>
          <cell r="HL561">
            <v>0</v>
          </cell>
          <cell r="HM561">
            <v>0</v>
          </cell>
          <cell r="HN561">
            <v>0</v>
          </cell>
          <cell r="HO561">
            <v>0</v>
          </cell>
          <cell r="HP561">
            <v>0</v>
          </cell>
          <cell r="HQ561">
            <v>0</v>
          </cell>
          <cell r="HR561">
            <v>0</v>
          </cell>
          <cell r="HS561">
            <v>0</v>
          </cell>
          <cell r="II561">
            <v>702.53800000000001</v>
          </cell>
          <cell r="IJ561">
            <v>1699.67</v>
          </cell>
          <cell r="IK561">
            <v>3448.89</v>
          </cell>
          <cell r="IL561">
            <v>3511.8</v>
          </cell>
          <cell r="IM561">
            <v>4295.37</v>
          </cell>
          <cell r="IN561">
            <v>5063.96</v>
          </cell>
          <cell r="IO561">
            <v>5144.8100000000004</v>
          </cell>
          <cell r="IP561">
            <v>5931.05</v>
          </cell>
          <cell r="IQ561">
            <v>7167.34</v>
          </cell>
          <cell r="IR561">
            <v>7425.19</v>
          </cell>
          <cell r="IS561">
            <v>8363.36</v>
          </cell>
          <cell r="IT561">
            <v>5630.82</v>
          </cell>
        </row>
        <row r="562">
          <cell r="GS562">
            <v>0</v>
          </cell>
          <cell r="GT562">
            <v>0</v>
          </cell>
          <cell r="GU562">
            <v>0</v>
          </cell>
          <cell r="GV562">
            <v>0</v>
          </cell>
          <cell r="GW562">
            <v>0</v>
          </cell>
          <cell r="GX562">
            <v>0</v>
          </cell>
          <cell r="GY562">
            <v>0</v>
          </cell>
          <cell r="GZ562">
            <v>0</v>
          </cell>
          <cell r="HA562">
            <v>0</v>
          </cell>
          <cell r="HB562">
            <v>0</v>
          </cell>
          <cell r="HC562">
            <v>0</v>
          </cell>
          <cell r="HD562">
            <v>0</v>
          </cell>
          <cell r="HH562">
            <v>0</v>
          </cell>
          <cell r="HI562">
            <v>0</v>
          </cell>
          <cell r="HJ562">
            <v>0</v>
          </cell>
          <cell r="HK562">
            <v>0</v>
          </cell>
          <cell r="HL562">
            <v>0</v>
          </cell>
          <cell r="HM562">
            <v>0</v>
          </cell>
          <cell r="HN562">
            <v>0</v>
          </cell>
          <cell r="HO562">
            <v>0</v>
          </cell>
          <cell r="HP562">
            <v>0</v>
          </cell>
          <cell r="HQ562">
            <v>0</v>
          </cell>
          <cell r="HR562">
            <v>0</v>
          </cell>
          <cell r="HS562">
            <v>0</v>
          </cell>
          <cell r="II562">
            <v>0</v>
          </cell>
          <cell r="IJ562">
            <v>0</v>
          </cell>
          <cell r="IK562">
            <v>0</v>
          </cell>
          <cell r="IL562">
            <v>0</v>
          </cell>
          <cell r="IM562">
            <v>0</v>
          </cell>
          <cell r="IN562">
            <v>0</v>
          </cell>
          <cell r="IO562">
            <v>0</v>
          </cell>
          <cell r="IP562">
            <v>0</v>
          </cell>
          <cell r="IQ562">
            <v>0</v>
          </cell>
          <cell r="IR562">
            <v>0</v>
          </cell>
          <cell r="IS562">
            <v>0</v>
          </cell>
          <cell r="IT562">
            <v>0</v>
          </cell>
        </row>
        <row r="563">
          <cell r="GS563">
            <v>0</v>
          </cell>
          <cell r="GT563">
            <v>0</v>
          </cell>
          <cell r="GU563">
            <v>0</v>
          </cell>
          <cell r="GV563">
            <v>0</v>
          </cell>
          <cell r="GW563">
            <v>0</v>
          </cell>
          <cell r="GX563">
            <v>0</v>
          </cell>
          <cell r="GY563">
            <v>0</v>
          </cell>
          <cell r="GZ563">
            <v>0</v>
          </cell>
          <cell r="HA563">
            <v>0</v>
          </cell>
          <cell r="HB563">
            <v>0</v>
          </cell>
          <cell r="HC563">
            <v>0</v>
          </cell>
          <cell r="HD563">
            <v>0</v>
          </cell>
          <cell r="HH563">
            <v>0</v>
          </cell>
          <cell r="HI563">
            <v>0</v>
          </cell>
          <cell r="HJ563">
            <v>0</v>
          </cell>
          <cell r="HK563">
            <v>0</v>
          </cell>
          <cell r="HL563">
            <v>0</v>
          </cell>
          <cell r="HM563">
            <v>0</v>
          </cell>
          <cell r="HN563">
            <v>0</v>
          </cell>
          <cell r="HO563">
            <v>0</v>
          </cell>
          <cell r="HP563">
            <v>0</v>
          </cell>
          <cell r="HQ563">
            <v>0</v>
          </cell>
          <cell r="HR563">
            <v>0</v>
          </cell>
          <cell r="HS563">
            <v>0</v>
          </cell>
          <cell r="II563">
            <v>0</v>
          </cell>
          <cell r="IJ563">
            <v>0</v>
          </cell>
          <cell r="IK563">
            <v>0</v>
          </cell>
          <cell r="IL563">
            <v>0</v>
          </cell>
          <cell r="IM563">
            <v>0</v>
          </cell>
          <cell r="IN563">
            <v>0</v>
          </cell>
          <cell r="IO563">
            <v>0</v>
          </cell>
          <cell r="IP563">
            <v>0</v>
          </cell>
          <cell r="IQ563">
            <v>0</v>
          </cell>
          <cell r="IR563">
            <v>0</v>
          </cell>
          <cell r="IS563">
            <v>0</v>
          </cell>
          <cell r="IT563">
            <v>1.41</v>
          </cell>
        </row>
        <row r="564">
          <cell r="GS564">
            <v>0</v>
          </cell>
          <cell r="GT564">
            <v>0</v>
          </cell>
          <cell r="GU564">
            <v>0</v>
          </cell>
          <cell r="GV564">
            <v>0</v>
          </cell>
          <cell r="GW564">
            <v>0</v>
          </cell>
          <cell r="GX564">
            <v>0</v>
          </cell>
          <cell r="GY564">
            <v>0</v>
          </cell>
          <cell r="GZ564">
            <v>0</v>
          </cell>
          <cell r="HA564">
            <v>0</v>
          </cell>
          <cell r="HB564">
            <v>0</v>
          </cell>
          <cell r="HC564">
            <v>0</v>
          </cell>
          <cell r="HD564">
            <v>0</v>
          </cell>
          <cell r="HH564">
            <v>0</v>
          </cell>
          <cell r="HI564">
            <v>0</v>
          </cell>
          <cell r="HJ564">
            <v>0</v>
          </cell>
          <cell r="HK564">
            <v>0</v>
          </cell>
          <cell r="HL564">
            <v>0</v>
          </cell>
          <cell r="HM564">
            <v>0</v>
          </cell>
          <cell r="HN564">
            <v>0</v>
          </cell>
          <cell r="HO564">
            <v>0</v>
          </cell>
          <cell r="HP564">
            <v>0</v>
          </cell>
          <cell r="HQ564">
            <v>0</v>
          </cell>
          <cell r="HR564">
            <v>0</v>
          </cell>
          <cell r="HS564">
            <v>0</v>
          </cell>
          <cell r="II564">
            <v>702.53800000000001</v>
          </cell>
          <cell r="IJ564">
            <v>1699.67</v>
          </cell>
          <cell r="IK564">
            <v>3448.89</v>
          </cell>
          <cell r="IL564">
            <v>3511.8</v>
          </cell>
          <cell r="IM564">
            <v>4295.37</v>
          </cell>
          <cell r="IN564">
            <v>5063.96</v>
          </cell>
          <cell r="IO564">
            <v>5144.8100000000004</v>
          </cell>
          <cell r="IP564">
            <v>5931.05</v>
          </cell>
          <cell r="IQ564">
            <v>7167.34</v>
          </cell>
          <cell r="IR564">
            <v>7425.19</v>
          </cell>
          <cell r="IS564">
            <v>8363.36</v>
          </cell>
          <cell r="IT564">
            <v>5629.41</v>
          </cell>
        </row>
        <row r="566">
          <cell r="GS566">
            <v>0</v>
          </cell>
          <cell r="GT566">
            <v>0</v>
          </cell>
          <cell r="GU566">
            <v>0</v>
          </cell>
          <cell r="GV566">
            <v>0</v>
          </cell>
          <cell r="GW566">
            <v>0</v>
          </cell>
          <cell r="GX566">
            <v>0</v>
          </cell>
          <cell r="GY566">
            <v>0</v>
          </cell>
          <cell r="GZ566">
            <v>0</v>
          </cell>
          <cell r="HA566">
            <v>0</v>
          </cell>
          <cell r="HB566">
            <v>0</v>
          </cell>
          <cell r="HC566">
            <v>0</v>
          </cell>
          <cell r="HD566">
            <v>0</v>
          </cell>
          <cell r="HH566">
            <v>0</v>
          </cell>
          <cell r="HI566">
            <v>0</v>
          </cell>
          <cell r="HJ566">
            <v>0</v>
          </cell>
          <cell r="HK566">
            <v>0</v>
          </cell>
          <cell r="HL566">
            <v>0</v>
          </cell>
          <cell r="HM566">
            <v>0</v>
          </cell>
          <cell r="HN566">
            <v>0</v>
          </cell>
          <cell r="HO566">
            <v>0</v>
          </cell>
          <cell r="HP566">
            <v>0</v>
          </cell>
          <cell r="HQ566">
            <v>0</v>
          </cell>
          <cell r="HR566">
            <v>0</v>
          </cell>
          <cell r="HS566">
            <v>0</v>
          </cell>
          <cell r="II566">
            <v>669.89099999999996</v>
          </cell>
          <cell r="IJ566">
            <v>814.74</v>
          </cell>
          <cell r="IK566">
            <v>1263.07</v>
          </cell>
          <cell r="IL566">
            <v>913.9</v>
          </cell>
          <cell r="IM566">
            <v>850.5</v>
          </cell>
          <cell r="IN566">
            <v>1018.87</v>
          </cell>
          <cell r="IO566">
            <v>994.58</v>
          </cell>
          <cell r="IP566">
            <v>1079.44</v>
          </cell>
          <cell r="IQ566">
            <v>1244.79</v>
          </cell>
          <cell r="IR566">
            <v>1727.56</v>
          </cell>
          <cell r="IS566">
            <v>1689.4</v>
          </cell>
          <cell r="IT566">
            <v>2828.4700000000003</v>
          </cell>
        </row>
        <row r="580">
          <cell r="GS580">
            <v>0</v>
          </cell>
          <cell r="GT580">
            <v>0</v>
          </cell>
          <cell r="GU580">
            <v>0</v>
          </cell>
          <cell r="GV580">
            <v>0</v>
          </cell>
          <cell r="GW580">
            <v>0</v>
          </cell>
          <cell r="GX580">
            <v>0</v>
          </cell>
          <cell r="GY580">
            <v>0</v>
          </cell>
          <cell r="GZ580">
            <v>0</v>
          </cell>
          <cell r="HA580">
            <v>0</v>
          </cell>
          <cell r="HB580">
            <v>0</v>
          </cell>
          <cell r="HC580">
            <v>0</v>
          </cell>
          <cell r="HD580">
            <v>0</v>
          </cell>
          <cell r="HH580">
            <v>0</v>
          </cell>
          <cell r="HI580">
            <v>0</v>
          </cell>
          <cell r="HJ580">
            <v>0</v>
          </cell>
          <cell r="HK580">
            <v>0</v>
          </cell>
          <cell r="HL580">
            <v>0</v>
          </cell>
          <cell r="HM580">
            <v>0</v>
          </cell>
          <cell r="HN580">
            <v>0</v>
          </cell>
          <cell r="HO580">
            <v>0</v>
          </cell>
          <cell r="HP580">
            <v>0</v>
          </cell>
          <cell r="HQ580">
            <v>0</v>
          </cell>
          <cell r="HR580">
            <v>0</v>
          </cell>
          <cell r="HS580">
            <v>0</v>
          </cell>
          <cell r="II580">
            <v>404.09</v>
          </cell>
          <cell r="IJ580">
            <v>805.49</v>
          </cell>
          <cell r="IK580">
            <v>1195.54</v>
          </cell>
          <cell r="IL580">
            <v>1585.86</v>
          </cell>
          <cell r="IM580">
            <v>1979.47</v>
          </cell>
          <cell r="IN580">
            <v>2420.2800000000002</v>
          </cell>
          <cell r="IO580">
            <v>2856.84</v>
          </cell>
          <cell r="IP580">
            <v>3290.63</v>
          </cell>
          <cell r="IQ580">
            <v>3730.01</v>
          </cell>
          <cell r="IR580">
            <v>4291.79</v>
          </cell>
          <cell r="IS580">
            <v>4857.3500000000004</v>
          </cell>
          <cell r="IT580">
            <v>5418.51</v>
          </cell>
        </row>
        <row r="581">
          <cell r="GS581">
            <v>0</v>
          </cell>
          <cell r="GT581">
            <v>0</v>
          </cell>
          <cell r="GU581">
            <v>0</v>
          </cell>
          <cell r="GV581">
            <v>0</v>
          </cell>
          <cell r="GW581">
            <v>0</v>
          </cell>
          <cell r="GX581">
            <v>0</v>
          </cell>
          <cell r="GY581">
            <v>0</v>
          </cell>
          <cell r="GZ581">
            <v>0</v>
          </cell>
          <cell r="HA581">
            <v>0</v>
          </cell>
          <cell r="HB581">
            <v>0</v>
          </cell>
          <cell r="HC581">
            <v>0</v>
          </cell>
          <cell r="HD581">
            <v>0</v>
          </cell>
          <cell r="HH581">
            <v>0</v>
          </cell>
          <cell r="HI581">
            <v>0</v>
          </cell>
          <cell r="HJ581">
            <v>0</v>
          </cell>
          <cell r="HK581">
            <v>0</v>
          </cell>
          <cell r="HL581">
            <v>0</v>
          </cell>
          <cell r="HM581">
            <v>0</v>
          </cell>
          <cell r="HN581">
            <v>0</v>
          </cell>
          <cell r="HO581">
            <v>0</v>
          </cell>
          <cell r="HP581">
            <v>0</v>
          </cell>
          <cell r="HQ581">
            <v>0</v>
          </cell>
          <cell r="HR581">
            <v>0</v>
          </cell>
          <cell r="HS581">
            <v>0</v>
          </cell>
          <cell r="II581">
            <v>57.52</v>
          </cell>
          <cell r="IJ581">
            <v>100.81</v>
          </cell>
          <cell r="IK581">
            <v>175.49</v>
          </cell>
          <cell r="IL581">
            <v>217.11</v>
          </cell>
          <cell r="IM581">
            <v>254.3</v>
          </cell>
          <cell r="IN581">
            <v>303.5</v>
          </cell>
          <cell r="IO581">
            <v>346.81</v>
          </cell>
          <cell r="IP581">
            <v>399.04</v>
          </cell>
          <cell r="IQ581">
            <v>448.48</v>
          </cell>
          <cell r="IR581">
            <v>496.45</v>
          </cell>
          <cell r="IS581">
            <v>556.22</v>
          </cell>
          <cell r="IT581">
            <v>645.19000000000005</v>
          </cell>
        </row>
        <row r="582">
          <cell r="GS582">
            <v>0</v>
          </cell>
          <cell r="GT582">
            <v>0</v>
          </cell>
          <cell r="GU582">
            <v>0</v>
          </cell>
          <cell r="GV582">
            <v>0</v>
          </cell>
          <cell r="GW582">
            <v>0</v>
          </cell>
          <cell r="GX582">
            <v>0</v>
          </cell>
          <cell r="GY582">
            <v>0</v>
          </cell>
          <cell r="GZ582">
            <v>0</v>
          </cell>
          <cell r="HA582">
            <v>0</v>
          </cell>
          <cell r="HB582">
            <v>0</v>
          </cell>
          <cell r="HC582">
            <v>0</v>
          </cell>
          <cell r="HD582">
            <v>0</v>
          </cell>
          <cell r="HH582">
            <v>0</v>
          </cell>
          <cell r="HI582">
            <v>0</v>
          </cell>
          <cell r="HJ582">
            <v>0</v>
          </cell>
          <cell r="HK582">
            <v>0</v>
          </cell>
          <cell r="HL582">
            <v>0</v>
          </cell>
          <cell r="HM582">
            <v>0</v>
          </cell>
          <cell r="HN582">
            <v>0</v>
          </cell>
          <cell r="HO582">
            <v>0</v>
          </cell>
          <cell r="HP582">
            <v>0</v>
          </cell>
          <cell r="HQ582">
            <v>0</v>
          </cell>
          <cell r="HR582">
            <v>0</v>
          </cell>
          <cell r="HS582">
            <v>0</v>
          </cell>
          <cell r="II582">
            <v>107.58</v>
          </cell>
          <cell r="IJ582">
            <v>112.31</v>
          </cell>
          <cell r="IK582">
            <v>237.26</v>
          </cell>
          <cell r="IL582">
            <v>237.26</v>
          </cell>
          <cell r="IM582">
            <v>249.91</v>
          </cell>
          <cell r="IN582">
            <v>249.91</v>
          </cell>
          <cell r="IO582">
            <v>274.47000000000003</v>
          </cell>
          <cell r="IP582">
            <v>346.47</v>
          </cell>
          <cell r="IQ582">
            <v>379.48</v>
          </cell>
          <cell r="IR582">
            <v>417.28</v>
          </cell>
          <cell r="IS582">
            <v>448.78</v>
          </cell>
          <cell r="IT582">
            <v>558.59</v>
          </cell>
        </row>
        <row r="583">
          <cell r="GS583">
            <v>0</v>
          </cell>
          <cell r="GT583">
            <v>0</v>
          </cell>
          <cell r="GU583">
            <v>0</v>
          </cell>
          <cell r="GV583">
            <v>0</v>
          </cell>
          <cell r="GW583">
            <v>0</v>
          </cell>
          <cell r="GX583">
            <v>0</v>
          </cell>
          <cell r="GY583">
            <v>0</v>
          </cell>
          <cell r="GZ583">
            <v>0</v>
          </cell>
          <cell r="HA583">
            <v>0</v>
          </cell>
          <cell r="HB583">
            <v>0</v>
          </cell>
          <cell r="HC583">
            <v>0</v>
          </cell>
          <cell r="HD583">
            <v>0</v>
          </cell>
          <cell r="HH583">
            <v>0</v>
          </cell>
          <cell r="HI583">
            <v>0</v>
          </cell>
          <cell r="HJ583">
            <v>0</v>
          </cell>
          <cell r="HK583">
            <v>0</v>
          </cell>
          <cell r="HL583">
            <v>0</v>
          </cell>
          <cell r="HM583">
            <v>0</v>
          </cell>
          <cell r="HN583">
            <v>0</v>
          </cell>
          <cell r="HO583">
            <v>0</v>
          </cell>
          <cell r="HP583">
            <v>0</v>
          </cell>
          <cell r="HQ583">
            <v>0</v>
          </cell>
          <cell r="HR583">
            <v>0</v>
          </cell>
          <cell r="HS583">
            <v>0</v>
          </cell>
          <cell r="II583">
            <v>0</v>
          </cell>
          <cell r="IJ583">
            <v>0</v>
          </cell>
          <cell r="IK583">
            <v>0</v>
          </cell>
          <cell r="IL583">
            <v>92.47</v>
          </cell>
          <cell r="IM583">
            <v>92.47</v>
          </cell>
          <cell r="IN583">
            <v>92.47</v>
          </cell>
          <cell r="IO583">
            <v>92.47</v>
          </cell>
          <cell r="IP583">
            <v>92.47</v>
          </cell>
          <cell r="IQ583">
            <v>92.47</v>
          </cell>
          <cell r="IR583">
            <v>92.47</v>
          </cell>
          <cell r="IS583">
            <v>92.47</v>
          </cell>
          <cell r="IT583">
            <v>856.3</v>
          </cell>
        </row>
        <row r="584">
          <cell r="GS584">
            <v>0</v>
          </cell>
          <cell r="GT584">
            <v>0</v>
          </cell>
          <cell r="GU584">
            <v>0</v>
          </cell>
          <cell r="GV584">
            <v>0</v>
          </cell>
          <cell r="GW584">
            <v>0</v>
          </cell>
          <cell r="GX584">
            <v>0</v>
          </cell>
          <cell r="GY584">
            <v>0</v>
          </cell>
          <cell r="GZ584">
            <v>0</v>
          </cell>
          <cell r="HA584">
            <v>0</v>
          </cell>
          <cell r="HB584">
            <v>0</v>
          </cell>
          <cell r="HC584">
            <v>0</v>
          </cell>
          <cell r="HD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0</v>
          </cell>
          <cell r="HN584">
            <v>0</v>
          </cell>
          <cell r="HO584">
            <v>0</v>
          </cell>
          <cell r="HP584">
            <v>0</v>
          </cell>
          <cell r="HQ584">
            <v>0</v>
          </cell>
          <cell r="HR584">
            <v>0</v>
          </cell>
          <cell r="HS584">
            <v>0</v>
          </cell>
          <cell r="II584">
            <v>0</v>
          </cell>
          <cell r="IJ584">
            <v>0</v>
          </cell>
          <cell r="IK584">
            <v>0</v>
          </cell>
          <cell r="IL584">
            <v>365.6</v>
          </cell>
          <cell r="IM584">
            <v>366.6</v>
          </cell>
          <cell r="IN584">
            <v>366.6</v>
          </cell>
          <cell r="IO584">
            <v>886.4</v>
          </cell>
          <cell r="IP584">
            <v>886.4</v>
          </cell>
          <cell r="IQ584">
            <v>890.7</v>
          </cell>
          <cell r="IR584">
            <v>1517</v>
          </cell>
          <cell r="IS584">
            <v>1517</v>
          </cell>
          <cell r="IT584">
            <v>2271.5</v>
          </cell>
        </row>
        <row r="586">
          <cell r="GS586">
            <v>0</v>
          </cell>
          <cell r="GT586">
            <v>0</v>
          </cell>
          <cell r="GU586">
            <v>0</v>
          </cell>
          <cell r="GV586">
            <v>0</v>
          </cell>
          <cell r="GW586">
            <v>0</v>
          </cell>
          <cell r="GX586">
            <v>0</v>
          </cell>
          <cell r="GY586">
            <v>0</v>
          </cell>
          <cell r="GZ586">
            <v>0</v>
          </cell>
          <cell r="HA586">
            <v>0</v>
          </cell>
          <cell r="HB586">
            <v>0</v>
          </cell>
          <cell r="HC586">
            <v>0</v>
          </cell>
          <cell r="HD586">
            <v>0</v>
          </cell>
          <cell r="HH586">
            <v>0</v>
          </cell>
          <cell r="HI586">
            <v>0</v>
          </cell>
          <cell r="HJ586">
            <v>0</v>
          </cell>
          <cell r="HK586">
            <v>0</v>
          </cell>
          <cell r="HL586">
            <v>0</v>
          </cell>
          <cell r="HM586">
            <v>0</v>
          </cell>
          <cell r="HN586">
            <v>0</v>
          </cell>
          <cell r="HO586">
            <v>0</v>
          </cell>
          <cell r="HP586">
            <v>0</v>
          </cell>
          <cell r="HQ586">
            <v>0</v>
          </cell>
          <cell r="HR586">
            <v>0</v>
          </cell>
          <cell r="HS586">
            <v>0</v>
          </cell>
          <cell r="II586">
            <v>0</v>
          </cell>
          <cell r="IJ586">
            <v>8.4</v>
          </cell>
          <cell r="IK586">
            <v>21</v>
          </cell>
          <cell r="IL586">
            <v>29.4</v>
          </cell>
          <cell r="IM586">
            <v>39.4</v>
          </cell>
          <cell r="IN586">
            <v>49.4</v>
          </cell>
          <cell r="IO586">
            <v>59.4</v>
          </cell>
          <cell r="IP586">
            <v>69.400000000000006</v>
          </cell>
          <cell r="IQ586">
            <v>79.400000000000006</v>
          </cell>
          <cell r="IR586">
            <v>89.4</v>
          </cell>
          <cell r="IS586">
            <v>95.2</v>
          </cell>
          <cell r="IT586">
            <v>112.55</v>
          </cell>
        </row>
        <row r="587">
          <cell r="GS587">
            <v>0</v>
          </cell>
          <cell r="GT587">
            <v>0</v>
          </cell>
          <cell r="GU587">
            <v>0</v>
          </cell>
          <cell r="GV587">
            <v>0</v>
          </cell>
          <cell r="GW587">
            <v>0</v>
          </cell>
          <cell r="GX587">
            <v>0</v>
          </cell>
          <cell r="GY587">
            <v>0</v>
          </cell>
          <cell r="GZ587">
            <v>0</v>
          </cell>
          <cell r="HA587">
            <v>0</v>
          </cell>
          <cell r="HB587">
            <v>0</v>
          </cell>
          <cell r="HC587">
            <v>0</v>
          </cell>
          <cell r="HD587">
            <v>0</v>
          </cell>
          <cell r="HH587">
            <v>0</v>
          </cell>
          <cell r="HI587">
            <v>0</v>
          </cell>
          <cell r="HJ587">
            <v>0</v>
          </cell>
          <cell r="HK587">
            <v>0</v>
          </cell>
          <cell r="HL587">
            <v>0</v>
          </cell>
          <cell r="HM587">
            <v>0</v>
          </cell>
          <cell r="HN587">
            <v>0</v>
          </cell>
          <cell r="HO587">
            <v>0</v>
          </cell>
          <cell r="HP587">
            <v>0</v>
          </cell>
          <cell r="HQ587">
            <v>0</v>
          </cell>
          <cell r="HR587">
            <v>0</v>
          </cell>
          <cell r="HS587">
            <v>0</v>
          </cell>
          <cell r="II587">
            <v>12.98</v>
          </cell>
          <cell r="IJ587">
            <v>25.96</v>
          </cell>
          <cell r="IK587">
            <v>38.93</v>
          </cell>
          <cell r="IL587">
            <v>51.91</v>
          </cell>
          <cell r="IM587">
            <v>64.89</v>
          </cell>
          <cell r="IN587">
            <v>77.87</v>
          </cell>
          <cell r="IO587">
            <v>90.85</v>
          </cell>
          <cell r="IP587">
            <v>103.83</v>
          </cell>
          <cell r="IQ587">
            <v>116.8</v>
          </cell>
          <cell r="IR587">
            <v>129.78</v>
          </cell>
          <cell r="IS587">
            <v>140.34</v>
          </cell>
          <cell r="IT587">
            <v>150.78</v>
          </cell>
        </row>
        <row r="589">
          <cell r="GS589">
            <v>0</v>
          </cell>
          <cell r="GT589">
            <v>0</v>
          </cell>
          <cell r="GU589">
            <v>0</v>
          </cell>
          <cell r="GV589">
            <v>0</v>
          </cell>
          <cell r="GW589">
            <v>0</v>
          </cell>
          <cell r="GX589">
            <v>0</v>
          </cell>
          <cell r="GY589">
            <v>0</v>
          </cell>
          <cell r="GZ589">
            <v>0</v>
          </cell>
          <cell r="HA589">
            <v>0</v>
          </cell>
          <cell r="HB589">
            <v>0</v>
          </cell>
          <cell r="HC589">
            <v>0</v>
          </cell>
          <cell r="HD589">
            <v>0</v>
          </cell>
          <cell r="HH589">
            <v>0</v>
          </cell>
          <cell r="HI589">
            <v>0</v>
          </cell>
          <cell r="HJ589">
            <v>0</v>
          </cell>
          <cell r="HK589">
            <v>0</v>
          </cell>
          <cell r="HL589">
            <v>0</v>
          </cell>
          <cell r="HM589">
            <v>0</v>
          </cell>
          <cell r="HN589">
            <v>0</v>
          </cell>
          <cell r="HO589">
            <v>0</v>
          </cell>
          <cell r="HP589">
            <v>0</v>
          </cell>
          <cell r="HQ589">
            <v>0</v>
          </cell>
          <cell r="HR589">
            <v>0</v>
          </cell>
          <cell r="HS589">
            <v>0</v>
          </cell>
          <cell r="II589">
            <v>98.9</v>
          </cell>
          <cell r="IJ589">
            <v>188.38</v>
          </cell>
          <cell r="IK589">
            <v>284.69</v>
          </cell>
          <cell r="IL589">
            <v>452.82</v>
          </cell>
          <cell r="IM589">
            <v>529.29999999999995</v>
          </cell>
          <cell r="IN589">
            <v>607.99</v>
          </cell>
          <cell r="IO589">
            <v>757.72</v>
          </cell>
          <cell r="IP589">
            <v>829.82</v>
          </cell>
          <cell r="IQ589">
            <v>883.54</v>
          </cell>
          <cell r="IR589">
            <v>987.85</v>
          </cell>
          <cell r="IS589">
            <v>1030.22</v>
          </cell>
          <cell r="IT589">
            <v>1326.92</v>
          </cell>
        </row>
        <row r="590">
          <cell r="GS590">
            <v>0</v>
          </cell>
          <cell r="GT590">
            <v>0</v>
          </cell>
          <cell r="GU590">
            <v>0</v>
          </cell>
          <cell r="GV590">
            <v>0</v>
          </cell>
          <cell r="GW590">
            <v>0</v>
          </cell>
          <cell r="GX590">
            <v>0</v>
          </cell>
          <cell r="GY590">
            <v>0</v>
          </cell>
          <cell r="GZ590">
            <v>0</v>
          </cell>
          <cell r="HA590">
            <v>0</v>
          </cell>
          <cell r="HB590">
            <v>0</v>
          </cell>
          <cell r="HC590">
            <v>0</v>
          </cell>
          <cell r="HD590">
            <v>0</v>
          </cell>
          <cell r="HH590">
            <v>0</v>
          </cell>
          <cell r="HI590">
            <v>0</v>
          </cell>
          <cell r="HJ590">
            <v>0</v>
          </cell>
          <cell r="HK590">
            <v>0</v>
          </cell>
          <cell r="HL590">
            <v>0</v>
          </cell>
          <cell r="HM590">
            <v>0</v>
          </cell>
          <cell r="HN590">
            <v>0</v>
          </cell>
          <cell r="HO590">
            <v>0</v>
          </cell>
          <cell r="HP590">
            <v>0</v>
          </cell>
          <cell r="HQ590">
            <v>0</v>
          </cell>
          <cell r="HR590">
            <v>0</v>
          </cell>
          <cell r="HS590">
            <v>0</v>
          </cell>
          <cell r="II590">
            <v>0</v>
          </cell>
          <cell r="IJ590">
            <v>0</v>
          </cell>
          <cell r="IK590">
            <v>0</v>
          </cell>
          <cell r="IL590">
            <v>0</v>
          </cell>
          <cell r="IM590">
            <v>0</v>
          </cell>
          <cell r="IN590">
            <v>0</v>
          </cell>
          <cell r="IO590">
            <v>0</v>
          </cell>
          <cell r="IP590">
            <v>0</v>
          </cell>
          <cell r="IQ590">
            <v>0</v>
          </cell>
          <cell r="IR590">
            <v>0</v>
          </cell>
          <cell r="IS590">
            <v>0</v>
          </cell>
          <cell r="IT590">
            <v>0</v>
          </cell>
        </row>
        <row r="591">
          <cell r="GS591">
            <v>0</v>
          </cell>
          <cell r="GT591">
            <v>0</v>
          </cell>
          <cell r="GU591">
            <v>0</v>
          </cell>
          <cell r="GV591">
            <v>0</v>
          </cell>
          <cell r="GW591">
            <v>0</v>
          </cell>
          <cell r="GX591">
            <v>0</v>
          </cell>
          <cell r="GY591">
            <v>0</v>
          </cell>
          <cell r="GZ591">
            <v>0</v>
          </cell>
          <cell r="HA591">
            <v>0</v>
          </cell>
          <cell r="HB591">
            <v>0</v>
          </cell>
          <cell r="HC591">
            <v>0</v>
          </cell>
          <cell r="HD591">
            <v>0</v>
          </cell>
          <cell r="HH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0</v>
          </cell>
          <cell r="HN591">
            <v>0</v>
          </cell>
          <cell r="HO591">
            <v>0</v>
          </cell>
          <cell r="HP591">
            <v>0</v>
          </cell>
          <cell r="HQ591">
            <v>0</v>
          </cell>
          <cell r="HR591">
            <v>0</v>
          </cell>
          <cell r="HS591">
            <v>0</v>
          </cell>
          <cell r="II591">
            <v>30.78</v>
          </cell>
          <cell r="IJ591">
            <v>57.77</v>
          </cell>
          <cell r="IK591">
            <v>86.86</v>
          </cell>
          <cell r="IL591">
            <v>141.43</v>
          </cell>
          <cell r="IM591">
            <v>168.09</v>
          </cell>
          <cell r="IN591">
            <v>196.94</v>
          </cell>
          <cell r="IO591">
            <v>257.45999999999998</v>
          </cell>
          <cell r="IP591">
            <v>291.12</v>
          </cell>
          <cell r="IQ591">
            <v>320.86</v>
          </cell>
          <cell r="IR591">
            <v>384.99</v>
          </cell>
          <cell r="IS591">
            <v>413.82</v>
          </cell>
          <cell r="IT591">
            <v>526.14</v>
          </cell>
        </row>
        <row r="592">
          <cell r="GS592">
            <v>0</v>
          </cell>
          <cell r="GT592">
            <v>0</v>
          </cell>
          <cell r="GU592">
            <v>0</v>
          </cell>
          <cell r="GV592">
            <v>0</v>
          </cell>
          <cell r="GW592">
            <v>0</v>
          </cell>
          <cell r="GX592">
            <v>0</v>
          </cell>
          <cell r="GY592">
            <v>0</v>
          </cell>
          <cell r="GZ592">
            <v>0</v>
          </cell>
          <cell r="HA592">
            <v>0</v>
          </cell>
          <cell r="HB592">
            <v>0</v>
          </cell>
          <cell r="HC592">
            <v>0</v>
          </cell>
          <cell r="HD592">
            <v>0</v>
          </cell>
          <cell r="HH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0</v>
          </cell>
          <cell r="HN592">
            <v>0</v>
          </cell>
          <cell r="HO592">
            <v>0</v>
          </cell>
          <cell r="HP592">
            <v>0</v>
          </cell>
          <cell r="HQ592">
            <v>0</v>
          </cell>
          <cell r="HR592">
            <v>0</v>
          </cell>
          <cell r="HS592">
            <v>0</v>
          </cell>
          <cell r="II592">
            <v>0</v>
          </cell>
          <cell r="IJ592">
            <v>0</v>
          </cell>
          <cell r="IK592">
            <v>178.94</v>
          </cell>
          <cell r="IL592">
            <v>178.94</v>
          </cell>
          <cell r="IM592">
            <v>178.94</v>
          </cell>
          <cell r="IN592">
            <v>178.94</v>
          </cell>
          <cell r="IO592">
            <v>178.94</v>
          </cell>
          <cell r="IP592">
            <v>178.94</v>
          </cell>
          <cell r="IQ592">
            <v>178.94</v>
          </cell>
          <cell r="IR592">
            <v>178.94</v>
          </cell>
          <cell r="IS592">
            <v>178.94</v>
          </cell>
          <cell r="IT592">
            <v>185.1</v>
          </cell>
        </row>
        <row r="593">
          <cell r="GS593">
            <v>0</v>
          </cell>
          <cell r="GT593">
            <v>0</v>
          </cell>
          <cell r="GU593">
            <v>0</v>
          </cell>
          <cell r="GV593">
            <v>0</v>
          </cell>
          <cell r="GW593">
            <v>0</v>
          </cell>
          <cell r="GX593">
            <v>0</v>
          </cell>
          <cell r="GY593">
            <v>0</v>
          </cell>
          <cell r="GZ593">
            <v>0</v>
          </cell>
          <cell r="HA593">
            <v>0</v>
          </cell>
          <cell r="HB593">
            <v>0</v>
          </cell>
          <cell r="HC593">
            <v>0</v>
          </cell>
          <cell r="HD593">
            <v>0</v>
          </cell>
          <cell r="HH593">
            <v>0</v>
          </cell>
          <cell r="HI593">
            <v>0</v>
          </cell>
          <cell r="HJ593">
            <v>0</v>
          </cell>
          <cell r="HK593">
            <v>0</v>
          </cell>
          <cell r="HL593">
            <v>0</v>
          </cell>
          <cell r="HM593">
            <v>0</v>
          </cell>
          <cell r="HN593">
            <v>0</v>
          </cell>
          <cell r="HO593">
            <v>0</v>
          </cell>
          <cell r="HP593">
            <v>0</v>
          </cell>
          <cell r="HQ593">
            <v>0</v>
          </cell>
          <cell r="HR593">
            <v>0</v>
          </cell>
          <cell r="HS593">
            <v>0</v>
          </cell>
          <cell r="II593">
            <v>46.73</v>
          </cell>
          <cell r="IJ593">
            <v>54.37</v>
          </cell>
          <cell r="IK593">
            <v>114.16</v>
          </cell>
          <cell r="IL593">
            <v>115.37</v>
          </cell>
          <cell r="IM593">
            <v>171.63</v>
          </cell>
          <cell r="IN593">
            <v>216</v>
          </cell>
          <cell r="IO593">
            <v>232.29</v>
          </cell>
          <cell r="IP593">
            <v>252.09</v>
          </cell>
          <cell r="IQ593">
            <v>267.05</v>
          </cell>
          <cell r="IR593">
            <v>334.36</v>
          </cell>
          <cell r="IS593">
            <v>439.93</v>
          </cell>
          <cell r="IT593">
            <v>520.08000000000004</v>
          </cell>
        </row>
        <row r="594">
          <cell r="GS594">
            <v>0</v>
          </cell>
          <cell r="GT594">
            <v>0</v>
          </cell>
          <cell r="GU594">
            <v>0</v>
          </cell>
          <cell r="GV594">
            <v>0</v>
          </cell>
          <cell r="GW594">
            <v>0</v>
          </cell>
          <cell r="GX594">
            <v>0</v>
          </cell>
          <cell r="GY594">
            <v>0</v>
          </cell>
          <cell r="GZ594">
            <v>0</v>
          </cell>
          <cell r="HA594">
            <v>0</v>
          </cell>
          <cell r="HB594">
            <v>0</v>
          </cell>
          <cell r="HC594">
            <v>0</v>
          </cell>
          <cell r="HD594">
            <v>0</v>
          </cell>
          <cell r="HH594">
            <v>0</v>
          </cell>
          <cell r="HI594">
            <v>0</v>
          </cell>
          <cell r="HJ594">
            <v>0</v>
          </cell>
          <cell r="HK594">
            <v>0</v>
          </cell>
          <cell r="HL594">
            <v>0</v>
          </cell>
          <cell r="HM594">
            <v>0</v>
          </cell>
          <cell r="HN594">
            <v>0</v>
          </cell>
          <cell r="HO594">
            <v>0</v>
          </cell>
          <cell r="HP594">
            <v>0</v>
          </cell>
          <cell r="HQ594">
            <v>0</v>
          </cell>
          <cell r="HR594">
            <v>0</v>
          </cell>
          <cell r="HS594">
            <v>0</v>
          </cell>
          <cell r="II594">
            <v>18.62</v>
          </cell>
          <cell r="IJ594">
            <v>37.21</v>
          </cell>
          <cell r="IK594">
            <v>65.16</v>
          </cell>
          <cell r="IL594">
            <v>87.13</v>
          </cell>
          <cell r="IM594">
            <v>117.7</v>
          </cell>
          <cell r="IN594">
            <v>137.96</v>
          </cell>
          <cell r="IO594">
            <v>162.74</v>
          </cell>
          <cell r="IP594">
            <v>179.52</v>
          </cell>
          <cell r="IQ594">
            <v>203.47</v>
          </cell>
          <cell r="IR594">
            <v>227.38</v>
          </cell>
          <cell r="IS594">
            <v>254.25</v>
          </cell>
          <cell r="IT594">
            <v>304.83</v>
          </cell>
        </row>
        <row r="598">
          <cell r="GS598">
            <v>0</v>
          </cell>
          <cell r="GT598">
            <v>0</v>
          </cell>
          <cell r="GU598">
            <v>0</v>
          </cell>
          <cell r="GV598">
            <v>0</v>
          </cell>
          <cell r="GW598">
            <v>0</v>
          </cell>
          <cell r="GX598">
            <v>0</v>
          </cell>
          <cell r="GY598">
            <v>0</v>
          </cell>
          <cell r="GZ598">
            <v>0</v>
          </cell>
          <cell r="HA598">
            <v>0</v>
          </cell>
          <cell r="HB598">
            <v>0</v>
          </cell>
          <cell r="HC598">
            <v>0</v>
          </cell>
          <cell r="HD598">
            <v>0</v>
          </cell>
          <cell r="HH598">
            <v>0</v>
          </cell>
          <cell r="HI598">
            <v>0</v>
          </cell>
          <cell r="HJ598">
            <v>0</v>
          </cell>
          <cell r="HK598">
            <v>0</v>
          </cell>
          <cell r="HL598">
            <v>0</v>
          </cell>
          <cell r="HM598">
            <v>0</v>
          </cell>
          <cell r="HN598">
            <v>0</v>
          </cell>
          <cell r="HO598">
            <v>0</v>
          </cell>
          <cell r="HP598">
            <v>0</v>
          </cell>
          <cell r="HQ598">
            <v>0</v>
          </cell>
          <cell r="HR598">
            <v>0</v>
          </cell>
          <cell r="HS598">
            <v>0</v>
          </cell>
          <cell r="II598">
            <v>76.25</v>
          </cell>
          <cell r="IJ598">
            <v>77.25</v>
          </cell>
          <cell r="IK598">
            <v>74.5</v>
          </cell>
          <cell r="IL598">
            <v>73.5</v>
          </cell>
          <cell r="IM598">
            <v>73.5</v>
          </cell>
          <cell r="IN598">
            <v>74.5</v>
          </cell>
          <cell r="IO598">
            <v>74.5</v>
          </cell>
          <cell r="IP598">
            <v>74.5</v>
          </cell>
          <cell r="IQ598">
            <v>76.5</v>
          </cell>
          <cell r="IR598">
            <v>93.5</v>
          </cell>
          <cell r="IS598">
            <v>95.5</v>
          </cell>
          <cell r="IT598">
            <v>94.25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STACJE"/>
      <sheetName val="2-LINIE"/>
      <sheetName val="3-SIECI SN i nn"/>
      <sheetName val="4-ŁĄCZNOŚĆ"/>
      <sheetName val="5-TELEINFORMATYKA"/>
      <sheetName val="6-PRZYŁĄCZENIA"/>
      <sheetName val="7-ZAKUPY GOTOWYCH DÓBR"/>
      <sheetName val="8-POZOSTAŁE"/>
      <sheetName val="PODSUMOWANIE"/>
      <sheetName val="EE - Raport"/>
      <sheetName val="Braki"/>
      <sheetName val="Słowniki"/>
      <sheetName val="Raport - PF 2011 "/>
      <sheetName val="RE-podział"/>
      <sheetName val="EE-Giełda"/>
      <sheetName val="Lublin 1 - PSR "/>
      <sheetName val="Lublin 1 - MSSF"/>
      <sheetName val="Inwest"/>
      <sheetName val="Inwestycje"/>
      <sheetName val="Inwestycje_szczegóły"/>
      <sheetName val="Łódź-Teren"/>
      <sheetName val="Lublin 2 - PSR"/>
      <sheetName val="Lublin 2 - MSSF"/>
      <sheetName val="Lublin 3"/>
      <sheetName val="Lublin 4"/>
      <sheetName val="Lublin 5"/>
      <sheetName val="Lublin 6"/>
      <sheetName val="01"/>
      <sheetName val="02"/>
      <sheetName val="03"/>
      <sheetName val="04"/>
      <sheetName val="05"/>
      <sheetName val="06"/>
      <sheetName val="07"/>
      <sheetName val="08"/>
      <sheetName val="ZI-1"/>
      <sheetName val="ZI-2"/>
      <sheetName val="TT"/>
      <sheetName val="GO"/>
      <sheetName val="ZG"/>
      <sheetName val="MP"/>
      <sheetName val="ZA"/>
      <sheetName val="Arkusz1"/>
      <sheetName val="Lublin 1 - PSR"/>
      <sheetName val="Telekomunikacja_Capex"/>
      <sheetName val="Informatyka_Capex"/>
      <sheetName val="Wyk"/>
      <sheetName val="Wyk 1"/>
      <sheetName val="Wyk 2"/>
      <sheetName val="Wyk 3"/>
      <sheetName val="Wyk 4"/>
      <sheetName val="Wyk 5"/>
      <sheetName val="Wyk 6"/>
      <sheetName val="Wyk 7"/>
      <sheetName val="Wyk 8"/>
      <sheetName val="Wyk 9"/>
      <sheetName val="Wyk 10"/>
      <sheetName val="dane"/>
      <sheetName val="Wykres1"/>
      <sheetName val="Wykres2"/>
      <sheetName val="Wykres3"/>
      <sheetName val="Wykres4"/>
      <sheetName val="Wykres5"/>
      <sheetName val="Wykres6"/>
      <sheetName val="Wykres7"/>
      <sheetName val="Wykres8"/>
      <sheetName val="Wykres9"/>
      <sheetName val="Wykres10"/>
      <sheetName val="Wykres11"/>
      <sheetName val="Wykres24"/>
      <sheetName val="Wykres12"/>
      <sheetName val="EE - Raport(PSR)"/>
      <sheetName val="EE - Raport(MSSF)"/>
      <sheetName val="Wykres13"/>
      <sheetName val="Wykres14"/>
      <sheetName val="Wykres15"/>
      <sheetName val="Wykres16"/>
      <sheetName val="Wykres17"/>
      <sheetName val="Wykres18"/>
      <sheetName val="Wykres19"/>
      <sheetName val="Wykres20"/>
      <sheetName val="Wykres21"/>
      <sheetName val="Wykres22"/>
      <sheetName val="Wykres23"/>
      <sheetName val="Wykres25"/>
      <sheetName val="Wykres26"/>
      <sheetName val="Wykres27"/>
      <sheetName val="Wykres28"/>
      <sheetName val="Wykres29"/>
      <sheetName val="Wykres30"/>
      <sheetName val="Wykres31"/>
      <sheetName val="Wykres32"/>
      <sheetName val="Wykres33"/>
      <sheetName val="Wykres34"/>
      <sheetName val="Wykres35"/>
      <sheetName val="Wykres36"/>
      <sheetName val="Wykres37"/>
      <sheetName val="Wykres38"/>
      <sheetName val="Wykres38 (3)"/>
      <sheetName val="Wykres38 (4)"/>
      <sheetName val="Wykres38 (5)"/>
      <sheetName val="Wykres38 (6)"/>
      <sheetName val="Wykres38 (7)"/>
      <sheetName val="Wykres38 (8)"/>
      <sheetName val="Wykres38 (9)"/>
      <sheetName val="Wykres38 (10)"/>
      <sheetName val="Wykres38 (2)"/>
      <sheetName val="DBIL"/>
      <sheetName val="DRZIS"/>
      <sheetName val="KOSZTY"/>
      <sheetName val="DROZR"/>
      <sheetName val="listy"/>
      <sheetName val="KONS"/>
    </sheetNames>
    <sheetDataSet>
      <sheetData sheetId="0">
        <row r="7">
          <cell r="R7">
            <v>2876730.35</v>
          </cell>
        </row>
      </sheetData>
      <sheetData sheetId="1">
        <row r="6">
          <cell r="R6">
            <v>112</v>
          </cell>
        </row>
      </sheetData>
      <sheetData sheetId="2">
        <row r="8">
          <cell r="R8">
            <v>354802.29000000004</v>
          </cell>
        </row>
      </sheetData>
      <sheetData sheetId="3"/>
      <sheetData sheetId="4">
        <row r="4">
          <cell r="R4">
            <v>77842.22</v>
          </cell>
        </row>
      </sheetData>
      <sheetData sheetId="5">
        <row r="4">
          <cell r="R4">
            <v>7113425.5499999989</v>
          </cell>
        </row>
      </sheetData>
      <sheetData sheetId="6">
        <row r="5">
          <cell r="R5">
            <v>0</v>
          </cell>
        </row>
      </sheetData>
      <sheetData sheetId="7">
        <row r="5">
          <cell r="R5">
            <v>6246995.3599999994</v>
          </cell>
        </row>
      </sheetData>
      <sheetData sheetId="8">
        <row r="4">
          <cell r="AH4">
            <v>1529419.5</v>
          </cell>
        </row>
      </sheetData>
      <sheetData sheetId="9">
        <row r="4">
          <cell r="AH4">
            <v>0</v>
          </cell>
        </row>
      </sheetData>
      <sheetData sheetId="10">
        <row r="4">
          <cell r="AH4">
            <v>0</v>
          </cell>
        </row>
      </sheetData>
      <sheetData sheetId="11">
        <row r="5">
          <cell r="B5" t="str">
            <v>KONTYNUACJA</v>
          </cell>
          <cell r="E5" t="str">
            <v>Aleksandrów</v>
          </cell>
          <cell r="H5" t="str">
            <v>TAK</v>
          </cell>
          <cell r="J5" t="str">
            <v>Rozwojowe</v>
          </cell>
        </row>
        <row r="6">
          <cell r="B6" t="str">
            <v>NOWOROZPOCZYNANE</v>
          </cell>
          <cell r="E6" t="str">
            <v>Aleksandrów Łódzki</v>
          </cell>
          <cell r="G6" t="str">
            <v>III</v>
          </cell>
          <cell r="H6" t="str">
            <v>NIE</v>
          </cell>
          <cell r="J6" t="str">
            <v>Modernizacyjno - odtworzeniowe</v>
          </cell>
        </row>
        <row r="7">
          <cell r="B7" t="str">
            <v>PRZYGOTOWYWANE</v>
          </cell>
          <cell r="E7" t="str">
            <v>Baranów</v>
          </cell>
          <cell r="G7" t="str">
            <v>IV</v>
          </cell>
        </row>
        <row r="8">
          <cell r="B8" t="str">
            <v>REZERWA</v>
          </cell>
          <cell r="E8" t="str">
            <v>Bełchatów Miasto</v>
          </cell>
          <cell r="G8" t="str">
            <v>V</v>
          </cell>
        </row>
        <row r="9">
          <cell r="B9" t="str">
            <v>ZAKOŃCZONE</v>
          </cell>
          <cell r="E9" t="str">
            <v>Bełchatów</v>
          </cell>
        </row>
        <row r="10">
          <cell r="E10" t="str">
            <v>Będków</v>
          </cell>
        </row>
        <row r="11">
          <cell r="E11" t="str">
            <v>Biała</v>
          </cell>
        </row>
        <row r="12">
          <cell r="E12" t="str">
            <v>Biała Rawska</v>
          </cell>
        </row>
        <row r="13">
          <cell r="E13" t="str">
            <v>Białaczów</v>
          </cell>
        </row>
        <row r="14">
          <cell r="E14" t="str">
            <v>Bielawy</v>
          </cell>
        </row>
        <row r="15">
          <cell r="E15" t="str">
            <v>Błaszki</v>
          </cell>
        </row>
        <row r="16">
          <cell r="E16" t="str">
            <v>Bolimów</v>
          </cell>
        </row>
        <row r="17">
          <cell r="E17" t="str">
            <v>Brąszewice</v>
          </cell>
        </row>
        <row r="18">
          <cell r="E18" t="str">
            <v>Brzeziny Miasto</v>
          </cell>
        </row>
        <row r="19">
          <cell r="E19" t="str">
            <v>Brzeziny</v>
          </cell>
        </row>
        <row r="20">
          <cell r="E20" t="str">
            <v>Brzeźnio</v>
          </cell>
        </row>
        <row r="21">
          <cell r="E21" t="str">
            <v>Buczek</v>
          </cell>
        </row>
        <row r="22">
          <cell r="E22" t="str">
            <v>Budziszewice</v>
          </cell>
        </row>
        <row r="23">
          <cell r="E23" t="str">
            <v>Burzenin</v>
          </cell>
        </row>
        <row r="24">
          <cell r="E24" t="str">
            <v>Chąśno</v>
          </cell>
        </row>
        <row r="25">
          <cell r="E25" t="str">
            <v>Cielądz</v>
          </cell>
        </row>
        <row r="26">
          <cell r="E26" t="str">
            <v>Czarnocin</v>
          </cell>
        </row>
        <row r="27">
          <cell r="E27" t="str">
            <v>Czarnożyły</v>
          </cell>
        </row>
        <row r="28">
          <cell r="E28" t="str">
            <v>Czerniewice</v>
          </cell>
        </row>
        <row r="29">
          <cell r="E29" t="str">
            <v>Dalików</v>
          </cell>
        </row>
        <row r="30">
          <cell r="E30" t="str">
            <v>Dłutów</v>
          </cell>
        </row>
        <row r="31">
          <cell r="E31" t="str">
            <v>Dmosin</v>
          </cell>
        </row>
        <row r="32">
          <cell r="E32" t="str">
            <v>Dobra</v>
          </cell>
        </row>
        <row r="33">
          <cell r="E33" t="str">
            <v>Dobroń</v>
          </cell>
        </row>
        <row r="34">
          <cell r="E34" t="str">
            <v>Dobryszyce</v>
          </cell>
        </row>
        <row r="35">
          <cell r="E35" t="str">
            <v>Domaniewice</v>
          </cell>
        </row>
        <row r="36">
          <cell r="E36" t="str">
            <v>Drzewica</v>
          </cell>
        </row>
        <row r="37">
          <cell r="E37" t="str">
            <v>Drużbice</v>
          </cell>
        </row>
        <row r="38">
          <cell r="E38" t="str">
            <v>Działoszyn</v>
          </cell>
        </row>
        <row r="39">
          <cell r="E39" t="str">
            <v>Fałków</v>
          </cell>
        </row>
        <row r="40">
          <cell r="E40" t="str">
            <v xml:space="preserve">Gielniów </v>
          </cell>
        </row>
        <row r="41">
          <cell r="E41" t="str">
            <v>Głowno</v>
          </cell>
        </row>
        <row r="42">
          <cell r="E42" t="str">
            <v>Głuchów</v>
          </cell>
        </row>
        <row r="43">
          <cell r="E43" t="str">
            <v>Godzianów</v>
          </cell>
        </row>
        <row r="44">
          <cell r="E44" t="str">
            <v>Gomunice</v>
          </cell>
        </row>
        <row r="45">
          <cell r="E45" t="str">
            <v>Gorzkowice</v>
          </cell>
        </row>
        <row r="46">
          <cell r="E46" t="str">
            <v>Goszczanów</v>
          </cell>
        </row>
        <row r="47">
          <cell r="E47" t="str">
            <v>Grabica</v>
          </cell>
        </row>
        <row r="48">
          <cell r="E48" t="str">
            <v xml:space="preserve">Grodzisk Mazowiecki </v>
          </cell>
        </row>
        <row r="49">
          <cell r="E49" t="str">
            <v>Iłów</v>
          </cell>
        </row>
        <row r="50">
          <cell r="E50" t="str">
            <v>Inowłódz</v>
          </cell>
        </row>
        <row r="51">
          <cell r="E51" t="str">
            <v>Jaktorów</v>
          </cell>
        </row>
        <row r="52">
          <cell r="E52" t="str">
            <v>Jeżów</v>
          </cell>
        </row>
        <row r="53">
          <cell r="E53" t="str">
            <v>Kamieńsk</v>
          </cell>
        </row>
        <row r="54">
          <cell r="E54" t="str">
            <v>Kampinos</v>
          </cell>
        </row>
        <row r="55">
          <cell r="E55" t="str">
            <v>Kiełczygłów</v>
          </cell>
        </row>
        <row r="56">
          <cell r="E56" t="str">
            <v xml:space="preserve">Kiernozia </v>
          </cell>
        </row>
        <row r="57">
          <cell r="E57" t="str">
            <v>Kleszczów</v>
          </cell>
        </row>
        <row r="58">
          <cell r="E58" t="str">
            <v>Klonowa</v>
          </cell>
        </row>
        <row r="59">
          <cell r="E59" t="str">
            <v>Kluczewsko</v>
          </cell>
        </row>
        <row r="60">
          <cell r="E60" t="str">
            <v>Kluki</v>
          </cell>
        </row>
        <row r="61">
          <cell r="E61" t="str">
            <v>Kobiele Wielkie</v>
          </cell>
        </row>
        <row r="62">
          <cell r="E62" t="str">
            <v>Kocierzew Południowy</v>
          </cell>
        </row>
        <row r="63">
          <cell r="E63" t="str">
            <v>Kodrąb</v>
          </cell>
        </row>
        <row r="64">
          <cell r="E64" t="str">
            <v xml:space="preserve">Koluszki </v>
          </cell>
        </row>
        <row r="65">
          <cell r="E65" t="str">
            <v>Konopnica</v>
          </cell>
        </row>
        <row r="66">
          <cell r="E66" t="str">
            <v xml:space="preserve">Końskie </v>
          </cell>
        </row>
        <row r="67">
          <cell r="E67" t="str">
            <v>Kowiesy</v>
          </cell>
        </row>
        <row r="68">
          <cell r="E68" t="str">
            <v xml:space="preserve">Koźminek </v>
          </cell>
        </row>
        <row r="69">
          <cell r="E69" t="str">
            <v>Kruszyna</v>
          </cell>
        </row>
        <row r="70">
          <cell r="E70" t="str">
            <v>Lgota Wielka</v>
          </cell>
        </row>
        <row r="71">
          <cell r="E71" t="str">
            <v>Lipce Reymontowskie</v>
          </cell>
        </row>
        <row r="72">
          <cell r="E72" t="str">
            <v>Lubochnia</v>
          </cell>
        </row>
        <row r="73">
          <cell r="E73" t="str">
            <v>Lutomiersk</v>
          </cell>
        </row>
        <row r="74">
          <cell r="E74" t="str">
            <v>Lututów</v>
          </cell>
        </row>
        <row r="75">
          <cell r="E75" t="str">
            <v>Ładzice</v>
          </cell>
        </row>
        <row r="76">
          <cell r="E76" t="str">
            <v>Łask</v>
          </cell>
        </row>
        <row r="77">
          <cell r="E77" t="str">
            <v>Łęki Szlacheckie</v>
          </cell>
        </row>
        <row r="78">
          <cell r="E78" t="str">
            <v>Łowicz</v>
          </cell>
        </row>
        <row r="79">
          <cell r="E79" t="str">
            <v>Łowicz</v>
          </cell>
        </row>
        <row r="80">
          <cell r="E80" t="str">
            <v>Łyszkowice</v>
          </cell>
        </row>
        <row r="81">
          <cell r="E81" t="str">
            <v>Maków</v>
          </cell>
        </row>
        <row r="82">
          <cell r="E82" t="str">
            <v>Masłowice</v>
          </cell>
        </row>
        <row r="83">
          <cell r="E83" t="str">
            <v>Młodzieszyn</v>
          </cell>
        </row>
        <row r="84">
          <cell r="E84" t="str">
            <v>Mniszków</v>
          </cell>
        </row>
        <row r="85">
          <cell r="E85" t="str">
            <v xml:space="preserve">Mogielnica </v>
          </cell>
        </row>
        <row r="86">
          <cell r="E86" t="str">
            <v>Mokrsko</v>
          </cell>
        </row>
        <row r="87">
          <cell r="E87" t="str">
            <v>Moszczenica</v>
          </cell>
        </row>
        <row r="88">
          <cell r="E88" t="str">
            <v>Mszczonów</v>
          </cell>
        </row>
        <row r="89">
          <cell r="E89" t="str">
            <v>Nieborów</v>
          </cell>
        </row>
        <row r="90">
          <cell r="E90" t="str">
            <v>Nowa Sucha</v>
          </cell>
        </row>
        <row r="91">
          <cell r="E91" t="str">
            <v>Nowy Kawęczyn</v>
          </cell>
        </row>
        <row r="92">
          <cell r="E92" t="str">
            <v>Opoczno</v>
          </cell>
        </row>
        <row r="93">
          <cell r="E93" t="str">
            <v>Osjaków</v>
          </cell>
        </row>
        <row r="94">
          <cell r="E94" t="str">
            <v>Ostrówek</v>
          </cell>
        </row>
        <row r="95">
          <cell r="E95" t="str">
            <v>Pajęczno</v>
          </cell>
        </row>
        <row r="96">
          <cell r="E96" t="str">
            <v>Paradyż</v>
          </cell>
        </row>
        <row r="97">
          <cell r="E97" t="str">
            <v>Pątnów</v>
          </cell>
        </row>
        <row r="98">
          <cell r="E98" t="str">
            <v>Pęczniew</v>
          </cell>
        </row>
        <row r="99">
          <cell r="E99" t="str">
            <v>Piotrków Trybunalski</v>
          </cell>
        </row>
        <row r="100">
          <cell r="E100" t="str">
            <v>Poddębice</v>
          </cell>
        </row>
        <row r="101">
          <cell r="E101" t="str">
            <v>Poświętne</v>
          </cell>
        </row>
        <row r="102">
          <cell r="E102" t="str">
            <v>Przedbórz</v>
          </cell>
        </row>
        <row r="103">
          <cell r="E103" t="str">
            <v>Puszcza Mariańska</v>
          </cell>
        </row>
        <row r="104">
          <cell r="E104" t="str">
            <v>Radomsko</v>
          </cell>
        </row>
        <row r="105">
          <cell r="E105" t="str">
            <v>Radomsko</v>
          </cell>
        </row>
        <row r="106">
          <cell r="E106" t="str">
            <v>Radziejowice</v>
          </cell>
        </row>
        <row r="107">
          <cell r="E107" t="str">
            <v>Rawa Mazowiecka Miasto</v>
          </cell>
        </row>
        <row r="108">
          <cell r="E108" t="str">
            <v>Rawa Mazowiecka</v>
          </cell>
        </row>
        <row r="109">
          <cell r="E109" t="str">
            <v>Regnów</v>
          </cell>
        </row>
        <row r="110">
          <cell r="E110" t="str">
            <v>Ręczno</v>
          </cell>
        </row>
        <row r="111">
          <cell r="E111" t="str">
            <v>Rogów</v>
          </cell>
        </row>
        <row r="112">
          <cell r="E112" t="str">
            <v>Rokiciny</v>
          </cell>
        </row>
        <row r="113">
          <cell r="E113" t="str">
            <v>Rozprza</v>
          </cell>
        </row>
        <row r="114">
          <cell r="E114" t="str">
            <v>Rusiec</v>
          </cell>
        </row>
        <row r="115">
          <cell r="E115" t="str">
            <v>Rybno</v>
          </cell>
        </row>
        <row r="116">
          <cell r="E116" t="str">
            <v>Rząśnia</v>
          </cell>
        </row>
        <row r="117">
          <cell r="E117" t="str">
            <v>Rzeczyca</v>
          </cell>
        </row>
        <row r="118">
          <cell r="E118" t="str">
            <v>Sadkowice</v>
          </cell>
        </row>
        <row r="119">
          <cell r="E119" t="str">
            <v>Sędziejowice</v>
          </cell>
        </row>
        <row r="120">
          <cell r="E120" t="str">
            <v>Siemkowice</v>
          </cell>
        </row>
        <row r="121">
          <cell r="E121" t="str">
            <v>Sieradz Miasto</v>
          </cell>
        </row>
        <row r="122">
          <cell r="E122" t="str">
            <v>Sieradz</v>
          </cell>
        </row>
        <row r="123">
          <cell r="E123" t="str">
            <v>Skierniewice Miasto</v>
          </cell>
        </row>
        <row r="124">
          <cell r="E124" t="str">
            <v>Skierniewice</v>
          </cell>
        </row>
        <row r="125">
          <cell r="E125" t="str">
            <v>Skomlin</v>
          </cell>
        </row>
        <row r="126">
          <cell r="E126" t="str">
            <v>Sławno</v>
          </cell>
        </row>
        <row r="127">
          <cell r="E127" t="str">
            <v>Słupia</v>
          </cell>
        </row>
        <row r="128">
          <cell r="E128" t="str">
            <v>Sochaczew Miasto</v>
          </cell>
        </row>
        <row r="129">
          <cell r="E129" t="str">
            <v>Sochaczew</v>
          </cell>
        </row>
        <row r="130">
          <cell r="E130" t="str">
            <v xml:space="preserve">Strzelce Wielkie </v>
          </cell>
        </row>
        <row r="131">
          <cell r="E131" t="str">
            <v>Sulejów</v>
          </cell>
        </row>
        <row r="132">
          <cell r="E132" t="str">
            <v>Sulmierzyce</v>
          </cell>
        </row>
        <row r="133">
          <cell r="E133" t="str">
            <v>Szadek</v>
          </cell>
        </row>
        <row r="134">
          <cell r="E134" t="str">
            <v>Szczerców</v>
          </cell>
        </row>
        <row r="135">
          <cell r="E135" t="str">
            <v>Teresin</v>
          </cell>
        </row>
        <row r="136">
          <cell r="E136" t="str">
            <v>Tomaszów Mazowiecki Miasto</v>
          </cell>
        </row>
        <row r="137">
          <cell r="E137" t="str">
            <v>Tomaszów Mazowiecki</v>
          </cell>
        </row>
        <row r="138">
          <cell r="E138" t="str">
            <v>Tuszyn</v>
          </cell>
        </row>
        <row r="139">
          <cell r="E139" t="str">
            <v>Ujazd</v>
          </cell>
        </row>
        <row r="140">
          <cell r="E140" t="str">
            <v>Warta</v>
          </cell>
        </row>
        <row r="141">
          <cell r="E141" t="str">
            <v>Wartkowice</v>
          </cell>
        </row>
        <row r="142">
          <cell r="E142" t="str">
            <v>Widawa</v>
          </cell>
        </row>
        <row r="143">
          <cell r="E143" t="str">
            <v>Wielgomłyny</v>
          </cell>
        </row>
        <row r="144">
          <cell r="E144" t="str">
            <v>Wieluń</v>
          </cell>
        </row>
        <row r="145">
          <cell r="E145" t="str">
            <v>Wierzchlas</v>
          </cell>
        </row>
        <row r="146">
          <cell r="E146" t="str">
            <v>Wiskitki</v>
          </cell>
        </row>
        <row r="147">
          <cell r="E147" t="str">
            <v xml:space="preserve">Włoszczowa </v>
          </cell>
        </row>
        <row r="148">
          <cell r="E148" t="str">
            <v>Wodzierady</v>
          </cell>
        </row>
        <row r="149">
          <cell r="E149" t="str">
            <v>Wola Krzysztoporska</v>
          </cell>
        </row>
        <row r="150">
          <cell r="E150" t="str">
            <v>Wolbórz</v>
          </cell>
        </row>
        <row r="151">
          <cell r="E151" t="str">
            <v>Wróblew</v>
          </cell>
        </row>
        <row r="152">
          <cell r="E152" t="str">
            <v>Zadzim</v>
          </cell>
        </row>
        <row r="153">
          <cell r="E153" t="str">
            <v>Zapolice</v>
          </cell>
        </row>
        <row r="154">
          <cell r="E154" t="str">
            <v>Zduny</v>
          </cell>
        </row>
        <row r="155">
          <cell r="E155" t="str">
            <v>Zduńska Wola Miasto</v>
          </cell>
        </row>
        <row r="156">
          <cell r="E156" t="str">
            <v>Zduńska Wola</v>
          </cell>
        </row>
        <row r="157">
          <cell r="E157" t="str">
            <v>Zelów</v>
          </cell>
        </row>
        <row r="158">
          <cell r="E158" t="str">
            <v>Złoczew</v>
          </cell>
        </row>
        <row r="159">
          <cell r="E159" t="str">
            <v>Żabia Wola</v>
          </cell>
        </row>
        <row r="160">
          <cell r="E160" t="str">
            <v>Żarnów</v>
          </cell>
        </row>
        <row r="161">
          <cell r="E161" t="str">
            <v>Żelechlinek</v>
          </cell>
        </row>
        <row r="162">
          <cell r="E162" t="str">
            <v>Żyrardów</v>
          </cell>
        </row>
      </sheetData>
      <sheetData sheetId="12">
        <row r="5">
          <cell r="B5" t="str">
            <v>KONTYNUACJA</v>
          </cell>
        </row>
      </sheetData>
      <sheetData sheetId="13">
        <row r="1">
          <cell r="Q1" t="str">
            <v>XI</v>
          </cell>
        </row>
      </sheetData>
      <sheetData sheetId="14">
        <row r="1">
          <cell r="Q1" t="str">
            <v>XI</v>
          </cell>
        </row>
      </sheetData>
      <sheetData sheetId="15">
        <row r="1">
          <cell r="Q1" t="str">
            <v>XI</v>
          </cell>
        </row>
      </sheetData>
      <sheetData sheetId="16">
        <row r="1">
          <cell r="Q1" t="str">
            <v>XI</v>
          </cell>
        </row>
      </sheetData>
      <sheetData sheetId="17">
        <row r="1">
          <cell r="Q1" t="str">
            <v>XI</v>
          </cell>
        </row>
      </sheetData>
      <sheetData sheetId="18">
        <row r="1">
          <cell r="Q1" t="str">
            <v>XI</v>
          </cell>
        </row>
      </sheetData>
      <sheetData sheetId="19">
        <row r="1">
          <cell r="Q1" t="str">
            <v>XI</v>
          </cell>
        </row>
      </sheetData>
      <sheetData sheetId="20">
        <row r="1">
          <cell r="Q1" t="str">
            <v>XI</v>
          </cell>
        </row>
      </sheetData>
      <sheetData sheetId="21"/>
      <sheetData sheetId="22"/>
      <sheetData sheetId="23"/>
      <sheetData sheetId="24"/>
      <sheetData sheetId="25">
        <row r="4">
          <cell r="AH4">
            <v>0</v>
          </cell>
        </row>
      </sheetData>
      <sheetData sheetId="26"/>
      <sheetData sheetId="27"/>
      <sheetData sheetId="28"/>
      <sheetData sheetId="29"/>
      <sheetData sheetId="30"/>
      <sheetData sheetId="31">
        <row r="4">
          <cell r="AH4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spolki okres por"/>
      <sheetName val="Wyniki spolki plan"/>
      <sheetName val="dodatkowe zakładki"/>
      <sheetName val="Słowniki"/>
    </sheetNames>
    <definedNames>
      <definedName name="_xlbgnm.a2" refersTo="#ADR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er"/>
      <sheetName val="Spis"/>
      <sheetName val="arkusz sprawdzający"/>
      <sheetName val="Korekty"/>
      <sheetName val="SA_R"/>
      <sheetName val="T1"/>
      <sheetName val="T2"/>
      <sheetName val="T1-2"/>
      <sheetName val="T3 old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7"/>
      <sheetName val="T18"/>
      <sheetName val="T22"/>
      <sheetName val="PBC-VCON009A"/>
      <sheetName val="Arkusz1"/>
      <sheetName val="DBIL"/>
      <sheetName val="DRZIS"/>
      <sheetName val="KOSZTY"/>
      <sheetName val="DROZR"/>
      <sheetName val="nota nr 16 b"/>
      <sheetName val="SAR0699-3wrzesnia99"/>
      <sheetName val="arkusz_sprawdzający"/>
      <sheetName val="T3_old"/>
      <sheetName val="nota_nr_16_b"/>
      <sheetName val="arkusz_sprawdzający1"/>
      <sheetName val="T3_old1"/>
      <sheetName val="nota_nr_16_b1"/>
      <sheetName val="DCF"/>
      <sheetName val="INFDOD"/>
      <sheetName val="Słowniki"/>
      <sheetName val="arkusz_sprawdzający2"/>
      <sheetName val="T3_old2"/>
      <sheetName val="nota_nr_16_b2"/>
      <sheetName val="Kontrahenci"/>
      <sheetName val="bazy"/>
      <sheetName val="arkusz_sprawdzający3"/>
      <sheetName val="T3_old3"/>
      <sheetName val="nota_nr_16_b3"/>
      <sheetName val="Stopień wykonania"/>
      <sheetName val="arkusz_sprawdzający4"/>
      <sheetName val="T3_old4"/>
      <sheetName val="nota_nr_16_b4"/>
      <sheetName val="Stopień_wykonania"/>
      <sheetName val="arkusz_sprawdzający5"/>
      <sheetName val="T3_old5"/>
      <sheetName val="nota_nr_16_b5"/>
      <sheetName val="Stopień_wykonania1"/>
      <sheetName val="arkusz_sprawdzający6"/>
      <sheetName val="T3_old6"/>
      <sheetName val="nota_nr_16_b6"/>
      <sheetName val="Stopień_wykonania2"/>
      <sheetName val="GRUPY_RODZAJOWE"/>
      <sheetName val="idx"/>
      <sheetName val="Baza danych"/>
      <sheetName val="Techniczne"/>
    </sheetNames>
    <sheetDataSet>
      <sheetData sheetId="0" refreshError="1">
        <row r="10">
          <cell r="B10" t="str">
            <v>PSR</v>
          </cell>
        </row>
        <row r="11">
          <cell r="B11" t="str">
            <v>PSR po korektach</v>
          </cell>
        </row>
        <row r="12">
          <cell r="B12" t="str">
            <v>MSR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noza"/>
      <sheetName val="ARKUSZE_2007"/>
      <sheetName val="Wnioski na zarząd"/>
      <sheetName val="BExRepositorySheet"/>
      <sheetName val="BK_darowizny"/>
      <sheetName val="BK_plan_marketingowy"/>
      <sheetName val="Kontrahenci"/>
      <sheetName val="bazy"/>
      <sheetName val="REJESTR_ARKUSZY_2007"/>
      <sheetName val="Wnioski_na_zarząd"/>
      <sheetName val="Wnioski_na_zarząd1"/>
      <sheetName val="Wnioski_na_zarząd2"/>
      <sheetName val="DCF"/>
      <sheetName val="INFDOD"/>
      <sheetName val="ster"/>
      <sheetName val="nota nr 16 b"/>
      <sheetName val="DBIL"/>
      <sheetName val="DRZIS"/>
      <sheetName val="KOSZTY"/>
      <sheetName val="DROZR"/>
      <sheetName val="listy"/>
      <sheetName val="KONS"/>
      <sheetName val="302_06"/>
      <sheetName val="Wnioski_na_zarząd3"/>
      <sheetName val="nota_nr_16_b"/>
      <sheetName val="INDEKS"/>
      <sheetName val="lista"/>
      <sheetName val="przychody"/>
      <sheetName val="idx"/>
      <sheetName val="5. ZEST. SZCZEGÓŁOWE PTT W1"/>
      <sheetName val="Słowniki"/>
      <sheetName val="Wnioski_na_zarząd4"/>
      <sheetName val="nota_nr_16_b1"/>
      <sheetName val="Komórki"/>
      <sheetName val="Zlecenia"/>
      <sheetName val="Wnioski_na_zarząd5"/>
      <sheetName val="nota_nr_16_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I1" t="str">
            <v>BK</v>
          </cell>
        </row>
        <row r="2">
          <cell r="I2" t="str">
            <v>MT</v>
          </cell>
        </row>
        <row r="3">
          <cell r="I3" t="str">
            <v>PR</v>
          </cell>
        </row>
        <row r="4">
          <cell r="I4" t="str">
            <v>AR</v>
          </cell>
        </row>
        <row r="5">
          <cell r="I5" t="str">
            <v>FK</v>
          </cell>
        </row>
        <row r="6">
          <cell r="I6" t="str">
            <v>DO</v>
          </cell>
        </row>
        <row r="7">
          <cell r="I7" t="str">
            <v>PK</v>
          </cell>
        </row>
        <row r="8">
          <cell r="I8" t="str">
            <v>PT</v>
          </cell>
        </row>
        <row r="9">
          <cell r="I9" t="str">
            <v>DR</v>
          </cell>
        </row>
        <row r="10">
          <cell r="C10" t="str">
            <v>Nazwa kontrahenta</v>
          </cell>
          <cell r="I10" t="str">
            <v>DH</v>
          </cell>
        </row>
        <row r="11">
          <cell r="C11" t="str">
            <v>"BSG" Barbara Stefaniak Gnyp</v>
          </cell>
        </row>
        <row r="12">
          <cell r="C12" t="str">
            <v>"Cetnar" Hubert Jerzy Anysz</v>
          </cell>
        </row>
        <row r="13">
          <cell r="C13" t="str">
            <v>"Galinda - Kraina Alkos" Miron Kubacki</v>
          </cell>
        </row>
        <row r="14">
          <cell r="C14" t="str">
            <v>10 / 10 Consulting Sp. z o.o.</v>
          </cell>
        </row>
        <row r="15">
          <cell r="C15" t="str">
            <v>A.T. KEARNEY SP.Z O.O.</v>
          </cell>
        </row>
        <row r="16">
          <cell r="C16" t="str">
            <v>Active Plus sp. z.o.o.</v>
          </cell>
        </row>
        <row r="17">
          <cell r="C17" t="str">
            <v>adMobile Sp. z o.o.</v>
          </cell>
        </row>
        <row r="18">
          <cell r="C18" t="str">
            <v>Agencja Concept.Music.ART. S.C.</v>
          </cell>
        </row>
        <row r="19">
          <cell r="C19" t="str">
            <v>Agencja Rynku Energii S.A.</v>
          </cell>
        </row>
        <row r="20">
          <cell r="C20" t="str">
            <v>Akademia Rozwoju Biznesu Victoria Traiding Sp. z o. o.</v>
          </cell>
        </row>
        <row r="21">
          <cell r="C21" t="str">
            <v>Akademia Zarządzania Sp.z o.o.</v>
          </cell>
        </row>
        <row r="22">
          <cell r="C22" t="str">
            <v>AMBASADA REPUBLIKI LITEWSKIEJ W RP</v>
          </cell>
        </row>
        <row r="23">
          <cell r="C23" t="str">
            <v>AppGate</v>
          </cell>
        </row>
        <row r="24">
          <cell r="C24" t="str">
            <v>ARGRAF Sp. z o.o.</v>
          </cell>
        </row>
        <row r="25">
          <cell r="C25" t="str">
            <v>ART FM Sp z o.o.</v>
          </cell>
        </row>
        <row r="26">
          <cell r="C26" t="str">
            <v>ART MAX Przemysław Kaliski</v>
          </cell>
        </row>
        <row r="27">
          <cell r="C27" t="str">
            <v>A-TEAM RECRUITMENT Sp. z o.o.</v>
          </cell>
        </row>
        <row r="28">
          <cell r="C28" t="str">
            <v>AXEL SPRINGER POLSKA Sp. z o.o.</v>
          </cell>
        </row>
        <row r="29">
          <cell r="C29" t="str">
            <v>B4B Sp. z o.o.</v>
          </cell>
        </row>
        <row r="30">
          <cell r="C30" t="str">
            <v>BDO Numerica Sp. z o.o.</v>
          </cell>
        </row>
        <row r="31">
          <cell r="C31" t="str">
            <v>Biuro Inwestycji Kapitałowych</v>
          </cell>
        </row>
        <row r="32">
          <cell r="C32" t="str">
            <v xml:space="preserve">Biuro Podróży IMPULS - Piotrowski Jacyna sp. jawna </v>
          </cell>
        </row>
        <row r="33">
          <cell r="C33" t="str">
            <v>Biuro Studiów i Projektów Energetycznych ENERGOPROJEKT-KRAKÓW S.A.</v>
          </cell>
        </row>
        <row r="34">
          <cell r="C34" t="str">
            <v>BIURO STUDIÓW,PROJEKTÓW I REALIZACJI ENERGOPROJEKT-KATOWICE S.A.</v>
          </cell>
        </row>
        <row r="35">
          <cell r="C35" t="str">
            <v>BTL Point Group sp. z o.o.</v>
          </cell>
        </row>
        <row r="36">
          <cell r="C36" t="str">
            <v>Business Travel Club Sp.z o.o.</v>
          </cell>
        </row>
        <row r="37">
          <cell r="C37" t="str">
            <v>Caritas Diecezji Rzeszowskiej</v>
          </cell>
        </row>
        <row r="38">
          <cell r="C38" t="str">
            <v>Centrum Innowacji i Inwestycji Technologicznych Sp. z o.o</v>
          </cell>
        </row>
        <row r="39">
          <cell r="C39" t="str">
            <v>CENTRUM SZKOLENIA I REKREACJI ENERGETYK SP. Z O.O.</v>
          </cell>
        </row>
        <row r="40">
          <cell r="C40" t="str">
            <v>Chłopecki Sobolewska i WspólnicyDoradcy prawni Sp.k.</v>
          </cell>
        </row>
        <row r="41">
          <cell r="C41" t="str">
            <v>DARIUSZ CYRAN I PARTNERZY SPÓŁKA KOMANDYTOWA</v>
          </cell>
        </row>
        <row r="42">
          <cell r="C42" t="str">
            <v>DDW Doradca Danuta Krawczyk</v>
          </cell>
        </row>
        <row r="43">
          <cell r="C43" t="str">
            <v>DELOITTE ADVISORY Spółka z o.o.</v>
          </cell>
        </row>
        <row r="44">
          <cell r="C44" t="str">
            <v>DELOITTE AUDYT SP. Z O.O.</v>
          </cell>
        </row>
        <row r="45">
          <cell r="C45" t="str">
            <v>Deloitte Business Consulting S.A.</v>
          </cell>
        </row>
        <row r="46">
          <cell r="C46" t="str">
            <v>DELOITTE DORADZTWO PODATKOWE SP. Z O.O.</v>
          </cell>
        </row>
        <row r="47">
          <cell r="C47" t="str">
            <v>DEWEY BALLANTINE J.GRZESIAK, Ł.RĘDZ INIAK, M.GMAJ SP.KOMANDYT</v>
          </cell>
        </row>
        <row r="48">
          <cell r="C48" t="str">
            <v>DOMAŃSKI ZAKRZEWSKI PALINKA SPÓŁKA KOMANDYTOWA</v>
          </cell>
        </row>
        <row r="49">
          <cell r="C49" t="str">
            <v>Drzewiecki Tomaszek i Wspólnicy</v>
          </cell>
        </row>
        <row r="50">
          <cell r="C50" t="str">
            <v>DUN AND BRADSTREET POLAND SP.Z O.O.</v>
          </cell>
        </row>
        <row r="51">
          <cell r="C51" t="str">
            <v>ELMARK</v>
          </cell>
        </row>
        <row r="52">
          <cell r="C52" t="str">
            <v>ENERGO - TEL S.A.</v>
          </cell>
        </row>
        <row r="53">
          <cell r="C53" t="str">
            <v>Energy Management and Conservation Agency S.A.</v>
          </cell>
        </row>
        <row r="54">
          <cell r="C54" t="str">
            <v>EPC S.A.</v>
          </cell>
        </row>
        <row r="55">
          <cell r="C55" t="str">
            <v>Ernst &amp; Young Academy of Business Sp. z o.o.</v>
          </cell>
        </row>
        <row r="56">
          <cell r="C56" t="str">
            <v>Ernst &amp; Young Advisory Sp.z o.o.i Wspólnicy Sp.k.</v>
          </cell>
        </row>
        <row r="57">
          <cell r="C57" t="str">
            <v>Ernst &amp; Young Audit Sp. z o.o.</v>
          </cell>
        </row>
        <row r="58">
          <cell r="C58" t="str">
            <v>Ernst &amp; Young Bussiness Advisory sp z o.o.</v>
          </cell>
        </row>
        <row r="59">
          <cell r="C59" t="str">
            <v>Ernst &amp; Young Sp. z o.o.</v>
          </cell>
        </row>
        <row r="60">
          <cell r="C60" t="str">
            <v>ESTEEM Brandt Strategies</v>
          </cell>
        </row>
        <row r="61">
          <cell r="C61" t="str">
            <v>EVENT MORE S.C.</v>
          </cell>
        </row>
        <row r="62">
          <cell r="C62" t="str">
            <v>EXATEL S.A.</v>
          </cell>
        </row>
        <row r="63">
          <cell r="C63" t="str">
            <v>FUN HUNTERS Sp. z o.o.</v>
          </cell>
        </row>
        <row r="64">
          <cell r="C64" t="str">
            <v>Fundacja GOTOWI-START!</v>
          </cell>
        </row>
        <row r="65">
          <cell r="C65" t="str">
            <v>Fundacja Instytut Sobieskiego</v>
          </cell>
        </row>
        <row r="66">
          <cell r="C66" t="str">
            <v>Fundacja Instytut Studiów Wschodnich</v>
          </cell>
        </row>
        <row r="67">
          <cell r="C67" t="str">
            <v>Fundacja na rzecz wspierania szachów w Warszawie</v>
          </cell>
        </row>
        <row r="68">
          <cell r="C68" t="str">
            <v>Fundacja Novo Millenio</v>
          </cell>
        </row>
        <row r="69">
          <cell r="C69" t="str">
            <v>Fundacja Pomocy Dzieciom Specjalnej Troski, Inwalidom i Emerytom Branży Transportowej</v>
          </cell>
        </row>
        <row r="70">
          <cell r="C70" t="str">
            <v>Fundacja S.O.S. Obrony Poczętego Życia</v>
          </cell>
        </row>
        <row r="71">
          <cell r="C71" t="str">
            <v>Fundacja Szpitala Wojewódzkiego im. Papieża Jana Pawła II</v>
          </cell>
        </row>
        <row r="72">
          <cell r="C72" t="str">
            <v>Gastro-Tour-Serwis</v>
          </cell>
        </row>
        <row r="73">
          <cell r="C73" t="str">
            <v>GEOLAND Consulting International Sp. z o.o.</v>
          </cell>
        </row>
        <row r="74">
          <cell r="C74" t="str">
            <v>GKS "Bełchatów" SSA</v>
          </cell>
        </row>
        <row r="75">
          <cell r="C75" t="str">
            <v>GRUPA DORADCZA SIENNA SP Z O.O.</v>
          </cell>
        </row>
        <row r="76">
          <cell r="C76" t="str">
            <v>Grupa Doradcza Sienna Sp. z o.o.</v>
          </cell>
        </row>
        <row r="77">
          <cell r="C77" t="str">
            <v>GRUPA WYDAWNICZA INFOR S.A.</v>
          </cell>
        </row>
        <row r="78">
          <cell r="C78" t="str">
            <v>H.L.G. - Doradztwo s.c.</v>
          </cell>
        </row>
        <row r="79">
          <cell r="C79" t="str">
            <v>HANSEATICUS Przemysław Rey</v>
          </cell>
        </row>
        <row r="80">
          <cell r="C80" t="str">
            <v>Heads Advertising</v>
          </cell>
        </row>
        <row r="81">
          <cell r="C81" t="str">
            <v>Hewitt Associates Sp.z o.o.</v>
          </cell>
        </row>
        <row r="82">
          <cell r="C82" t="str">
            <v>HEWLETT PACKARD POLSKA SP Z O.O.</v>
          </cell>
        </row>
        <row r="83">
          <cell r="C83" t="str">
            <v>Hotel "TWINS" Tusiński Mikołaj</v>
          </cell>
        </row>
        <row r="84">
          <cell r="C84" t="str">
            <v>HYDROENERGO - Władysław Kiełbasa</v>
          </cell>
        </row>
        <row r="85">
          <cell r="C85" t="str">
            <v>IDS Scheer Polska Sp. z o.o.</v>
          </cell>
        </row>
        <row r="86">
          <cell r="C86" t="str">
            <v>Instytut Audytu Mediowego Sp. z o.o.</v>
          </cell>
        </row>
        <row r="87">
          <cell r="C87" t="str">
            <v>Instytut Zamówień Publicznych Audyt i Doradztwo Sp.z o.o.</v>
          </cell>
        </row>
        <row r="88">
          <cell r="C88" t="str">
            <v>ITS Education Sp. z o.o.</v>
          </cell>
        </row>
        <row r="89">
          <cell r="C89" t="str">
            <v>Kancelaraia Prawnicza EVICO J. Tomaszewska, B. Tomaszewski Sp.j.</v>
          </cell>
        </row>
        <row r="90">
          <cell r="C90" t="str">
            <v>Kancelaria Adwokacka Adwokata Marka Gajka</v>
          </cell>
        </row>
        <row r="91">
          <cell r="C91" t="str">
            <v>Kancelaria Prawna Piszcz i Wspólnicy Sp. k.</v>
          </cell>
        </row>
        <row r="92">
          <cell r="C92" t="str">
            <v>Kancelaria Prawnicza Energo-Lex S.C.</v>
          </cell>
        </row>
        <row r="93">
          <cell r="C93" t="str">
            <v>Kancelaria prawnicza Wierciński, Kwieciński, Baehr spółka komandytowa</v>
          </cell>
        </row>
        <row r="94">
          <cell r="C94" t="str">
            <v>Kancelaria Prof. Marek Wierzbowski Radcowie Prawni Spółka partnerska</v>
          </cell>
        </row>
        <row r="95">
          <cell r="C95" t="str">
            <v>Kancelaria Radców Prawnych i Adwokatów dr Głuchowski, dr Jedliński, dr Rodziewicz, Adw. Zwara i Partnerzy Spółka Partnerska</v>
          </cell>
        </row>
        <row r="96">
          <cell r="C96" t="str">
            <v>KATOLICKIE STOWARZYSZENIE SPORTOWE RZECZPOSPOLITEJ POLSKIEJ</v>
          </cell>
        </row>
        <row r="97">
          <cell r="C97" t="str">
            <v>KKS Turów Zgorzelec S.A.</v>
          </cell>
        </row>
        <row r="98">
          <cell r="C98" t="str">
            <v>Klub Piłki Siatkowej SKRA Bełchatów S.S.A.</v>
          </cell>
        </row>
        <row r="99">
          <cell r="C99" t="str">
            <v>Koło nr 20 "Energetyków Warszawy"</v>
          </cell>
        </row>
        <row r="100">
          <cell r="C100" t="str">
            <v>Konińskie Ludowe Towarzystwo Cyklistów</v>
          </cell>
        </row>
        <row r="101">
          <cell r="C101" t="str">
            <v>KPMG Advisory spółko z ograniczoną odpowiedzialnością spółka komandytowa</v>
          </cell>
        </row>
        <row r="102">
          <cell r="C102" t="str">
            <v>KPMG SP. Z O.O.</v>
          </cell>
        </row>
        <row r="103">
          <cell r="C103" t="str">
            <v>Legend HRA</v>
          </cell>
        </row>
        <row r="104">
          <cell r="C104" t="str">
            <v>Legra Sp. z o.o.</v>
          </cell>
        </row>
        <row r="105">
          <cell r="C105" t="str">
            <v>Leśnodorski, Ślusarek i Współnicy sp.k.</v>
          </cell>
        </row>
        <row r="106">
          <cell r="C106" t="str">
            <v>Linklaters T. Komosa i Wspólnicy Sp.k.</v>
          </cell>
        </row>
        <row r="107">
          <cell r="C107" t="str">
            <v>LUBZEL Dystrybucja Sp.z o.o.</v>
          </cell>
        </row>
        <row r="108">
          <cell r="C108" t="str">
            <v>M.FURTEK I WSPÓLNICY KANCELARIA PRAWNICZA SP. JAWNA</v>
          </cell>
        </row>
        <row r="109">
          <cell r="C109" t="str">
            <v>MANDARINE SP. Z O.O.</v>
          </cell>
        </row>
        <row r="110">
          <cell r="C110" t="str">
            <v>Mazowiecka Fundacja Rozwoju Regionalnego</v>
          </cell>
        </row>
        <row r="111">
          <cell r="C111" t="str">
            <v>Mazurskie Centrum Kongresowo-Wypoczynkowe "ZAMEK RYN" Sp. z o.o.</v>
          </cell>
        </row>
        <row r="112">
          <cell r="C112" t="str">
            <v>McKinsey&amp;Company Poland Sp z o.o.</v>
          </cell>
        </row>
        <row r="113">
          <cell r="C113" t="str">
            <v>Mediafocus Warszawa Sp. z o.o.</v>
          </cell>
          <cell r="I113" t="str">
            <v>TR</v>
          </cell>
        </row>
        <row r="114">
          <cell r="C114" t="str">
            <v>Międzynarodowa Fundacja Rozwoju Rynku Kapitałowego i Przekształceń Własnościowych w Rzeczypospolitej Polskiej - Centrum Prywatyzacji</v>
          </cell>
          <cell r="I114" t="str">
            <v>BS</v>
          </cell>
        </row>
        <row r="115">
          <cell r="C115" t="str">
            <v>MIGUT MEDIA S.A</v>
          </cell>
          <cell r="I115" t="str">
            <v>BZ</v>
          </cell>
        </row>
        <row r="116">
          <cell r="C116" t="str">
            <v>MillwardBrown SMG/KRC</v>
          </cell>
          <cell r="I116" t="str">
            <v>GM</v>
          </cell>
        </row>
        <row r="117">
          <cell r="C117" t="str">
            <v>Młodzieżowy Ośrodek Socjoterapii w Bogatyni</v>
          </cell>
          <cell r="I117" t="str">
            <v>DS</v>
          </cell>
        </row>
        <row r="118">
          <cell r="C118" t="str">
            <v>MPG Sp. z o.o.</v>
          </cell>
          <cell r="I118" t="str">
            <v>ZK</v>
          </cell>
        </row>
        <row r="119">
          <cell r="C119" t="str">
            <v>Multimedia Communications Sp. z o.o.</v>
          </cell>
        </row>
        <row r="120">
          <cell r="C120" t="str">
            <v>NBS Public Relations Sp. z o.o.</v>
          </cell>
        </row>
        <row r="121">
          <cell r="C121" t="str">
            <v>NEMU Sp. z o.o.</v>
          </cell>
        </row>
        <row r="122">
          <cell r="C122" t="str">
            <v>OMNI Instytut Piotra Wujca</v>
          </cell>
        </row>
        <row r="123">
          <cell r="C123" t="str">
            <v>ORACLE-POLSKA Sp. z o.o.</v>
          </cell>
        </row>
        <row r="124">
          <cell r="C124" t="str">
            <v>Ośrodek Informacji Naukowo-Technicznej i Ekonomicznej</v>
          </cell>
        </row>
        <row r="125">
          <cell r="C125" t="str">
            <v>Ośrodek Szkoleniowy Międzynarodowego Forum Kobiet</v>
          </cell>
        </row>
        <row r="126">
          <cell r="C126" t="str">
            <v>Parafia rzymskokatolicka Świętego Krzyża w Warszawie</v>
          </cell>
        </row>
        <row r="127">
          <cell r="C127" t="str">
            <v>Pempel Studio</v>
          </cell>
        </row>
        <row r="128">
          <cell r="C128" t="str">
            <v>Piotr Skalmierski</v>
          </cell>
        </row>
        <row r="129">
          <cell r="C129" t="str">
            <v>Platforma Mediowa Point Group S.A.</v>
          </cell>
        </row>
        <row r="130">
          <cell r="C130" t="str">
            <v>Point of View sp. jawna</v>
          </cell>
        </row>
        <row r="131">
          <cell r="C131" t="str">
            <v>Politechnika Gdańska, Wydział Elektrotechniki i Automatyki</v>
          </cell>
        </row>
        <row r="132">
          <cell r="C132" t="str">
            <v>POLKOMTEL SA</v>
          </cell>
        </row>
        <row r="133">
          <cell r="C133" t="str">
            <v>Polskie Górnictwo Naftowe i Gazownictwo</v>
          </cell>
        </row>
        <row r="134">
          <cell r="C134" t="str">
            <v>Polskie Towarzystwo Wspierania Przedsiębiorczości Sp. z o.o.</v>
          </cell>
        </row>
        <row r="135">
          <cell r="C135" t="str">
            <v>PricewaterhouseCoopers Sp.z o.o.</v>
          </cell>
        </row>
        <row r="136">
          <cell r="C136" t="str">
            <v>Prime Communication Sp. z o.o.</v>
          </cell>
        </row>
        <row r="137">
          <cell r="C137" t="str">
            <v>PROCESY INWESTYCYJNE S.A.</v>
          </cell>
        </row>
        <row r="138">
          <cell r="C138" t="str">
            <v>Profile-dialog Sp.z o.o.</v>
          </cell>
        </row>
        <row r="139">
          <cell r="C139" t="str">
            <v>PSE Centrum Sp. z o. o.</v>
          </cell>
        </row>
        <row r="140">
          <cell r="C140" t="str">
            <v>PSE Południe Sp. z o. o.</v>
          </cell>
        </row>
        <row r="141">
          <cell r="C141" t="str">
            <v>PSE Północ Sp. z o. o.</v>
          </cell>
        </row>
        <row r="142">
          <cell r="C142" t="str">
            <v>PSE Serwis Sp. z o. o.</v>
          </cell>
        </row>
        <row r="143">
          <cell r="C143" t="str">
            <v>PSE Wschód Sp. z o. o.</v>
          </cell>
        </row>
        <row r="144">
          <cell r="C144" t="str">
            <v>PSE Zachód Sp. z o. o.</v>
          </cell>
        </row>
        <row r="145">
          <cell r="C145" t="str">
            <v>PSE-INFO Sp. z o.o.</v>
          </cell>
        </row>
        <row r="146">
          <cell r="C146" t="str">
            <v>PSE-OPERATOR SPÓŁKA AKCYJNA</v>
          </cell>
        </row>
        <row r="147">
          <cell r="C147" t="str">
            <v>PZH Bartimpex S.A.</v>
          </cell>
        </row>
        <row r="148">
          <cell r="C148" t="str">
            <v>Rączkowski &amp; Kwieciński Adwokaci Sp. p.</v>
          </cell>
        </row>
        <row r="149">
          <cell r="C149" t="str">
            <v>Safe Computing SP. z o.o.</v>
          </cell>
        </row>
        <row r="150">
          <cell r="C150" t="str">
            <v>Salans D. Oleszczuk Kancelaria prawna Sp. komandytowa</v>
          </cell>
        </row>
        <row r="151">
          <cell r="C151" t="str">
            <v>SAP POLSKA Sp. z o.o.</v>
          </cell>
        </row>
        <row r="152">
          <cell r="C152" t="str">
            <v>SKRA Bełchatów SSA</v>
          </cell>
        </row>
        <row r="153">
          <cell r="C153" t="str">
            <v>SMG/KRC Poland Media S.A.</v>
          </cell>
        </row>
        <row r="154">
          <cell r="C154" t="str">
            <v>Sołtysiński &amp; Szlęzak Kancelaria Radców Prawnych i Adwokatów spółka komandytowa</v>
          </cell>
        </row>
        <row r="155">
          <cell r="C155" t="str">
            <v>Specjalny Ośrodek Szkolno - Wychowawczy w Opactwie</v>
          </cell>
        </row>
        <row r="156">
          <cell r="C156" t="str">
            <v>Specjalny Ośrodek Szkolno-Wychowawczy w Zgorzelcu</v>
          </cell>
        </row>
        <row r="157">
          <cell r="C157" t="str">
            <v>SPÓŁKA DORADZTWA PODATKOWEG0 MANUGIEWICZ, TRZASKA I WSPÓLNICY SP Z OO</v>
          </cell>
        </row>
        <row r="158">
          <cell r="C158" t="str">
            <v>SQUIRE SANDERS WIATER SP.K.</v>
          </cell>
        </row>
        <row r="159">
          <cell r="C159" t="str">
            <v>STOŁECZNA FUNDACJA DLA DZIECI Z CUKRZYCĄ</v>
          </cell>
        </row>
        <row r="160">
          <cell r="C160" t="str">
            <v>STOWARZYSZENIE ELEKTRYKÓW POLSKICH O/WARSZAWA</v>
          </cell>
        </row>
        <row r="161">
          <cell r="C161" t="str">
            <v>STOWARZYSZENIE INTEGRACJA I WSPÓŁPRACA</v>
          </cell>
        </row>
        <row r="162">
          <cell r="C162" t="str">
            <v>Stowarzyszenie Krzewienia Kultury Medialnej im. Jana Pawła II</v>
          </cell>
        </row>
        <row r="163">
          <cell r="C163" t="str">
            <v>Stowarzyszenie Rodziców i Przyjaciół Osób Niepełnosprawnych "PRZYSTAŃ" w Bełchatowie</v>
          </cell>
        </row>
        <row r="164">
          <cell r="C164" t="str">
            <v>Sulima - Grabowska - Sirzputowska Biuro Patentów i Znaków Towarowych Sp. j.</v>
          </cell>
        </row>
        <row r="165">
          <cell r="C165" t="str">
            <v>Szkolny Klub Sportowy "Konstancin"</v>
          </cell>
        </row>
        <row r="166">
          <cell r="C166" t="str">
            <v>Talents Polska Sp. z o.o.</v>
          </cell>
        </row>
        <row r="167">
          <cell r="C167" t="str">
            <v>Towarzystwo Obrotu Energią</v>
          </cell>
        </row>
        <row r="168">
          <cell r="C168" t="str">
            <v>VISANE Krzysztof Wasielewski</v>
          </cell>
        </row>
        <row r="169">
          <cell r="C169" t="str">
            <v>WARDYŃSKI I WSPÓLNICY SPÓŁKA JAWNA</v>
          </cell>
        </row>
        <row r="170">
          <cell r="C170" t="str">
            <v>White Line Expo Oliwia Disendorf-Krause</v>
          </cell>
        </row>
        <row r="171">
          <cell r="C171" t="str">
            <v>WOLA-INFO S.A.</v>
          </cell>
        </row>
        <row r="172">
          <cell r="C172" t="str">
            <v>Wydawnictwo ART Iwona Figler i Krzysztof Fiegler Sj.</v>
          </cell>
        </row>
        <row r="173">
          <cell r="C173" t="str">
            <v>Xandu Przemysław Kwasiborski</v>
          </cell>
        </row>
        <row r="174">
          <cell r="C174" t="str">
            <v>Zakład Energetyczny Warszawa Teren Spółka Akcyjna</v>
          </cell>
        </row>
        <row r="175">
          <cell r="C175" t="str">
            <v>ZWIĄZEK KOMBATANTÓW RP I BYŁYCH WIĘŹNIÓW POLITYCZNYCH KOŁO NR 20 ENERGETYKÓW WARSZAWY</v>
          </cell>
        </row>
        <row r="176">
          <cell r="C176" t="str">
            <v>KPMG Tax Sp.z o.o. Spółka Doradztwa Podatkowego</v>
          </cell>
        </row>
        <row r="177">
          <cell r="C177" t="str">
            <v>ESPRIT CONSULTING KRZYSZTOF OPALIŃSKI</v>
          </cell>
        </row>
        <row r="178">
          <cell r="C178" t="str">
            <v>ZEWT - Dystrybucja Sp. z o.o.</v>
          </cell>
        </row>
        <row r="179">
          <cell r="C179" t="str">
            <v>PWC POLSKA SP. Z O.O. PRICE WATERHOUSE COOPERS</v>
          </cell>
        </row>
        <row r="180">
          <cell r="C180" t="str">
            <v>SLG Thomas International Poland</v>
          </cell>
        </row>
        <row r="181">
          <cell r="C181" t="str">
            <v>Dewey LeBoeuf Grzesiak spółka komandytowa</v>
          </cell>
        </row>
        <row r="182">
          <cell r="C182" t="str">
            <v>Kancelaria Radcy Prawnego Jerzy Jankowski - radca prawny</v>
          </cell>
        </row>
        <row r="183">
          <cell r="C183" t="str">
            <v>Inforys S.A.</v>
          </cell>
        </row>
        <row r="184">
          <cell r="C184" t="str">
            <v>Lovells H. Seisler Spółka Komandytowa,</v>
          </cell>
        </row>
        <row r="185">
          <cell r="C185" t="str">
            <v>-</v>
          </cell>
        </row>
        <row r="186">
          <cell r="C186" t="str">
            <v>-</v>
          </cell>
        </row>
        <row r="187">
          <cell r="C187" t="str">
            <v>-</v>
          </cell>
        </row>
        <row r="188">
          <cell r="C188" t="str">
            <v>-</v>
          </cell>
        </row>
        <row r="189">
          <cell r="C189" t="str">
            <v>-</v>
          </cell>
        </row>
        <row r="190">
          <cell r="C190" t="str">
            <v>-</v>
          </cell>
        </row>
        <row r="191">
          <cell r="C191" t="str">
            <v>-</v>
          </cell>
        </row>
        <row r="192">
          <cell r="C192" t="str">
            <v>-</v>
          </cell>
        </row>
        <row r="193">
          <cell r="C193" t="str">
            <v>-</v>
          </cell>
        </row>
        <row r="194">
          <cell r="C194" t="str">
            <v>-</v>
          </cell>
        </row>
        <row r="195">
          <cell r="C195" t="str">
            <v>-</v>
          </cell>
        </row>
        <row r="196">
          <cell r="C196" t="str">
            <v>-</v>
          </cell>
        </row>
        <row r="197">
          <cell r="C197" t="str">
            <v>-</v>
          </cell>
        </row>
        <row r="198">
          <cell r="C198" t="str">
            <v>-</v>
          </cell>
        </row>
        <row r="199">
          <cell r="C199" t="str">
            <v>-</v>
          </cell>
        </row>
      </sheetData>
      <sheetData sheetId="7" refreshError="1">
        <row r="2">
          <cell r="F2" t="str">
            <v>CZ82001</v>
          </cell>
          <cell r="I2">
            <v>400010</v>
          </cell>
          <cell r="J2" t="str">
            <v>Amortyzacja - Nieruchomości</v>
          </cell>
        </row>
        <row r="3">
          <cell r="I3">
            <v>400110</v>
          </cell>
          <cell r="J3" t="str">
            <v>Amortyzacja - Budynki</v>
          </cell>
        </row>
        <row r="4">
          <cell r="I4">
            <v>400210</v>
          </cell>
          <cell r="J4" t="str">
            <v>Amortyzacja - Budowle</v>
          </cell>
        </row>
        <row r="5">
          <cell r="I5">
            <v>400310</v>
          </cell>
          <cell r="J5" t="str">
            <v>Amortyzacja - Kotły i maszyny Energetyczne</v>
          </cell>
        </row>
        <row r="6">
          <cell r="I6">
            <v>400410</v>
          </cell>
          <cell r="J6" t="str">
            <v>Amortyzacja-Masz, urz.i aparaty ogól.stosow.</v>
          </cell>
        </row>
        <row r="7">
          <cell r="I7">
            <v>400510</v>
          </cell>
          <cell r="J7" t="str">
            <v>Amortyzacja-Maszyny, urządzenia i ap.specj.</v>
          </cell>
        </row>
        <row r="8">
          <cell r="I8">
            <v>400610</v>
          </cell>
          <cell r="J8" t="str">
            <v>Amortyzacja - Urządzenia techniczne</v>
          </cell>
        </row>
        <row r="9">
          <cell r="I9">
            <v>400710</v>
          </cell>
          <cell r="J9" t="str">
            <v>Amortyzacja-Środki transportu</v>
          </cell>
        </row>
        <row r="10">
          <cell r="I10">
            <v>400810</v>
          </cell>
          <cell r="J10" t="str">
            <v>Amortyzacja-Narzędzia przyrz.ruchomości i wypos.</v>
          </cell>
        </row>
        <row r="11">
          <cell r="I11">
            <v>401010</v>
          </cell>
          <cell r="J11" t="str">
            <v>Amortyzacja Wartości niematerialne i prawne</v>
          </cell>
        </row>
        <row r="12">
          <cell r="I12">
            <v>410110</v>
          </cell>
          <cell r="J12" t="str">
            <v>Materiały techniczne</v>
          </cell>
        </row>
        <row r="13">
          <cell r="I13">
            <v>410119</v>
          </cell>
          <cell r="J13" t="str">
            <v>Materiały techniczne NKUP</v>
          </cell>
        </row>
        <row r="14">
          <cell r="I14">
            <v>410210</v>
          </cell>
          <cell r="J14" t="str">
            <v>Paliwo</v>
          </cell>
        </row>
        <row r="15">
          <cell r="I15">
            <v>410310</v>
          </cell>
          <cell r="J15" t="str">
            <v>Środki czystości i ochrony zdrowia</v>
          </cell>
        </row>
        <row r="16">
          <cell r="I16">
            <v>410320</v>
          </cell>
          <cell r="J16" t="str">
            <v>Materiały BHP</v>
          </cell>
        </row>
        <row r="17">
          <cell r="I17">
            <v>410410</v>
          </cell>
          <cell r="J17" t="str">
            <v>Materiały biurowe</v>
          </cell>
        </row>
        <row r="18">
          <cell r="I18">
            <v>410420</v>
          </cell>
          <cell r="J18" t="str">
            <v>Materiały dot wyposażenia biur i warsztatów</v>
          </cell>
        </row>
        <row r="19">
          <cell r="I19">
            <v>410430</v>
          </cell>
          <cell r="J19" t="str">
            <v>Książki i publikacje</v>
          </cell>
        </row>
        <row r="20">
          <cell r="I20">
            <v>410440</v>
          </cell>
          <cell r="J20" t="str">
            <v>Materiały informacyjno-pomocnicze</v>
          </cell>
        </row>
        <row r="21">
          <cell r="I21">
            <v>410450</v>
          </cell>
          <cell r="J21" t="str">
            <v>Prenumerata czasopism</v>
          </cell>
        </row>
        <row r="22">
          <cell r="I22">
            <v>410460</v>
          </cell>
          <cell r="J22" t="str">
            <v>Materiały na potrzeby reprezentacji i reklamy</v>
          </cell>
        </row>
        <row r="23">
          <cell r="I23">
            <v>410469</v>
          </cell>
          <cell r="J23" t="str">
            <v>Materiały na potrz.reprezen.i reklamy-NKUP</v>
          </cell>
        </row>
        <row r="24">
          <cell r="I24">
            <v>410670</v>
          </cell>
          <cell r="J24" t="str">
            <v>Pozostałe materiały</v>
          </cell>
        </row>
        <row r="25">
          <cell r="I25">
            <v>410700</v>
          </cell>
          <cell r="J25" t="str">
            <v>Niskocenne przedmioty w użytkowaniu</v>
          </cell>
        </row>
        <row r="26">
          <cell r="I26">
            <v>420110</v>
          </cell>
          <cell r="J26" t="str">
            <v>Różnice bilansowe</v>
          </cell>
        </row>
        <row r="27">
          <cell r="I27">
            <v>420210</v>
          </cell>
          <cell r="J27" t="str">
            <v>Zużycie energii na potrzeby techn.stacji NN</v>
          </cell>
        </row>
        <row r="28">
          <cell r="I28">
            <v>420220</v>
          </cell>
          <cell r="J28" t="str">
            <v>Zużycie en.el.na potrzeby technol.- pozost</v>
          </cell>
        </row>
        <row r="29">
          <cell r="I29">
            <v>420310</v>
          </cell>
          <cell r="J29" t="str">
            <v>Pozostałe zużycie energii elektrycznej</v>
          </cell>
        </row>
        <row r="30">
          <cell r="I30">
            <v>420320</v>
          </cell>
          <cell r="J30" t="str">
            <v>Centralne ogrzewanie</v>
          </cell>
        </row>
        <row r="31">
          <cell r="I31">
            <v>420330</v>
          </cell>
          <cell r="J31" t="str">
            <v>Woda</v>
          </cell>
        </row>
        <row r="32">
          <cell r="I32">
            <v>420340</v>
          </cell>
          <cell r="J32" t="str">
            <v>Pozostała energia</v>
          </cell>
        </row>
        <row r="33">
          <cell r="I33">
            <v>430110</v>
          </cell>
          <cell r="J33" t="str">
            <v>Remonty obiektów sieci przesyłowych planowe</v>
          </cell>
        </row>
        <row r="34">
          <cell r="I34">
            <v>430120</v>
          </cell>
          <cell r="J34" t="str">
            <v>Remonty obiektów sieci przesył.pozaplanowe</v>
          </cell>
        </row>
        <row r="35">
          <cell r="I35">
            <v>430130</v>
          </cell>
          <cell r="J35" t="str">
            <v>Pozostałe remonty</v>
          </cell>
        </row>
        <row r="36">
          <cell r="I36">
            <v>430210</v>
          </cell>
          <cell r="J36" t="str">
            <v>Obsługa ruchowa stacji przesyłowych</v>
          </cell>
        </row>
        <row r="37">
          <cell r="I37">
            <v>430220</v>
          </cell>
          <cell r="J37" t="str">
            <v>Pozostałe usługi eksploatacyjne</v>
          </cell>
        </row>
        <row r="38">
          <cell r="I38">
            <v>430230</v>
          </cell>
          <cell r="J38" t="str">
            <v>Przeglądy obiektów sieci przesyłowej planowe</v>
          </cell>
        </row>
        <row r="39">
          <cell r="I39">
            <v>430240</v>
          </cell>
          <cell r="J39" t="str">
            <v>Przeglądy obiektów sieci przesyłowej pozaplanowe</v>
          </cell>
        </row>
        <row r="40">
          <cell r="I40">
            <v>430250</v>
          </cell>
          <cell r="J40" t="str">
            <v>Oględziny obiektów sieci przesyłowej planowe</v>
          </cell>
        </row>
        <row r="41">
          <cell r="I41">
            <v>430260</v>
          </cell>
          <cell r="J41" t="str">
            <v>Oględziny obiektów sieci przesyłowej pozaplanowe</v>
          </cell>
        </row>
        <row r="42">
          <cell r="I42">
            <v>430270</v>
          </cell>
          <cell r="J42" t="str">
            <v>Utrzymanie terenu</v>
          </cell>
        </row>
        <row r="43">
          <cell r="I43">
            <v>430280</v>
          </cell>
          <cell r="J43" t="str">
            <v>Diagnostyka</v>
          </cell>
        </row>
        <row r="44">
          <cell r="I44">
            <v>430290</v>
          </cell>
          <cell r="J44" t="str">
            <v>Opłaty za gotowość, koordynacje. wył.</v>
          </cell>
        </row>
        <row r="45">
          <cell r="I45">
            <v>440110</v>
          </cell>
          <cell r="J45" t="str">
            <v>Usługi transportowe</v>
          </cell>
        </row>
        <row r="46">
          <cell r="I46">
            <v>440119</v>
          </cell>
          <cell r="J46" t="str">
            <v>Usługi transportowe - NKUP</v>
          </cell>
        </row>
        <row r="47">
          <cell r="I47">
            <v>440120</v>
          </cell>
          <cell r="J47" t="str">
            <v>Opłaty parkingowe i inne usł. związane z transp.</v>
          </cell>
        </row>
        <row r="48">
          <cell r="I48">
            <v>440129</v>
          </cell>
          <cell r="J48" t="str">
            <v>Opłaty parkingowe i inne usł. związane z transp. NKUP-y</v>
          </cell>
        </row>
        <row r="49">
          <cell r="I49">
            <v>440210</v>
          </cell>
          <cell r="J49" t="str">
            <v>Usługi telekomunikacyjne</v>
          </cell>
        </row>
        <row r="50">
          <cell r="I50">
            <v>440220</v>
          </cell>
          <cell r="J50" t="str">
            <v>Dzierżawa łączy telekomunikacyjnych</v>
          </cell>
        </row>
        <row r="51">
          <cell r="I51">
            <v>440230</v>
          </cell>
          <cell r="J51" t="str">
            <v>Usługi pocztowe</v>
          </cell>
        </row>
        <row r="52">
          <cell r="I52">
            <v>440310</v>
          </cell>
          <cell r="J52" t="str">
            <v>Ekspertyzy</v>
          </cell>
        </row>
        <row r="53">
          <cell r="I53">
            <v>440320</v>
          </cell>
          <cell r="J53" t="str">
            <v>Usługi consultingowe KUP</v>
          </cell>
        </row>
        <row r="54">
          <cell r="I54">
            <v>440329</v>
          </cell>
          <cell r="J54" t="str">
            <v>Usługi consultingowe - NKUP</v>
          </cell>
        </row>
        <row r="55">
          <cell r="I55">
            <v>440330</v>
          </cell>
          <cell r="J55" t="str">
            <v>Usługi prawne</v>
          </cell>
        </row>
        <row r="56">
          <cell r="I56">
            <v>440339</v>
          </cell>
          <cell r="J56" t="str">
            <v>Usługi prawne, NKUP</v>
          </cell>
        </row>
        <row r="57">
          <cell r="I57">
            <v>440340</v>
          </cell>
          <cell r="J57" t="str">
            <v>Usługi informatyczne</v>
          </cell>
        </row>
        <row r="58">
          <cell r="I58">
            <v>440350</v>
          </cell>
          <cell r="J58" t="str">
            <v>Usł.informatyczne-oprogramow.nie zalicz.do WNiP</v>
          </cell>
        </row>
        <row r="59">
          <cell r="I59">
            <v>440360</v>
          </cell>
          <cell r="J59" t="str">
            <v>Usługi kontrolno-pomiarowe</v>
          </cell>
        </row>
        <row r="60">
          <cell r="I60">
            <v>440370</v>
          </cell>
          <cell r="J60" t="str">
            <v>Prace badawczo - rozwojowe</v>
          </cell>
        </row>
        <row r="61">
          <cell r="I61">
            <v>440380</v>
          </cell>
          <cell r="J61" t="str">
            <v>Usługi informacyjne</v>
          </cell>
        </row>
        <row r="62">
          <cell r="I62">
            <v>440390</v>
          </cell>
          <cell r="J62" t="str">
            <v>Ogł.nie zwią.z rekla</v>
          </cell>
        </row>
        <row r="63">
          <cell r="I63">
            <v>440399</v>
          </cell>
          <cell r="J63" t="str">
            <v>Ogł. nie zw.z reklam</v>
          </cell>
        </row>
        <row r="64">
          <cell r="I64">
            <v>440410</v>
          </cell>
          <cell r="J64" t="str">
            <v>Czynsze i dzierżawy</v>
          </cell>
        </row>
        <row r="65">
          <cell r="I65">
            <v>440420</v>
          </cell>
          <cell r="J65" t="str">
            <v>Usługi w zakresie utrzymania czystości</v>
          </cell>
        </row>
        <row r="66">
          <cell r="I66">
            <v>440430</v>
          </cell>
          <cell r="J66" t="str">
            <v>Ochrona mienia</v>
          </cell>
        </row>
        <row r="67">
          <cell r="I67">
            <v>440510</v>
          </cell>
          <cell r="J67" t="str">
            <v>Opłaty tranzytowe w obrocie krajowym</v>
          </cell>
        </row>
        <row r="68">
          <cell r="I68">
            <v>440520</v>
          </cell>
          <cell r="J68" t="str">
            <v>Opłaty tranzytowe w obrocie zagranicznym</v>
          </cell>
        </row>
        <row r="69">
          <cell r="I69">
            <v>440530</v>
          </cell>
          <cell r="J69" t="str">
            <v>Prowizje eksportowe</v>
          </cell>
        </row>
        <row r="70">
          <cell r="I70">
            <v>440540</v>
          </cell>
          <cell r="J70" t="str">
            <v>Prowizje importowe</v>
          </cell>
        </row>
        <row r="71">
          <cell r="I71">
            <v>440550</v>
          </cell>
          <cell r="J71" t="str">
            <v>Usługi i prowizje bankowe</v>
          </cell>
        </row>
        <row r="72">
          <cell r="I72">
            <v>440560</v>
          </cell>
          <cell r="J72" t="str">
            <v>Prowizje PSE-Electra</v>
          </cell>
        </row>
        <row r="73">
          <cell r="I73">
            <v>440610</v>
          </cell>
          <cell r="J73" t="str">
            <v>Usługi poligraficzne i związane z poligrafią</v>
          </cell>
        </row>
        <row r="74">
          <cell r="I74">
            <v>440619</v>
          </cell>
          <cell r="J74" t="str">
            <v>Usługi poligraficzne i związane z poligrafią</v>
          </cell>
        </row>
        <row r="75">
          <cell r="I75">
            <v>440620</v>
          </cell>
          <cell r="J75" t="str">
            <v>Tłumaczenia</v>
          </cell>
        </row>
        <row r="76">
          <cell r="I76">
            <v>440630</v>
          </cell>
          <cell r="J76" t="str">
            <v>Ochrona meteorologiczna i komunikaty radiowe</v>
          </cell>
        </row>
        <row r="77">
          <cell r="I77">
            <v>440640</v>
          </cell>
          <cell r="J77" t="str">
            <v>Usługi reklamowe</v>
          </cell>
        </row>
        <row r="78">
          <cell r="I78">
            <v>440650</v>
          </cell>
          <cell r="J78" t="str">
            <v>Usługi administratorskie</v>
          </cell>
        </row>
        <row r="79">
          <cell r="I79">
            <v>440660</v>
          </cell>
          <cell r="J79" t="str">
            <v>Usługi archiwow, niszcz.dokum.i prowadz.k.inwent.</v>
          </cell>
        </row>
        <row r="80">
          <cell r="I80">
            <v>440670</v>
          </cell>
          <cell r="J80" t="str">
            <v>Usługi w zakresie składowania i gospodarki mater.</v>
          </cell>
        </row>
        <row r="81">
          <cell r="I81">
            <v>440680</v>
          </cell>
          <cell r="J81" t="str">
            <v>Usługi związane z obsługą współpracy z zagranicą</v>
          </cell>
        </row>
        <row r="82">
          <cell r="I82">
            <v>440690</v>
          </cell>
          <cell r="J82" t="str">
            <v>Usługi geodezyjne i kartograficzne</v>
          </cell>
        </row>
        <row r="83">
          <cell r="I83">
            <v>440710</v>
          </cell>
          <cell r="J83" t="str">
            <v>Usługi zarządzania operacyjnego</v>
          </cell>
        </row>
        <row r="84">
          <cell r="I84">
            <v>440720</v>
          </cell>
          <cell r="J84" t="str">
            <v>Usługi przesyłowe</v>
          </cell>
        </row>
        <row r="85">
          <cell r="I85">
            <v>440730</v>
          </cell>
          <cell r="J85" t="str">
            <v>Dzierżawa urządzeń elektroenergetycznych</v>
          </cell>
        </row>
        <row r="86">
          <cell r="I86">
            <v>440740</v>
          </cell>
          <cell r="J86" t="str">
            <v>Usł.rezerwowania mocy połącz.Polska-Szwecja</v>
          </cell>
        </row>
        <row r="87">
          <cell r="I87">
            <v>440750</v>
          </cell>
          <cell r="J87" t="str">
            <v>Usł.dot.porozumienia CBT</v>
          </cell>
        </row>
        <row r="88">
          <cell r="I88">
            <v>440810</v>
          </cell>
          <cell r="J88" t="str">
            <v>Regulacyjne usługi systemowe KDT</v>
          </cell>
        </row>
        <row r="89">
          <cell r="I89">
            <v>440820</v>
          </cell>
          <cell r="J89" t="str">
            <v>Regulacyjne usługi systemowe poza KDT</v>
          </cell>
        </row>
        <row r="90">
          <cell r="I90">
            <v>440830</v>
          </cell>
          <cell r="J90" t="str">
            <v>Regulacyjne usługi systemowe ESP</v>
          </cell>
        </row>
        <row r="91">
          <cell r="I91">
            <v>440840</v>
          </cell>
          <cell r="J91" t="str">
            <v>Rezerwa trwała</v>
          </cell>
        </row>
        <row r="92">
          <cell r="I92">
            <v>440850</v>
          </cell>
          <cell r="J92" t="str">
            <v>Usługi dyspozycyjności</v>
          </cell>
        </row>
        <row r="93">
          <cell r="I93">
            <v>440860</v>
          </cell>
          <cell r="J93" t="str">
            <v>Koszty ograniczeń</v>
          </cell>
        </row>
        <row r="94">
          <cell r="I94">
            <v>440870</v>
          </cell>
          <cell r="J94" t="str">
            <v>Rekompensaty dla SD</v>
          </cell>
        </row>
        <row r="95">
          <cell r="I95">
            <v>440880</v>
          </cell>
          <cell r="J95" t="str">
            <v>Koszty dot.zakupu energii wytwarzanej w skojarz.</v>
          </cell>
        </row>
        <row r="96">
          <cell r="I96">
            <v>440890</v>
          </cell>
          <cell r="J96" t="str">
            <v>Opłaty wyrównawcze dotyczące KDT</v>
          </cell>
        </row>
        <row r="97">
          <cell r="I97">
            <v>440970</v>
          </cell>
          <cell r="J97" t="str">
            <v>Pozostałe usługi niesklasyfikowane</v>
          </cell>
        </row>
        <row r="98">
          <cell r="I98">
            <v>450110</v>
          </cell>
          <cell r="J98" t="str">
            <v>Podatek od nieruchomości</v>
          </cell>
        </row>
        <row r="99">
          <cell r="I99">
            <v>450130</v>
          </cell>
          <cell r="J99" t="str">
            <v>Opłaty z tytułu wieczystego użytkowania gruntów</v>
          </cell>
        </row>
        <row r="100">
          <cell r="I100">
            <v>450140</v>
          </cell>
          <cell r="J100" t="str">
            <v>Opł.z tyt.wyłącz.gr.z produkcji rolnej i leśnej</v>
          </cell>
        </row>
        <row r="101">
          <cell r="I101">
            <v>450150</v>
          </cell>
          <cell r="J101" t="str">
            <v>Opłaty z tytułu służebności gruntowej</v>
          </cell>
        </row>
        <row r="102">
          <cell r="I102">
            <v>450210</v>
          </cell>
          <cell r="J102" t="str">
            <v>VAT nalicz.nie podleg.zwrot.i odlicz-KUP</v>
          </cell>
        </row>
        <row r="103">
          <cell r="I103">
            <v>450219</v>
          </cell>
          <cell r="J103" t="str">
            <v>VAT nalicz.nie podleg. zwrot.i odlicz -NKUP</v>
          </cell>
        </row>
        <row r="104">
          <cell r="I104">
            <v>450220</v>
          </cell>
          <cell r="J104" t="str">
            <v>VAT należny od zuż.na c.reprez.i reklam-KUP</v>
          </cell>
        </row>
        <row r="105">
          <cell r="I105">
            <v>450230</v>
          </cell>
          <cell r="J105" t="str">
            <v>VAT należny z tyt. przekazania tow. na cele osobis</v>
          </cell>
        </row>
        <row r="106">
          <cell r="I106">
            <v>450259</v>
          </cell>
          <cell r="J106" t="str">
            <v>VAT należny od decyzji i korekt lat ubiegłych</v>
          </cell>
        </row>
        <row r="107">
          <cell r="I107">
            <v>450310</v>
          </cell>
          <cell r="J107" t="str">
            <v>Opłaty skarbowe i administracyjne</v>
          </cell>
        </row>
        <row r="108">
          <cell r="I108">
            <v>450319</v>
          </cell>
          <cell r="J108" t="str">
            <v>Opłaty skarb.i adm. NKUP</v>
          </cell>
        </row>
        <row r="109">
          <cell r="I109">
            <v>450419</v>
          </cell>
          <cell r="J109" t="str">
            <v>Odpisy na PFRON - NKUP</v>
          </cell>
        </row>
        <row r="110">
          <cell r="I110">
            <v>460110</v>
          </cell>
          <cell r="J110" t="str">
            <v>Wynagrodzenia osobowe-płace podstawowe</v>
          </cell>
        </row>
        <row r="111">
          <cell r="I111">
            <v>460120</v>
          </cell>
          <cell r="J111" t="str">
            <v>Wynagr.o.-płace nadliczb. obc.skł ZUS</v>
          </cell>
        </row>
        <row r="112">
          <cell r="I112">
            <v>460130</v>
          </cell>
          <cell r="J112" t="str">
            <v>Wynagrodzenia osobowe-zas.chorobowe</v>
          </cell>
        </row>
        <row r="113">
          <cell r="I113">
            <v>460210</v>
          </cell>
          <cell r="J113" t="str">
            <v>Wynagrodzenia osobowe-premie</v>
          </cell>
        </row>
        <row r="114">
          <cell r="I114">
            <v>460220</v>
          </cell>
          <cell r="J114" t="str">
            <v>Wynagrodzenia osobowe-premia roczna</v>
          </cell>
        </row>
        <row r="115">
          <cell r="I115">
            <v>460230</v>
          </cell>
          <cell r="J115" t="str">
            <v>Wynagrodzenia osobowe-nagroda z f. Zarządu</v>
          </cell>
        </row>
        <row r="116">
          <cell r="I116">
            <v>460250</v>
          </cell>
          <cell r="J116" t="str">
            <v>Świadczenia rzeczowe zaliczane do wynagrodzeń</v>
          </cell>
        </row>
        <row r="117">
          <cell r="I117">
            <v>460310</v>
          </cell>
          <cell r="J117" t="str">
            <v>Nagrody jubileuszowe</v>
          </cell>
        </row>
        <row r="118">
          <cell r="I118">
            <v>460320</v>
          </cell>
          <cell r="J118" t="str">
            <v>Nagrody rzeczowe zaliczane do wynagrodzeń</v>
          </cell>
        </row>
        <row r="119">
          <cell r="I119">
            <v>460330</v>
          </cell>
          <cell r="J119" t="str">
            <v>Odprawy emerytalno-rentowe</v>
          </cell>
        </row>
        <row r="120">
          <cell r="I120">
            <v>460340</v>
          </cell>
          <cell r="J120" t="str">
            <v>Ekwiwalent za urlop</v>
          </cell>
        </row>
        <row r="121">
          <cell r="I121">
            <v>460350</v>
          </cell>
          <cell r="J121" t="str">
            <v>Odpr.wojskowe i pozost.nie podl.skł.ZUS</v>
          </cell>
        </row>
        <row r="122">
          <cell r="I122">
            <v>460360</v>
          </cell>
          <cell r="J122" t="str">
            <v>Wynagrodzenia z tytułu prac zleconych-KUP</v>
          </cell>
        </row>
        <row r="123">
          <cell r="I123">
            <v>460369</v>
          </cell>
          <cell r="J123" t="str">
            <v>Wynagrodzenia z tyt.prac zlec.-NKUP</v>
          </cell>
        </row>
        <row r="124">
          <cell r="I124">
            <v>460410</v>
          </cell>
          <cell r="J124" t="str">
            <v>Wynagr.organów stanow. osób praw.-KUP</v>
          </cell>
        </row>
        <row r="125">
          <cell r="I125">
            <v>460500</v>
          </cell>
          <cell r="J125" t="str">
            <v>Odszkodowania z tytułu um.o zakazie konkur.</v>
          </cell>
        </row>
        <row r="126">
          <cell r="I126">
            <v>460600</v>
          </cell>
          <cell r="J126" t="str">
            <v>Rekompensata - Rozwiązanie umowy</v>
          </cell>
        </row>
        <row r="127">
          <cell r="I127">
            <v>470110</v>
          </cell>
          <cell r="J127" t="str">
            <v>Fundusz emerytalny PRD</v>
          </cell>
        </row>
        <row r="128">
          <cell r="I128">
            <v>470120</v>
          </cell>
          <cell r="J128" t="str">
            <v>Fundusz rentowy PRD</v>
          </cell>
        </row>
        <row r="129">
          <cell r="I129">
            <v>470130</v>
          </cell>
          <cell r="J129" t="str">
            <v>Fundusz wypadkowy PRD</v>
          </cell>
        </row>
        <row r="130">
          <cell r="I130">
            <v>470140</v>
          </cell>
          <cell r="J130" t="str">
            <v>Fundusz Pracy</v>
          </cell>
        </row>
        <row r="131">
          <cell r="I131">
            <v>470150</v>
          </cell>
          <cell r="J131" t="str">
            <v>F.Gwarantowanych Świadczeń Pracowniczych</v>
          </cell>
        </row>
        <row r="132">
          <cell r="I132">
            <v>470160</v>
          </cell>
          <cell r="J132" t="str">
            <v>Dod.ubruttowiający od poz.świadcz.na rzecz prac.</v>
          </cell>
        </row>
        <row r="133">
          <cell r="I133">
            <v>470170</v>
          </cell>
          <cell r="J133" t="str">
            <v>Pracowniczy program emerytalny</v>
          </cell>
        </row>
        <row r="134">
          <cell r="I134">
            <v>470210</v>
          </cell>
          <cell r="J134" t="str">
            <v>Odpis na ZFŚS</v>
          </cell>
        </row>
        <row r="135">
          <cell r="I135">
            <v>470219</v>
          </cell>
          <cell r="J135" t="str">
            <v>Odpis na ZFŚS-NKUP</v>
          </cell>
        </row>
        <row r="136">
          <cell r="I136">
            <v>470310</v>
          </cell>
          <cell r="J136" t="str">
            <v>Szkolenia i kursy językowe</v>
          </cell>
        </row>
        <row r="137">
          <cell r="I137">
            <v>470320</v>
          </cell>
          <cell r="J137" t="str">
            <v>Studia</v>
          </cell>
        </row>
        <row r="138">
          <cell r="I138">
            <v>470330</v>
          </cell>
          <cell r="J138" t="str">
            <v>Szkolenia centralne</v>
          </cell>
        </row>
        <row r="139">
          <cell r="I139">
            <v>470340</v>
          </cell>
          <cell r="J139" t="str">
            <v>Pozostałe szkolenia</v>
          </cell>
        </row>
        <row r="140">
          <cell r="I140">
            <v>470410</v>
          </cell>
          <cell r="J140" t="str">
            <v>Usługi bytowe</v>
          </cell>
        </row>
        <row r="141">
          <cell r="I141">
            <v>470419</v>
          </cell>
          <cell r="J141" t="str">
            <v>Usługi bytowe - nkup</v>
          </cell>
        </row>
        <row r="142">
          <cell r="I142">
            <v>470420</v>
          </cell>
          <cell r="J142" t="str">
            <v>Dopłaty do budynków</v>
          </cell>
        </row>
        <row r="143">
          <cell r="I143">
            <v>470430</v>
          </cell>
          <cell r="J143" t="str">
            <v>Świadczenia wynikające z Zakł.Um.Zbiorowej</v>
          </cell>
        </row>
        <row r="144">
          <cell r="I144">
            <v>470440</v>
          </cell>
          <cell r="J144" t="str">
            <v>Świadczenia nie wynikające z Zakł.Um.Zbiorowej</v>
          </cell>
        </row>
        <row r="145">
          <cell r="I145">
            <v>470449</v>
          </cell>
          <cell r="J145" t="str">
            <v>Świadczenia nie wynikające z Zakł.Um.Zbiorowej</v>
          </cell>
        </row>
        <row r="146">
          <cell r="I146">
            <v>470450</v>
          </cell>
          <cell r="J146" t="str">
            <v>Ubezpieczenia na życie</v>
          </cell>
        </row>
        <row r="147">
          <cell r="I147">
            <v>470459</v>
          </cell>
          <cell r="J147" t="str">
            <v>Ubezpieczenia na życie - NKUP</v>
          </cell>
        </row>
        <row r="148">
          <cell r="I148">
            <v>470509</v>
          </cell>
          <cell r="J148" t="str">
            <v>Dopłaty wynikające z taryfy pracowniczej</v>
          </cell>
        </row>
        <row r="149">
          <cell r="I149">
            <v>470510</v>
          </cell>
          <cell r="J149" t="str">
            <v>Dopłaty wynikające z taryfy pracowniczej</v>
          </cell>
        </row>
        <row r="150">
          <cell r="I150">
            <v>480110</v>
          </cell>
          <cell r="J150" t="str">
            <v>Krajowe podróże służbowe- KUP</v>
          </cell>
        </row>
        <row r="151">
          <cell r="I151">
            <v>480119</v>
          </cell>
          <cell r="J151" t="str">
            <v>Krajowe podróże służbowe- NKUP</v>
          </cell>
        </row>
        <row r="152">
          <cell r="I152">
            <v>480120</v>
          </cell>
          <cell r="J152" t="str">
            <v>Zagraniczne podróże służbowe- KUP</v>
          </cell>
        </row>
        <row r="153">
          <cell r="I153">
            <v>480129</v>
          </cell>
          <cell r="J153" t="str">
            <v>Zagraniczne podróże służbowe-NKUP</v>
          </cell>
        </row>
        <row r="154">
          <cell r="I154">
            <v>480210</v>
          </cell>
          <cell r="J154" t="str">
            <v>Koszty reprezentacji - KUP</v>
          </cell>
        </row>
        <row r="155">
          <cell r="I155">
            <v>480219</v>
          </cell>
          <cell r="J155" t="str">
            <v>Koszty reprezentacji-NKUP</v>
          </cell>
        </row>
        <row r="156">
          <cell r="I156">
            <v>480220</v>
          </cell>
          <cell r="J156" t="str">
            <v>Koszty reprezentacji-reklama publiczna</v>
          </cell>
        </row>
        <row r="157">
          <cell r="I157">
            <v>480229</v>
          </cell>
          <cell r="J157" t="str">
            <v>Koszty reprezentacji-reklama publiczna N</v>
          </cell>
        </row>
        <row r="158">
          <cell r="I158">
            <v>480230</v>
          </cell>
          <cell r="J158" t="str">
            <v>Koszty reklamy - KUP</v>
          </cell>
        </row>
        <row r="159">
          <cell r="I159">
            <v>480239</v>
          </cell>
          <cell r="J159" t="str">
            <v>Koszty reklamy - NKU</v>
          </cell>
        </row>
        <row r="160">
          <cell r="I160">
            <v>480310</v>
          </cell>
          <cell r="J160" t="str">
            <v>Skł.z tyt. przynależn.do org. międzyn. i kraj.-KUP</v>
          </cell>
        </row>
        <row r="161">
          <cell r="I161">
            <v>480319</v>
          </cell>
          <cell r="J161" t="str">
            <v>Skł.z tyt.przynależ.do org.międzynar.i kraj.NKUP</v>
          </cell>
        </row>
        <row r="162">
          <cell r="I162">
            <v>480410</v>
          </cell>
          <cell r="J162" t="str">
            <v>Ubezpieczenia majątkowe</v>
          </cell>
        </row>
        <row r="163">
          <cell r="I163">
            <v>480419</v>
          </cell>
          <cell r="J163" t="str">
            <v>Ubezpieczenia majątkowe-NKUP</v>
          </cell>
        </row>
        <row r="164">
          <cell r="I164">
            <v>480420</v>
          </cell>
          <cell r="J164" t="str">
            <v>Ubezpieczenie deliktowe KUP</v>
          </cell>
        </row>
        <row r="165">
          <cell r="I165">
            <v>480510</v>
          </cell>
          <cell r="J165" t="str">
            <v>Rycz.na użytkowanie samoch.własnych do c.służb.</v>
          </cell>
        </row>
        <row r="166">
          <cell r="I166">
            <v>480610</v>
          </cell>
          <cell r="J166" t="str">
            <v>Wyp.na rzecz os.fiz.zaliczane do wynagrodzeń</v>
          </cell>
        </row>
        <row r="167">
          <cell r="I167">
            <v>480710</v>
          </cell>
          <cell r="J167" t="str">
            <v>Pozostałe koszty</v>
          </cell>
        </row>
        <row r="168">
          <cell r="I168">
            <v>480819</v>
          </cell>
          <cell r="J168" t="str">
            <v>Koszty dotyczące Rady Nadzorczej - NKUP</v>
          </cell>
        </row>
        <row r="169">
          <cell r="I169">
            <v>490000</v>
          </cell>
          <cell r="J169" t="str">
            <v>Rozliczenie kosztów</v>
          </cell>
        </row>
        <row r="170">
          <cell r="I170">
            <v>496000</v>
          </cell>
          <cell r="J170" t="str">
            <v>Rozliczenie kosztów w powiązaniu z RMK czynnymi</v>
          </cell>
        </row>
        <row r="171">
          <cell r="I171">
            <v>499000</v>
          </cell>
          <cell r="J171" t="str">
            <v>Rozliczenie kosztów w powiązaniu z RMK biernymi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1_06"/>
      <sheetName val="302_06"/>
      <sheetName val="303_06"/>
      <sheetName val="304_06"/>
      <sheetName val="305_06"/>
      <sheetName val="306_06"/>
      <sheetName val="307_06"/>
      <sheetName val="308_06"/>
      <sheetName val="309_06"/>
      <sheetName val="310_06"/>
      <sheetName val="311_06"/>
      <sheetName val="312_06"/>
      <sheetName val="313_05"/>
      <sheetName val="314_06"/>
      <sheetName val="315_06"/>
      <sheetName val="316_06"/>
      <sheetName val="317_06"/>
      <sheetName val="318_06"/>
      <sheetName val="319_06"/>
      <sheetName val="320_06"/>
      <sheetName val="321_06"/>
      <sheetName val="322_06"/>
      <sheetName val="323_06"/>
      <sheetName val="324_06"/>
      <sheetName val="325_06"/>
      <sheetName val="326_06"/>
      <sheetName val="327_06"/>
      <sheetName val="328_06_czI"/>
      <sheetName val="328_06_czII"/>
      <sheetName val="329_06"/>
      <sheetName val="330_06"/>
      <sheetName val="331_06"/>
      <sheetName val="332_06"/>
      <sheetName val="333_06"/>
      <sheetName val="334_06"/>
      <sheetName val="335_06"/>
      <sheetName val="336_06"/>
      <sheetName val="337_06"/>
      <sheetName val="338_06"/>
      <sheetName val="339_06"/>
      <sheetName val="Kontrahenci"/>
      <sheetName val="bazy"/>
      <sheetName val="idx"/>
      <sheetName val="Komórki"/>
      <sheetName val="Zlecenia"/>
      <sheetName val="Parametry_FC"/>
      <sheetName val="Parametry"/>
      <sheetName val="Tytuł"/>
      <sheetName val="Koszty wg. rodzaju Prog"/>
      <sheetName val="ster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RADCZE_2008"/>
      <sheetName val="BExRepositorySheet"/>
      <sheetName val="Kontrahenci"/>
      <sheetName val="Zlecenia"/>
      <sheetName val="Komórki"/>
      <sheetName val="Zbiorcze_Komórki"/>
      <sheetName val="bazy"/>
      <sheetName val="302_06"/>
      <sheetName val="idx"/>
      <sheetName val="Korekty"/>
      <sheetName val=""/>
    </sheetNames>
    <sheetDataSet>
      <sheetData sheetId="0"/>
      <sheetData sheetId="1"/>
      <sheetData sheetId="2"/>
      <sheetData sheetId="3">
        <row r="1">
          <cell r="A1" t="str">
            <v>Nr zlecenia</v>
          </cell>
          <cell r="F1" t="str">
            <v>Nr konta</v>
          </cell>
        </row>
        <row r="2">
          <cell r="A2" t="str">
            <v>CY01070</v>
          </cell>
          <cell r="F2">
            <v>440310</v>
          </cell>
        </row>
        <row r="3">
          <cell r="A3" t="str">
            <v>CY02001</v>
          </cell>
          <cell r="F3">
            <v>440320</v>
          </cell>
        </row>
        <row r="4">
          <cell r="A4" t="str">
            <v>CY02002</v>
          </cell>
          <cell r="F4">
            <v>440329</v>
          </cell>
        </row>
        <row r="5">
          <cell r="A5" t="str">
            <v>CY02004</v>
          </cell>
          <cell r="F5">
            <v>440330</v>
          </cell>
        </row>
        <row r="6">
          <cell r="A6" t="str">
            <v>CY02005</v>
          </cell>
          <cell r="F6">
            <v>440339</v>
          </cell>
        </row>
        <row r="7">
          <cell r="A7" t="str">
            <v>CY02012</v>
          </cell>
          <cell r="F7">
            <v>440340</v>
          </cell>
        </row>
        <row r="8">
          <cell r="A8" t="str">
            <v>CY02013</v>
          </cell>
          <cell r="F8">
            <v>440380</v>
          </cell>
        </row>
        <row r="9">
          <cell r="A9" t="str">
            <v>CY02015</v>
          </cell>
          <cell r="F9">
            <v>480230</v>
          </cell>
        </row>
        <row r="10">
          <cell r="A10" t="str">
            <v>CY02016</v>
          </cell>
          <cell r="F10">
            <v>480239</v>
          </cell>
        </row>
        <row r="11">
          <cell r="A11" t="str">
            <v>CY02017</v>
          </cell>
        </row>
        <row r="12">
          <cell r="A12" t="str">
            <v>CY06001</v>
          </cell>
        </row>
        <row r="13">
          <cell r="A13" t="str">
            <v>CY06010</v>
          </cell>
        </row>
        <row r="14">
          <cell r="A14" t="str">
            <v>CY06012</v>
          </cell>
        </row>
        <row r="15">
          <cell r="A15" t="str">
            <v>CY06013</v>
          </cell>
        </row>
        <row r="16">
          <cell r="A16" t="str">
            <v>CY06014</v>
          </cell>
        </row>
        <row r="17">
          <cell r="A17" t="str">
            <v>CY06015</v>
          </cell>
        </row>
        <row r="18">
          <cell r="A18" t="str">
            <v>CY06023</v>
          </cell>
        </row>
        <row r="19">
          <cell r="A19" t="str">
            <v>CY06033</v>
          </cell>
        </row>
        <row r="20">
          <cell r="A20" t="str">
            <v>CY06034</v>
          </cell>
        </row>
        <row r="21">
          <cell r="A21" t="str">
            <v>CY06035</v>
          </cell>
        </row>
        <row r="22">
          <cell r="A22" t="str">
            <v>CY06037</v>
          </cell>
        </row>
        <row r="23">
          <cell r="A23" t="str">
            <v>CY06038</v>
          </cell>
        </row>
        <row r="24">
          <cell r="A24" t="str">
            <v>CY06039</v>
          </cell>
        </row>
        <row r="25">
          <cell r="A25" t="str">
            <v>CY06040</v>
          </cell>
        </row>
        <row r="26">
          <cell r="A26" t="str">
            <v>CY06041</v>
          </cell>
        </row>
        <row r="27">
          <cell r="A27" t="str">
            <v>CY06043</v>
          </cell>
        </row>
        <row r="28">
          <cell r="A28" t="str">
            <v>CYRZARZ</v>
          </cell>
        </row>
        <row r="29">
          <cell r="A29" t="str">
            <v>CZ7409A</v>
          </cell>
        </row>
        <row r="30">
          <cell r="A30" t="str">
            <v>CZ7409B</v>
          </cell>
        </row>
        <row r="31">
          <cell r="A31" t="str">
            <v>CZ76001</v>
          </cell>
        </row>
        <row r="32">
          <cell r="A32" t="str">
            <v>CZ76002</v>
          </cell>
        </row>
        <row r="33">
          <cell r="A33" t="str">
            <v>CZ77001</v>
          </cell>
        </row>
        <row r="34">
          <cell r="A34" t="str">
            <v>CZ77002</v>
          </cell>
        </row>
        <row r="35">
          <cell r="A35" t="str">
            <v>CZ77003</v>
          </cell>
        </row>
        <row r="36">
          <cell r="A36" t="str">
            <v>CZ77004</v>
          </cell>
        </row>
        <row r="37">
          <cell r="A37" t="str">
            <v>CZ78001</v>
          </cell>
        </row>
        <row r="38">
          <cell r="A38" t="str">
            <v>CZ78002</v>
          </cell>
        </row>
        <row r="39">
          <cell r="A39" t="str">
            <v>CZ78003</v>
          </cell>
        </row>
        <row r="40">
          <cell r="A40" t="str">
            <v>CZ78051</v>
          </cell>
        </row>
        <row r="41">
          <cell r="A41" t="str">
            <v>CZ82001</v>
          </cell>
        </row>
        <row r="42">
          <cell r="A42" t="str">
            <v>CZ82006</v>
          </cell>
        </row>
        <row r="43">
          <cell r="A43" t="str">
            <v>CZ82007</v>
          </cell>
        </row>
        <row r="44">
          <cell r="A44" t="str">
            <v>CZ82008</v>
          </cell>
        </row>
        <row r="45">
          <cell r="A45" t="str">
            <v>CZ82009</v>
          </cell>
        </row>
        <row r="46">
          <cell r="A46" t="str">
            <v>CZ8209A</v>
          </cell>
        </row>
        <row r="47">
          <cell r="A47" t="str">
            <v>CZ8209B</v>
          </cell>
        </row>
        <row r="48">
          <cell r="A48" t="str">
            <v>CZ83001</v>
          </cell>
        </row>
        <row r="49">
          <cell r="A49" t="str">
            <v>CZ83013</v>
          </cell>
        </row>
        <row r="50">
          <cell r="A50" t="str">
            <v>CZ83014</v>
          </cell>
        </row>
        <row r="51">
          <cell r="A51" t="str">
            <v>CZ83018</v>
          </cell>
        </row>
        <row r="52">
          <cell r="A52" t="str">
            <v>CZ84001</v>
          </cell>
        </row>
        <row r="53">
          <cell r="A53" t="str">
            <v>CZ84008</v>
          </cell>
        </row>
        <row r="54">
          <cell r="A54" t="str">
            <v>CZ84011</v>
          </cell>
        </row>
        <row r="55">
          <cell r="A55" t="str">
            <v>CZ84012</v>
          </cell>
        </row>
        <row r="56">
          <cell r="A56" t="str">
            <v>CZ84013</v>
          </cell>
        </row>
        <row r="57">
          <cell r="A57" t="str">
            <v>CZ84014</v>
          </cell>
        </row>
        <row r="58">
          <cell r="A58" t="str">
            <v>CZ8409A</v>
          </cell>
        </row>
        <row r="59">
          <cell r="A59" t="str">
            <v>CZ8409B</v>
          </cell>
        </row>
        <row r="60">
          <cell r="A60" t="str">
            <v>CZ85001</v>
          </cell>
        </row>
        <row r="61">
          <cell r="A61" t="str">
            <v>CZ85014</v>
          </cell>
        </row>
        <row r="62">
          <cell r="A62" t="str">
            <v>CZ85016</v>
          </cell>
        </row>
        <row r="63">
          <cell r="A63" t="str">
            <v>CZ85017</v>
          </cell>
        </row>
        <row r="64">
          <cell r="A64" t="str">
            <v>CZ85018</v>
          </cell>
        </row>
        <row r="65">
          <cell r="A65" t="str">
            <v>CZ85019</v>
          </cell>
        </row>
        <row r="66">
          <cell r="A66" t="str">
            <v>CZ8509A</v>
          </cell>
        </row>
        <row r="67">
          <cell r="A67" t="str">
            <v>CZ87001</v>
          </cell>
        </row>
        <row r="68">
          <cell r="A68" t="str">
            <v>CZ87007</v>
          </cell>
        </row>
        <row r="69">
          <cell r="A69" t="str">
            <v>CZ87008</v>
          </cell>
        </row>
        <row r="70">
          <cell r="A70" t="str">
            <v>CZ87011</v>
          </cell>
        </row>
        <row r="71">
          <cell r="A71" t="str">
            <v>CZ87016</v>
          </cell>
        </row>
        <row r="72">
          <cell r="A72" t="str">
            <v>CZ87018</v>
          </cell>
        </row>
        <row r="73">
          <cell r="A73" t="str">
            <v>CZ87020</v>
          </cell>
        </row>
        <row r="74">
          <cell r="A74" t="str">
            <v>CZ8709A</v>
          </cell>
        </row>
        <row r="75">
          <cell r="A75" t="str">
            <v>CZ88001</v>
          </cell>
        </row>
        <row r="76">
          <cell r="A76" t="str">
            <v>CZ88002</v>
          </cell>
        </row>
        <row r="77">
          <cell r="A77" t="str">
            <v>CZ88012</v>
          </cell>
        </row>
        <row r="78">
          <cell r="A78" t="str">
            <v>CZ89001</v>
          </cell>
        </row>
        <row r="79">
          <cell r="A79" t="str">
            <v>CZ89002</v>
          </cell>
        </row>
        <row r="80">
          <cell r="A80" t="str">
            <v>CZ89003</v>
          </cell>
        </row>
        <row r="81">
          <cell r="A81" t="str">
            <v>CZ89004</v>
          </cell>
        </row>
        <row r="82">
          <cell r="A82" t="str">
            <v>CZ89005</v>
          </cell>
        </row>
        <row r="83">
          <cell r="A83" t="str">
            <v>CZ89007</v>
          </cell>
        </row>
        <row r="84">
          <cell r="A84" t="str">
            <v>CZ89010</v>
          </cell>
        </row>
        <row r="85">
          <cell r="A85" t="str">
            <v>CZ89011</v>
          </cell>
        </row>
        <row r="86">
          <cell r="A86" t="str">
            <v>CZ89016</v>
          </cell>
        </row>
        <row r="87">
          <cell r="A87" t="str">
            <v>CZ89017</v>
          </cell>
        </row>
        <row r="88">
          <cell r="A88" t="str">
            <v>CZ89018</v>
          </cell>
        </row>
        <row r="89">
          <cell r="A89" t="str">
            <v>CZ89019</v>
          </cell>
        </row>
        <row r="90">
          <cell r="A90" t="str">
            <v>CZ89020</v>
          </cell>
        </row>
        <row r="91">
          <cell r="A91" t="str">
            <v>CZ90001</v>
          </cell>
        </row>
        <row r="92">
          <cell r="A92" t="str">
            <v>CZ90003</v>
          </cell>
        </row>
        <row r="93">
          <cell r="A93" t="str">
            <v>CZ90009</v>
          </cell>
        </row>
        <row r="94">
          <cell r="A94" t="str">
            <v>CZ90011</v>
          </cell>
        </row>
        <row r="95">
          <cell r="A95" t="str">
            <v>CZ90012</v>
          </cell>
        </row>
        <row r="96">
          <cell r="A96" t="str">
            <v>CZ90013</v>
          </cell>
        </row>
        <row r="97">
          <cell r="A97" t="str">
            <v>CZ90014</v>
          </cell>
        </row>
        <row r="98">
          <cell r="A98" t="str">
            <v>CZ9009A</v>
          </cell>
        </row>
        <row r="99">
          <cell r="A99" t="str">
            <v>CZ9009B</v>
          </cell>
        </row>
        <row r="100">
          <cell r="A100" t="str">
            <v>CZ91001</v>
          </cell>
        </row>
        <row r="101">
          <cell r="A101" t="str">
            <v>CZ91002</v>
          </cell>
        </row>
        <row r="102">
          <cell r="A102" t="str">
            <v>CZ92001</v>
          </cell>
        </row>
        <row r="103">
          <cell r="A103" t="str">
            <v>CZ92002</v>
          </cell>
        </row>
        <row r="104">
          <cell r="A104" t="str">
            <v>CZ92003</v>
          </cell>
        </row>
        <row r="105">
          <cell r="A105" t="str">
            <v>CZ93001</v>
          </cell>
        </row>
        <row r="106">
          <cell r="A106" t="str">
            <v>CZ93002</v>
          </cell>
        </row>
        <row r="107">
          <cell r="A107" t="str">
            <v>CZ93003</v>
          </cell>
        </row>
        <row r="108">
          <cell r="A108" t="str">
            <v>CZ93004</v>
          </cell>
        </row>
        <row r="109">
          <cell r="A109" t="str">
            <v>CZ9309A</v>
          </cell>
        </row>
        <row r="110">
          <cell r="A110" t="str">
            <v>CZ9309B</v>
          </cell>
        </row>
        <row r="111">
          <cell r="A111" t="str">
            <v>CZ9309C</v>
          </cell>
        </row>
        <row r="112">
          <cell r="A112" t="str">
            <v>CZ9309D</v>
          </cell>
        </row>
        <row r="113">
          <cell r="A113" t="str">
            <v>CZ94001</v>
          </cell>
        </row>
        <row r="114">
          <cell r="A114" t="str">
            <v>CZ94002</v>
          </cell>
        </row>
        <row r="115">
          <cell r="A115" t="str">
            <v>CZ94003</v>
          </cell>
        </row>
        <row r="116">
          <cell r="A116" t="str">
            <v>CZ94004</v>
          </cell>
        </row>
        <row r="117">
          <cell r="A117" t="str">
            <v>CZ95001</v>
          </cell>
        </row>
        <row r="118">
          <cell r="A118" t="str">
            <v>CZ95002</v>
          </cell>
        </row>
        <row r="119">
          <cell r="A119" t="str">
            <v>CZ95003</v>
          </cell>
        </row>
        <row r="120">
          <cell r="A120" t="str">
            <v>CZ95004</v>
          </cell>
        </row>
        <row r="121">
          <cell r="A121" t="str">
            <v>CZ95005</v>
          </cell>
        </row>
        <row r="122">
          <cell r="A122" t="str">
            <v>CZ95006</v>
          </cell>
        </row>
        <row r="123">
          <cell r="A123" t="str">
            <v>CZ95007</v>
          </cell>
        </row>
        <row r="124">
          <cell r="A124" t="str">
            <v>CZ95008</v>
          </cell>
        </row>
        <row r="125">
          <cell r="A125" t="str">
            <v>CZ95011</v>
          </cell>
        </row>
        <row r="126">
          <cell r="A126" t="str">
            <v>CZ9509A</v>
          </cell>
        </row>
        <row r="127">
          <cell r="A127" t="str">
            <v>CZ9509B</v>
          </cell>
        </row>
        <row r="128">
          <cell r="A128" t="str">
            <v>CZ9509C</v>
          </cell>
        </row>
        <row r="129">
          <cell r="A129" t="str">
            <v>CZK502</v>
          </cell>
        </row>
        <row r="130">
          <cell r="A130" t="str">
            <v>CZK503</v>
          </cell>
        </row>
        <row r="131">
          <cell r="A131" t="str">
            <v>CZK507</v>
          </cell>
        </row>
        <row r="132">
          <cell r="A132" t="str">
            <v>CZK508</v>
          </cell>
        </row>
        <row r="133">
          <cell r="A133" t="str">
            <v>CZK509</v>
          </cell>
        </row>
        <row r="134">
          <cell r="A134" t="str">
            <v>CZK511</v>
          </cell>
        </row>
        <row r="135">
          <cell r="A135" t="str">
            <v>CZK513</v>
          </cell>
        </row>
        <row r="137">
          <cell r="A137" t="str">
            <v>CZK071</v>
          </cell>
        </row>
      </sheetData>
      <sheetData sheetId="4">
        <row r="1">
          <cell r="C1" t="str">
            <v>Kod komórki organiz.</v>
          </cell>
          <cell r="F1" t="str">
            <v>Okres</v>
          </cell>
        </row>
        <row r="2">
          <cell r="C2" t="str">
            <v>DA</v>
          </cell>
          <cell r="F2">
            <v>1</v>
          </cell>
        </row>
        <row r="3">
          <cell r="C3" t="str">
            <v>DH</v>
          </cell>
          <cell r="F3">
            <v>2</v>
          </cell>
        </row>
        <row r="4">
          <cell r="C4" t="str">
            <v>DI</v>
          </cell>
          <cell r="F4">
            <v>3</v>
          </cell>
        </row>
        <row r="5">
          <cell r="C5" t="str">
            <v>DK</v>
          </cell>
          <cell r="F5">
            <v>4</v>
          </cell>
        </row>
        <row r="6">
          <cell r="C6" t="str">
            <v>DC</v>
          </cell>
          <cell r="F6">
            <v>5</v>
          </cell>
        </row>
        <row r="7">
          <cell r="C7" t="str">
            <v>DO</v>
          </cell>
          <cell r="F7">
            <v>6</v>
          </cell>
        </row>
        <row r="8">
          <cell r="C8" t="str">
            <v>DR</v>
          </cell>
          <cell r="F8">
            <v>7</v>
          </cell>
        </row>
        <row r="9">
          <cell r="C9" t="str">
            <v>DF</v>
          </cell>
          <cell r="F9">
            <v>8</v>
          </cell>
        </row>
        <row r="10">
          <cell r="C10" t="str">
            <v>DM</v>
          </cell>
          <cell r="F10">
            <v>9</v>
          </cell>
        </row>
        <row r="11">
          <cell r="C11" t="str">
            <v>DS</v>
          </cell>
          <cell r="F11">
            <v>10</v>
          </cell>
        </row>
        <row r="12">
          <cell r="C12" t="str">
            <v>DT</v>
          </cell>
          <cell r="F12">
            <v>11</v>
          </cell>
        </row>
        <row r="13">
          <cell r="C13" t="str">
            <v>DG</v>
          </cell>
          <cell r="F13">
            <v>12</v>
          </cell>
        </row>
        <row r="14">
          <cell r="C14" t="str">
            <v>BB</v>
          </cell>
          <cell r="F14">
            <v>13</v>
          </cell>
        </row>
        <row r="15">
          <cell r="C15" t="str">
            <v>BD</v>
          </cell>
          <cell r="F15">
            <v>14</v>
          </cell>
        </row>
        <row r="16">
          <cell r="C16" t="str">
            <v>BN</v>
          </cell>
          <cell r="F16">
            <v>15</v>
          </cell>
        </row>
        <row r="17">
          <cell r="C17" t="str">
            <v>BZ</v>
          </cell>
          <cell r="F17">
            <v>16</v>
          </cell>
        </row>
        <row r="18">
          <cell r="C18" t="str">
            <v>BHP</v>
          </cell>
        </row>
        <row r="19">
          <cell r="C19" t="str">
            <v>BOT</v>
          </cell>
        </row>
        <row r="20">
          <cell r="C20" t="str">
            <v>ENER</v>
          </cell>
        </row>
        <row r="21">
          <cell r="C21" t="str">
            <v>EOEE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rekty"/>
      <sheetName val="Self check"/>
      <sheetName val="tytuł"/>
      <sheetName val="Spis not"/>
      <sheetName val="Aktywa"/>
      <sheetName val="Pasywa"/>
      <sheetName val="RZiS-kalkulacyjny"/>
      <sheetName val="Zestawienie zmian w kapitale"/>
      <sheetName val="Przepływy - metoda pośrednia"/>
      <sheetName val="nota nr 1 "/>
      <sheetName val="nota nr 2"/>
      <sheetName val="nota nr 3 a-d "/>
      <sheetName val="nota nr 3 e"/>
      <sheetName val="nota nr 4 "/>
      <sheetName val="nota nr 5 "/>
      <sheetName val="nota nr 5 b-e"/>
      <sheetName val="nota 6"/>
      <sheetName val="nota 6 a-b"/>
      <sheetName val="nota 7 "/>
      <sheetName val="nota 7 a"/>
      <sheetName val="nota nr 8 "/>
      <sheetName val="nota nr 9 "/>
      <sheetName val="nota nr 10 i 11 "/>
      <sheetName val="nota nr 12"/>
      <sheetName val="nota nr 13"/>
      <sheetName val="nota nr 13a, 13b"/>
      <sheetName val="nota nr 14"/>
      <sheetName val="nota 14 c-e"/>
      <sheetName val="Nota 15 IF zabezp"/>
      <sheetName val="nota nr 16"/>
      <sheetName val="nota nr 17-19"/>
      <sheetName val="nota nr 20-21 "/>
      <sheetName val="nota nr 22 i 23 "/>
      <sheetName val="nota nr 24 i 25 i 26"/>
      <sheetName val="nota nr 27_cit"/>
      <sheetName val="nota 28 i 29"/>
      <sheetName val="nota nr 30-32"/>
      <sheetName val="nota nr 33"/>
      <sheetName val="nota nr 34-39"/>
      <sheetName val="nota nr 40-41"/>
      <sheetName val="nota nr 42"/>
      <sheetName val="43-44"/>
      <sheetName val="Arkusz3"/>
      <sheetName val="Podpisy "/>
      <sheetName val="Kontrahenci"/>
      <sheetName val="bazy"/>
      <sheetName val="Komórki"/>
      <sheetName val="Zlecenia"/>
      <sheetName val="302_06"/>
      <sheetName val="idx"/>
      <sheetName val="WSPOLNE"/>
      <sheetName val="DBIL"/>
      <sheetName val="DRZIS"/>
      <sheetName val="KOSZTY"/>
      <sheetName val="DROZR"/>
      <sheetName val="Self_check"/>
      <sheetName val="Spis_not"/>
      <sheetName val="Zestawienie_zmian_w_kapitale"/>
      <sheetName val="Przepływy_-_metoda_pośrednia"/>
      <sheetName val="nota_nr_1_"/>
      <sheetName val="nota_nr_2"/>
      <sheetName val="nota_nr_3_a-d_"/>
      <sheetName val="nota_nr_3_e"/>
      <sheetName val="nota_nr_4_"/>
      <sheetName val="nota_nr_5_"/>
      <sheetName val="nota_nr_5_b-e"/>
      <sheetName val="nota_6"/>
      <sheetName val="nota_6_a-b"/>
      <sheetName val="nota_7_"/>
      <sheetName val="nota_7_a"/>
      <sheetName val="nota_nr_8_"/>
      <sheetName val="nota_nr_9_"/>
      <sheetName val="nota_nr_10_i_11_"/>
      <sheetName val="nota_nr_12"/>
      <sheetName val="nota_nr_13"/>
      <sheetName val="nota_nr_13a,_13b"/>
      <sheetName val="nota_nr_14"/>
      <sheetName val="nota_14_c-e"/>
      <sheetName val="Nota_15_IF_zabezp"/>
      <sheetName val="nota_nr_16"/>
      <sheetName val="nota_nr_17-19"/>
      <sheetName val="nota_nr_20-21_"/>
      <sheetName val="nota_nr_22_i_23_"/>
      <sheetName val="nota_nr_24_i_25_i_26"/>
      <sheetName val="nota_nr_27_cit"/>
      <sheetName val="nota_28_i_29"/>
      <sheetName val="nota_nr_30-32"/>
      <sheetName val="nota_nr_33"/>
      <sheetName val="nota_nr_34-39"/>
      <sheetName val="nota_nr_40-41"/>
      <sheetName val="nota_nr_42"/>
      <sheetName val="Podpisy_"/>
      <sheetName val="Self_check1"/>
      <sheetName val="Spis_not1"/>
      <sheetName val="Zestawienie_zmian_w_kapitale1"/>
      <sheetName val="Przepływy_-_metoda_pośrednia1"/>
      <sheetName val="nota_nr_1_1"/>
      <sheetName val="nota_nr_21"/>
      <sheetName val="nota_nr_3_a-d_1"/>
      <sheetName val="nota_nr_3_e1"/>
      <sheetName val="nota_nr_4_1"/>
      <sheetName val="nota_nr_5_1"/>
      <sheetName val="nota_nr_5_b-e1"/>
      <sheetName val="nota_61"/>
      <sheetName val="nota_6_a-b1"/>
      <sheetName val="nota_7_1"/>
      <sheetName val="nota_7_a1"/>
      <sheetName val="nota_nr_8_1"/>
      <sheetName val="nota_nr_9_1"/>
      <sheetName val="nota_nr_10_i_11_1"/>
      <sheetName val="nota_nr_121"/>
      <sheetName val="nota_nr_131"/>
      <sheetName val="nota_nr_13a,_13b1"/>
      <sheetName val="nota_nr_141"/>
      <sheetName val="nota_14_c-e1"/>
      <sheetName val="Nota_15_IF_zabezp1"/>
      <sheetName val="nota_nr_161"/>
      <sheetName val="nota_nr_17-191"/>
      <sheetName val="nota_nr_20-21_1"/>
      <sheetName val="nota_nr_22_i_23_1"/>
      <sheetName val="nota_nr_24_i_25_i_261"/>
      <sheetName val="nota_nr_27_cit1"/>
      <sheetName val="nota_28_i_291"/>
      <sheetName val="nota_nr_30-321"/>
      <sheetName val="nota_nr_331"/>
      <sheetName val="nota_nr_34-391"/>
      <sheetName val="nota_nr_40-411"/>
      <sheetName val="nota_nr_421"/>
      <sheetName val="Podpisy_1"/>
    </sheetNames>
    <sheetDataSet>
      <sheetData sheetId="0" refreshError="1">
        <row r="13">
          <cell r="B13">
            <v>1</v>
          </cell>
        </row>
        <row r="31">
          <cell r="B31">
            <v>1</v>
          </cell>
        </row>
        <row r="49">
          <cell r="B4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ajd-BP2005"/>
      <sheetName val="Slajd-BP 2006"/>
      <sheetName val="ODCHYLENIA"/>
      <sheetName val="ROZLICZENIE_MIESIĄC"/>
      <sheetName val="ROZLICZENIE_NARAST"/>
      <sheetName val="idx"/>
      <sheetName val="SI_b05"/>
      <sheetName val="SI_w05"/>
      <sheetName val="SI_bp05"/>
      <sheetName val="SI_b06"/>
      <sheetName val="SI_w06"/>
      <sheetName val="SI_bp07"/>
      <sheetName val="SI_bp08"/>
      <sheetName val="ŻE_bp05"/>
      <sheetName val="ŻE_b05"/>
      <sheetName val="ŻE_w05"/>
      <sheetName val="ŻE_b06"/>
      <sheetName val="ŻE_w06"/>
      <sheetName val="ŻE_bp07"/>
      <sheetName val="ŻE_bp08"/>
      <sheetName val="KA_bp05"/>
      <sheetName val="KA_b05"/>
      <sheetName val="KA_w05"/>
      <sheetName val="KA_b06"/>
      <sheetName val="KA_w06"/>
      <sheetName val="KA_bp07"/>
      <sheetName val="KA_bp08"/>
      <sheetName val="PR_bp05"/>
      <sheetName val="PR_w05"/>
      <sheetName val="PR_b05"/>
      <sheetName val="PR_w06"/>
      <sheetName val="PR_b06"/>
      <sheetName val="PR_bp07"/>
      <sheetName val="PR_bp08"/>
      <sheetName val="SI_p05"/>
      <sheetName val="ŻE_p05"/>
      <sheetName val="KA_p05"/>
      <sheetName val="PR_p05"/>
      <sheetName val="SI_p08"/>
      <sheetName val="ŻE_p08"/>
      <sheetName val="KA_p08"/>
      <sheetName val="PR_p08"/>
      <sheetName val="Kontrahenci"/>
      <sheetName val="bazy"/>
      <sheetName val="Korekty"/>
      <sheetName val="ster"/>
      <sheetName val="DBIL"/>
      <sheetName val="DRZIS"/>
      <sheetName val="KOSZTY"/>
      <sheetName val="DROZR"/>
      <sheetName val="Rozliczenie utylizacji_2006"/>
      <sheetName val="Slajd-BP_2006"/>
      <sheetName val="bankloan"/>
      <sheetName val="PBC-VCON009A"/>
      <sheetName val="Slajd-BP_20061"/>
      <sheetName val="Rozliczenie_utylizacji_2006"/>
      <sheetName val="Slajd-BP_20062"/>
      <sheetName val="Rozliczenie_utylizacji_20061"/>
      <sheetName val="Tax"/>
      <sheetName val="Slajd-BP_20063"/>
      <sheetName val="Rozliczenie_utylizacji_20062"/>
      <sheetName val="Slajd-BP_20064"/>
      <sheetName val="Rozliczenie_utylizacji_20063"/>
      <sheetName val="Slajd-BP_20065"/>
      <sheetName val="Rozliczenie_utylizacji_20064"/>
      <sheetName val="Slajd-BP_20066"/>
      <sheetName val="Rozliczenie_utylizacji_20065"/>
      <sheetName val="Slajd-BP_20067"/>
      <sheetName val="Rozliczenie_utylizacji_20066"/>
      <sheetName val="Slajd-BP_20068"/>
      <sheetName val="Rozliczenie_utylizacji_20067"/>
      <sheetName val="Slajd-BP_20069"/>
      <sheetName val="Rozliczenie_utylizacji_20068"/>
      <sheetName val="DASHBOARD"/>
      <sheetName val="DATA START"/>
      <sheetName val="M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B4" t="str">
            <v>Budżet 05</v>
          </cell>
        </row>
        <row r="6">
          <cell r="O6" t="str">
            <v>KA_w06!$a$1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_opis"/>
      <sheetName val="Tytuł_1"/>
      <sheetName val="Komentarz_08'2010"/>
      <sheetName val="PiKF_szczegóły"/>
      <sheetName val="PiKF_produkty"/>
      <sheetName val="TELP"/>
      <sheetName val="PKiF_analityka"/>
      <sheetName val="Wyk2010"/>
      <sheetName val="Wyk2010_Narast"/>
      <sheetName val="Plan2010_IIrunda"/>
      <sheetName val="Plan2010_Narast_IIrunda"/>
      <sheetName val="Wyk_4mce_2009"/>
      <sheetName val="Wyk_4mce_2009_Narast"/>
      <sheetName val="Wyk2009"/>
      <sheetName val="RAZEM"/>
      <sheetName val="OEE"/>
      <sheetName val="KOEE"/>
      <sheetName val="EOEE"/>
      <sheetName val="POZ"/>
      <sheetName val="Dywidendy"/>
      <sheetName val="Tytuł_2"/>
      <sheetName val="PiKF_szcz_2010vs2009"/>
      <sheetName val="PiKF_prod_2010vs2009"/>
      <sheetName val="PIKF_08'2010"/>
      <sheetName val="Korekty"/>
      <sheetName val="listy"/>
      <sheetName val="KONS"/>
      <sheetName val="Komórki"/>
      <sheetName val="Zlecenia"/>
    </sheetNames>
    <definedNames>
      <definedName name="_xlbgnm.a2" refersTo="#ADR!"/>
      <definedName name="_xlbgnm.cf1" refersTo="#ADR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R00"/>
      <sheetName val="OBR01"/>
      <sheetName val="ADJUSTMENT"/>
      <sheetName val="Income Statement01"/>
      <sheetName val="Balance Sheet 2001"/>
      <sheetName val="Tax"/>
      <sheetName val="bilans 2001"/>
      <sheetName val="CF01"/>
      <sheetName val="INFDOD01"/>
      <sheetName val="INDEX"/>
      <sheetName val="Balance Sheet"/>
      <sheetName val="Income Statement"/>
      <sheetName val="Item 3"/>
      <sheetName val="Items 4,5,6"/>
      <sheetName val="Item 7"/>
      <sheetName val="Item 8"/>
      <sheetName val="Item 9"/>
      <sheetName val="Item 10"/>
      <sheetName val="Item 11"/>
      <sheetName val="Items 12,13,14"/>
      <sheetName val="Items 15,16"/>
      <sheetName val="Item 17"/>
      <sheetName val="Item 18.1"/>
      <sheetName val="Item 18.2"/>
      <sheetName val="Item 18.3"/>
      <sheetName val="Item 18.4.5.6.7"/>
      <sheetName val="Items 19,20,21"/>
      <sheetName val="Item 22"/>
      <sheetName val="Item 23"/>
      <sheetName val="Item 24"/>
      <sheetName val="Items 25,26,27,28"/>
      <sheetName val="Item 29"/>
      <sheetName val="Item 30"/>
      <sheetName val="Item 31"/>
      <sheetName val="INNE"/>
      <sheetName val="DATA2002"/>
      <sheetName val="Arkusz1"/>
      <sheetName val="BOT"/>
      <sheetName val="ster"/>
      <sheetName val="Korekty"/>
      <sheetName val="idx"/>
      <sheetName val="548-1"/>
      <sheetName val="Income_Statement01"/>
      <sheetName val="Balance_Sheet_2001"/>
      <sheetName val="bilans_2001"/>
      <sheetName val="Balance_Sheet"/>
      <sheetName val="Income_Statement"/>
      <sheetName val="Item_3"/>
      <sheetName val="Items_4,5,6"/>
      <sheetName val="Item_7"/>
      <sheetName val="Item_8"/>
      <sheetName val="Item_9"/>
      <sheetName val="Item_10"/>
      <sheetName val="Item_11"/>
      <sheetName val="Items_12,13,14"/>
      <sheetName val="Items_15,16"/>
      <sheetName val="Item_17"/>
      <sheetName val="Item_18_1"/>
      <sheetName val="Item_18_2"/>
      <sheetName val="Item_18_3"/>
      <sheetName val="Item_18_4_5_6_7"/>
      <sheetName val="Items_19,20,21"/>
      <sheetName val="Item_22"/>
      <sheetName val="Item_23"/>
      <sheetName val="Item_24"/>
      <sheetName val="Items_25,26,27,28"/>
      <sheetName val="Item_29"/>
      <sheetName val="Item_30"/>
      <sheetName val="Item_31"/>
      <sheetName val="Income_Statement011"/>
      <sheetName val="Balance_Sheet_20011"/>
      <sheetName val="bilans_20011"/>
      <sheetName val="Balance_Sheet1"/>
      <sheetName val="Income_Statement1"/>
      <sheetName val="Item_32"/>
      <sheetName val="Items_4,5,61"/>
      <sheetName val="Item_71"/>
      <sheetName val="Item_81"/>
      <sheetName val="Item_91"/>
      <sheetName val="Item_101"/>
      <sheetName val="Item_111"/>
      <sheetName val="Items_12,13,141"/>
      <sheetName val="Items_15,161"/>
      <sheetName val="Item_171"/>
      <sheetName val="Item_18_11"/>
      <sheetName val="Item_18_21"/>
      <sheetName val="Item_18_31"/>
      <sheetName val="Item_18_4_5_6_71"/>
      <sheetName val="Items_19,20,211"/>
      <sheetName val="Item_221"/>
      <sheetName val="Item_231"/>
      <sheetName val="Item_241"/>
      <sheetName val="Items_25,26,27,281"/>
      <sheetName val="Item_291"/>
      <sheetName val="Item_301"/>
      <sheetName val="Item_311"/>
      <sheetName val="Kontrahenci"/>
      <sheetName val="bazy"/>
      <sheetName val="Income_Statement012"/>
      <sheetName val="Balance_Sheet_20012"/>
      <sheetName val="bilans_20012"/>
      <sheetName val="Balance_Sheet2"/>
      <sheetName val="Income_Statement2"/>
      <sheetName val="Item_33"/>
      <sheetName val="Items_4,5,62"/>
      <sheetName val="Item_72"/>
      <sheetName val="Item_82"/>
      <sheetName val="Item_92"/>
      <sheetName val="Item_102"/>
      <sheetName val="Item_112"/>
      <sheetName val="Items_12,13,142"/>
      <sheetName val="Items_15,162"/>
      <sheetName val="Item_172"/>
      <sheetName val="Item_18_12"/>
      <sheetName val="Item_18_22"/>
      <sheetName val="Item_18_32"/>
      <sheetName val="Item_18_4_5_6_72"/>
      <sheetName val="Items_19,20,212"/>
      <sheetName val="Item_222"/>
      <sheetName val="Item_232"/>
      <sheetName val="Item_242"/>
      <sheetName val="Items_25,26,27,282"/>
      <sheetName val="Item_292"/>
      <sheetName val="Item_302"/>
      <sheetName val="Item_312"/>
      <sheetName val="Income_Statement013"/>
      <sheetName val="Balance_Sheet_20013"/>
      <sheetName val="bilans_20013"/>
      <sheetName val="Balance_Sheet3"/>
      <sheetName val="Income_Statement3"/>
      <sheetName val="Item_34"/>
      <sheetName val="Items_4,5,63"/>
      <sheetName val="Item_73"/>
      <sheetName val="Item_83"/>
      <sheetName val="Item_93"/>
      <sheetName val="Item_103"/>
      <sheetName val="Item_113"/>
      <sheetName val="Items_12,13,143"/>
      <sheetName val="Items_15,163"/>
      <sheetName val="Item_173"/>
      <sheetName val="Item_18_13"/>
      <sheetName val="Item_18_23"/>
      <sheetName val="Item_18_33"/>
      <sheetName val="Item_18_4_5_6_73"/>
      <sheetName val="Items_19,20,213"/>
      <sheetName val="Item_223"/>
      <sheetName val="Item_233"/>
      <sheetName val="Item_243"/>
      <sheetName val="Items_25,26,27,283"/>
      <sheetName val="Item_293"/>
      <sheetName val="Item_303"/>
      <sheetName val="Item_313"/>
      <sheetName val="Income_Statement014"/>
      <sheetName val="Balance_Sheet_20014"/>
      <sheetName val="bilans_20014"/>
      <sheetName val="Balance_Sheet4"/>
      <sheetName val="Income_Statement4"/>
      <sheetName val="Item_35"/>
      <sheetName val="Items_4,5,64"/>
      <sheetName val="Item_74"/>
      <sheetName val="Item_84"/>
      <sheetName val="Item_94"/>
      <sheetName val="Item_104"/>
      <sheetName val="Item_114"/>
      <sheetName val="Items_12,13,144"/>
      <sheetName val="Items_15,164"/>
      <sheetName val="Item_174"/>
      <sheetName val="Item_18_14"/>
      <sheetName val="Item_18_24"/>
      <sheetName val="Item_18_34"/>
      <sheetName val="Item_18_4_5_6_74"/>
      <sheetName val="Items_19,20,214"/>
      <sheetName val="Item_224"/>
      <sheetName val="Item_234"/>
      <sheetName val="Item_244"/>
      <sheetName val="Items_25,26,27,284"/>
      <sheetName val="Item_294"/>
      <sheetName val="Item_304"/>
      <sheetName val="Item_314"/>
      <sheetName val="Income_Statement015"/>
      <sheetName val="Balance_Sheet_20015"/>
      <sheetName val="bilans_20015"/>
      <sheetName val="Balance_Sheet5"/>
      <sheetName val="Income_Statement5"/>
      <sheetName val="Item_36"/>
      <sheetName val="Items_4,5,65"/>
      <sheetName val="Item_75"/>
      <sheetName val="Item_85"/>
      <sheetName val="Item_95"/>
      <sheetName val="Item_105"/>
      <sheetName val="Item_115"/>
      <sheetName val="Items_12,13,145"/>
      <sheetName val="Items_15,165"/>
      <sheetName val="Item_175"/>
      <sheetName val="Item_18_15"/>
      <sheetName val="Item_18_25"/>
      <sheetName val="Item_18_35"/>
      <sheetName val="Item_18_4_5_6_75"/>
      <sheetName val="Items_19,20,215"/>
      <sheetName val="Item_225"/>
      <sheetName val="Item_235"/>
      <sheetName val="Item_245"/>
      <sheetName val="Items_25,26,27,285"/>
      <sheetName val="Item_295"/>
      <sheetName val="Item_305"/>
      <sheetName val="Item_315"/>
      <sheetName val="Income_Statement016"/>
      <sheetName val="Balance_Sheet_20016"/>
      <sheetName val="bilans_20016"/>
      <sheetName val="Balance_Sheet6"/>
      <sheetName val="Income_Statement6"/>
      <sheetName val="Item_37"/>
      <sheetName val="Items_4,5,66"/>
      <sheetName val="Item_76"/>
      <sheetName val="Item_86"/>
      <sheetName val="Item_96"/>
      <sheetName val="Item_106"/>
      <sheetName val="Item_116"/>
      <sheetName val="Items_12,13,146"/>
      <sheetName val="Items_15,166"/>
      <sheetName val="Item_176"/>
      <sheetName val="Item_18_16"/>
      <sheetName val="Item_18_26"/>
      <sheetName val="Item_18_36"/>
      <sheetName val="Item_18_4_5_6_76"/>
      <sheetName val="Items_19,20,216"/>
      <sheetName val="Item_226"/>
      <sheetName val="Item_236"/>
      <sheetName val="Item_246"/>
      <sheetName val="Items_25,26,27,286"/>
      <sheetName val="Item_296"/>
      <sheetName val="Item_306"/>
      <sheetName val="Item_316"/>
      <sheetName val="ZE_w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7">
          <cell r="C107">
            <v>175019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na tytułowa"/>
      <sheetName val="Wstęp"/>
      <sheetName val="Załącznik"/>
      <sheetName val="Bilans"/>
      <sheetName val="SA_RS"/>
      <sheetName val="1"/>
      <sheetName val="2"/>
      <sheetName val="3"/>
      <sheetName val="4"/>
      <sheetName val="5"/>
      <sheetName val="6"/>
      <sheetName val="Noty objaśniające"/>
      <sheetName val="nota4"/>
      <sheetName val="nota8"/>
      <sheetName val="nota12"/>
      <sheetName val="nota19"/>
      <sheetName val="noty 2,16"/>
      <sheetName val="nota 33"/>
      <sheetName val="nota 34"/>
      <sheetName val="Podpisy"/>
      <sheetName val="waluty"/>
    </sheetNames>
    <sheetDataSet>
      <sheetData sheetId="0"/>
      <sheetData sheetId="1"/>
      <sheetData sheetId="2"/>
      <sheetData sheetId="3" refreshError="1">
        <row r="41">
          <cell r="C41">
            <v>358311</v>
          </cell>
          <cell r="D41">
            <v>383988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"/>
      <sheetName val="F1-accounts"/>
      <sheetName val="F2"/>
      <sheetName val="C"/>
      <sheetName val="C-1 (RIEPS009)"/>
      <sheetName val="C-20"/>
      <sheetName val="C-21"/>
      <sheetName val="C-22"/>
      <sheetName val="PBC-VMAST009"/>
      <sheetName val="PBC-VCON009"/>
      <sheetName val="PBC-VCON009A"/>
      <sheetName val="PBC-CA00MAG"/>
      <sheetName val="PBC-VMAT009"/>
      <sheetName val="PBC-VVET009"/>
      <sheetName val="Tax"/>
      <sheetName val="Arkusz1"/>
      <sheetName val="C-1_(RIEPS009)"/>
      <sheetName val="C-1_(RIEPS009)1"/>
      <sheetName val="C-Variances"/>
      <sheetName val="DBIL"/>
      <sheetName val="DRZIS"/>
      <sheetName val="KOSZTY"/>
      <sheetName val="DROZR"/>
      <sheetName val="Słowniki"/>
      <sheetName val="Komórki"/>
      <sheetName val="C-1_(RIEPS009)2"/>
      <sheetName val="ster"/>
      <sheetName val="idx"/>
      <sheetName val="C-1_(RIEPS009)3"/>
      <sheetName val="Stopień wykonania"/>
      <sheetName val="bazy"/>
      <sheetName val="40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SF_PGE_2010_prog X"/>
      <sheetName val="Wyłączenia_IVQ_PGESA"/>
      <sheetName val="302_06"/>
      <sheetName val="333_06"/>
      <sheetName val="Wyłączenia_IVQ_PGESA.xlsx"/>
      <sheetName val="//localhost/controlling/Rachune"/>
      <sheetName val="Wy%C5%82%C4%85czenia_IVQ_PGESA"/>
      <sheetName val="Wy%25C5%2582%25C4%2585czenia_IV"/>
      <sheetName val="Wy%C5%82%C4%85czenia_IVQ_PGESA."/>
      <sheetName val="MSSF_PGE_2010_prog_X"/>
      <sheetName val="Wyłączenia_IVQ_PGESA_xlsx"/>
      <sheetName val="Wy%C5%82%C4%85czenia_IVQ_PGESA_"/>
    </sheetNames>
    <definedNames>
      <definedName name="__________cf1" refersTo="#ADR!"/>
      <definedName name="_________a2" refersTo="#ADR!"/>
      <definedName name="_________cf1" refersTo="#ADR!"/>
      <definedName name="_______a2" refersTo="#ADR!"/>
      <definedName name="______cf1" refersTo="#ADR!"/>
      <definedName name="____a2" refersTo="#ADR!"/>
      <definedName name="bbb" refersTo="#ADR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ACE MOD-ODTWORZ"/>
    </sheetNames>
    <sheetDataSet>
      <sheetData sheetId="0" refreshError="1">
        <row r="3">
          <cell r="A3" t="str">
            <v>Lp.</v>
          </cell>
          <cell r="B3" t="str">
            <v>Nr zlec.</v>
          </cell>
          <cell r="C3" t="str">
            <v>Zakres prac</v>
          </cell>
          <cell r="D3" t="str">
            <v>Nakłady    w 1998r.</v>
          </cell>
          <cell r="E3" t="str">
            <v>Prowadzący</v>
          </cell>
          <cell r="F3" t="str">
            <v>Wykonanie                  za 10 m-cy</v>
          </cell>
          <cell r="G3" t="str">
            <v>Prognoza                        na 12 m-cy</v>
          </cell>
          <cell r="H3" t="str">
            <v>Informacja o stanie realizacji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d_docel"/>
      <sheetName val="Kod_system"/>
      <sheetName val="Sprawdzenie"/>
      <sheetName val="Arkusz informacyjny"/>
      <sheetName val="Parametry"/>
      <sheetName val="Tytuł"/>
      <sheetName val="RZiS"/>
      <sheetName val="Kod_RZiS"/>
      <sheetName val="BS"/>
      <sheetName val="Kod_BS"/>
      <sheetName val="Kapitał"/>
      <sheetName val="Kod_Kapitały"/>
      <sheetName val="CF"/>
      <sheetName val="Sprzedaż"/>
      <sheetName val="Zakup"/>
      <sheetName val="KoRodz"/>
      <sheetName val="CO-PZS"/>
      <sheetName val="CO-KWS"/>
      <sheetName val="CO-PZS ELIMINACJE GKPGE (2)"/>
      <sheetName val="CO-KWS ELIMINACJE GKPGE (2)"/>
      <sheetName val="CO-PZS ELIMINACJE GKPGE"/>
      <sheetName val="CO-KWS ELIMINACJE GKPGE"/>
      <sheetName val="Nota 12"/>
      <sheetName val="Nota 13"/>
      <sheetName val="Kod_Noty_13"/>
      <sheetName val="Nota 14.1 i 2"/>
      <sheetName val="Kod_Noty_14.1 i 2"/>
      <sheetName val="Nota 14.3"/>
      <sheetName val="Kod_Nota_14.3"/>
      <sheetName val="Nota 15"/>
      <sheetName val="Nota 16"/>
      <sheetName val="Kod_Noty_16"/>
      <sheetName val="Nota 18"/>
      <sheetName val="Nota 19"/>
      <sheetName val="Kod_Noty_19"/>
      <sheetName val="Nota 19.1"/>
      <sheetName val="Nota 20"/>
      <sheetName val="Kod_Not_20"/>
      <sheetName val="Nota 21"/>
      <sheetName val="Kod_Noty_21"/>
      <sheetName val="Nota 22"/>
      <sheetName val="Kod_Noty_22"/>
      <sheetName val="Nota 23"/>
      <sheetName val="Nota 26.1-2"/>
      <sheetName val="Kod_Noty_26.1"/>
      <sheetName val="Nota 26.3-4"/>
      <sheetName val="Nota 26.5"/>
      <sheetName val="Nota 26.6"/>
      <sheetName val="Kod_Noty_26.6"/>
      <sheetName val="Nota 28"/>
      <sheetName val="Kod_Noty_28"/>
      <sheetName val="Nota 29"/>
      <sheetName val="Kod_Noty_29"/>
      <sheetName val="Nota  30"/>
      <sheetName val="Kod_Not_30"/>
      <sheetName val="Nota 31"/>
      <sheetName val="Kod_Noty_31"/>
      <sheetName val="BExRepositorySheet"/>
      <sheetName val="Nota 32"/>
      <sheetName val="Kod_Noty_32"/>
      <sheetName val="Nota 32.2"/>
      <sheetName val="Nota 33"/>
      <sheetName val="Kod_Noty_33"/>
      <sheetName val="Nota 34"/>
      <sheetName val="nota 35"/>
      <sheetName val="Kod_noty_35"/>
      <sheetName val="Nota 36"/>
      <sheetName val="Nota 39-40"/>
      <sheetName val="Kod_Noty_39"/>
      <sheetName val="B.1. Eliminacje - aktywa"/>
      <sheetName val="Kod_B.1"/>
      <sheetName val="B.2. Eliminacje -pasywa"/>
      <sheetName val="Kod_B.2"/>
      <sheetName val="B.3. udziały i akcje"/>
      <sheetName val="Kod_B.3"/>
      <sheetName val="B.5. Wiekowanie"/>
      <sheetName val="Kod_B.5"/>
      <sheetName val="F.1.PrzychFinans_2011"/>
      <sheetName val="Kod_F.1"/>
      <sheetName val="F.2.KosztyFinans_2011"/>
      <sheetName val="Kod_F.2"/>
      <sheetName val="26.4.1 Odpisy"/>
      <sheetName val="26.5.1 KredPożOblig"/>
      <sheetName val="26.6 ZobowInne"/>
      <sheetName val="Nota 26.7 Aktywa"/>
      <sheetName val="26.8 RyzykoKredytowe"/>
      <sheetName val="26.9 RyzykoCen"/>
      <sheetName val="26.10 PytaniaDodatk"/>
      <sheetName val="26.11.Zabezpieczenia"/>
      <sheetName val="26.12 Rach.Zab."/>
      <sheetName val="KONS"/>
      <sheetName val="listy"/>
      <sheetName val="BAZA Pakiet MSSF za 2011_DC"/>
      <sheetName val="DBIL"/>
      <sheetName val="DRZIS"/>
      <sheetName val="KOSZTY"/>
      <sheetName val="DROZR"/>
      <sheetName val="Arkusz_informacyjny"/>
      <sheetName val="CO-PZS_ELIMINACJE_GKPGE_(2)"/>
      <sheetName val="CO-KWS_ELIMINACJE_GKPGE_(2)"/>
      <sheetName val="CO-PZS_ELIMINACJE_GKPGE"/>
      <sheetName val="CO-KWS_ELIMINACJE_GKPGE"/>
      <sheetName val="Nota_12"/>
      <sheetName val="Nota_13"/>
      <sheetName val="Nota_14_1_i_2"/>
      <sheetName val="Kod_Noty_14_1_i_2"/>
      <sheetName val="Nota_14_3"/>
      <sheetName val="Kod_Nota_14_3"/>
      <sheetName val="Nota_15"/>
      <sheetName val="Nota_16"/>
      <sheetName val="Nota_18"/>
      <sheetName val="Nota_19"/>
      <sheetName val="Nota_19_1"/>
      <sheetName val="Nota_20"/>
      <sheetName val="Nota_21"/>
      <sheetName val="Nota_22"/>
      <sheetName val="Nota_23"/>
      <sheetName val="Nota_26_1-2"/>
      <sheetName val="Kod_Noty_26_1"/>
      <sheetName val="Nota_26_3-4"/>
      <sheetName val="Nota_26_5"/>
      <sheetName val="Nota_26_6"/>
      <sheetName val="Kod_Noty_26_6"/>
      <sheetName val="Nota_28"/>
      <sheetName val="Nota_29"/>
      <sheetName val="Nota__30"/>
      <sheetName val="Nota_31"/>
      <sheetName val="Nota_32"/>
      <sheetName val="Nota_32_2"/>
      <sheetName val="Nota_33"/>
      <sheetName val="Nota_34"/>
      <sheetName val="nota_35"/>
      <sheetName val="Nota_36"/>
      <sheetName val="Nota_39-40"/>
      <sheetName val="B_1__Eliminacje_-_aktywa"/>
      <sheetName val="Kod_B_1"/>
      <sheetName val="B_2__Eliminacje_-pasywa"/>
      <sheetName val="Kod_B_2"/>
      <sheetName val="B_3__udziały_i_akcje"/>
      <sheetName val="Kod_B_3"/>
      <sheetName val="B_5__Wiekowanie"/>
      <sheetName val="Kod_B_5"/>
      <sheetName val="F_1_PrzychFinans_2011"/>
      <sheetName val="Kod_F_1"/>
      <sheetName val="F_2_KosztyFinans_2011"/>
      <sheetName val="Kod_F_2"/>
      <sheetName val="26_4_1_Odpisy"/>
      <sheetName val="26_5_1_KredPożOblig"/>
      <sheetName val="26_6_ZobowInne"/>
      <sheetName val="Nota_26_7_Aktywa"/>
      <sheetName val="26_8_RyzykoKredytowe"/>
      <sheetName val="26_9_RyzykoCen"/>
      <sheetName val="26_10_PytaniaDodatk"/>
      <sheetName val="26_11_Zabezpieczenia"/>
      <sheetName val="26_12_Rach_Zab_"/>
      <sheetName val="Kontrahenci"/>
      <sheetName val="bazy"/>
      <sheetName val="PBC-VCON009A"/>
      <sheetName val=""/>
      <sheetName val="Arkusz_informacyjny1"/>
      <sheetName val="CO-PZS_ELIMINACJE_GKPGE_(2)1"/>
      <sheetName val="CO-KWS_ELIMINACJE_GKPGE_(2)1"/>
      <sheetName val="CO-PZS_ELIMINACJE_GKPGE1"/>
      <sheetName val="CO-KWS_ELIMINACJE_GKPGE1"/>
      <sheetName val="Nota_121"/>
      <sheetName val="Nota_131"/>
      <sheetName val="Nota_14_1_i_21"/>
      <sheetName val="Kod_Noty_14_1_i_21"/>
      <sheetName val="Nota_14_31"/>
      <sheetName val="Kod_Nota_14_31"/>
      <sheetName val="Nota_151"/>
      <sheetName val="Nota_161"/>
      <sheetName val="Nota_181"/>
      <sheetName val="Nota_191"/>
      <sheetName val="Nota_19_11"/>
      <sheetName val="Nota_201"/>
      <sheetName val="Nota_211"/>
      <sheetName val="Nota_221"/>
      <sheetName val="Nota_231"/>
      <sheetName val="Nota_26_1-21"/>
      <sheetName val="Kod_Noty_26_11"/>
      <sheetName val="Nota_26_3-41"/>
      <sheetName val="Nota_26_51"/>
      <sheetName val="Nota_26_61"/>
      <sheetName val="Kod_Noty_26_61"/>
      <sheetName val="Nota_281"/>
      <sheetName val="Nota_291"/>
      <sheetName val="Nota__301"/>
      <sheetName val="Nota_311"/>
      <sheetName val="Nota_321"/>
      <sheetName val="Nota_32_21"/>
      <sheetName val="Nota_331"/>
      <sheetName val="Nota_341"/>
      <sheetName val="nota_351"/>
      <sheetName val="Nota_361"/>
      <sheetName val="Nota_39-401"/>
      <sheetName val="B_1__Eliminacje_-_aktywa1"/>
      <sheetName val="Kod_B_11"/>
      <sheetName val="B_2__Eliminacje_-pasywa1"/>
      <sheetName val="Kod_B_21"/>
      <sheetName val="B_3__udziały_i_akcje1"/>
      <sheetName val="Kod_B_31"/>
      <sheetName val="B_5__Wiekowanie1"/>
      <sheetName val="Kod_B_51"/>
      <sheetName val="F_1_PrzychFinans_20111"/>
      <sheetName val="Kod_F_11"/>
      <sheetName val="F_2_KosztyFinans_20111"/>
      <sheetName val="Kod_F_21"/>
      <sheetName val="26_4_1_Odpisy1"/>
      <sheetName val="26_5_1_KredPożOblig1"/>
      <sheetName val="26_6_ZobowInne1"/>
      <sheetName val="Nota_26_7_Aktywa1"/>
      <sheetName val="26_8_RyzykoKredytowe1"/>
      <sheetName val="26_9_RyzykoCen1"/>
      <sheetName val="26_10_PytaniaDodatk1"/>
      <sheetName val="26_11_Zabezpieczenia1"/>
      <sheetName val="26_12_Rach_Zab_1"/>
      <sheetName val="BAZA_Pakiet_MSSF_za_2011_DC"/>
      <sheetName val="idx"/>
      <sheetName val="DANE"/>
      <sheetName val="Wyłaczenia"/>
      <sheetName val="nota nr 1 "/>
      <sheetName val="podst. opodatk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1"/>
      <sheetName val="var2"/>
      <sheetName val="idx"/>
      <sheetName val="varEW"/>
      <sheetName val="varSI"/>
      <sheetName val="varZE"/>
      <sheetName val="varKA"/>
      <sheetName val="varWO"/>
      <sheetName val="varPR"/>
      <sheetName val="VHP_p6_10"/>
      <sheetName val="SI_p6_10"/>
      <sheetName val="ZE_p6_10"/>
      <sheetName val="KA_p6_10"/>
      <sheetName val="WO_p6_10"/>
      <sheetName val="PR_p6_10"/>
      <sheetName val="VHP_bp79_07"/>
      <sheetName val="SI_bp79_07"/>
      <sheetName val="ZE_bp79_07"/>
      <sheetName val="KA_bp79_07"/>
      <sheetName val="WO_bp79_07"/>
      <sheetName val="PR_bp79_07"/>
      <sheetName val="SI_bp79_08"/>
      <sheetName val="ZE_bp79_08"/>
      <sheetName val="KA_bp79_08"/>
      <sheetName val="WO_bp79_08"/>
      <sheetName val="PR_bp79_08"/>
      <sheetName val="VHP_bp79_08"/>
      <sheetName val="SI_bp79_09"/>
      <sheetName val="ZE_bp79_09"/>
      <sheetName val="KA_bp79_09"/>
      <sheetName val="WO_bp79_09"/>
      <sheetName val="PR_bp79_09"/>
      <sheetName val="VHP_bp79_09"/>
      <sheetName val="Summary"/>
      <sheetName val="Emisje-wnioski"/>
      <sheetName val="Emisje-założ."/>
      <sheetName val="EW_emisje_baza"/>
      <sheetName val="SI_emisje_baza"/>
      <sheetName val="ZE_emisje_baza"/>
      <sheetName val="KA_emisje_baza"/>
      <sheetName val="WO_emisje_baza"/>
      <sheetName val="PR_emisje_baza"/>
      <sheetName val="EW_emisje_sym"/>
      <sheetName val="SI_emisje_sym"/>
      <sheetName val="ZE_emisje_sym"/>
      <sheetName val="KA_emisje_sym"/>
      <sheetName val="WO_emisje_sym"/>
      <sheetName val="PR_emisje_sym"/>
      <sheetName val="Kontrahenci"/>
      <sheetName val="bazy"/>
      <sheetName val="PBC-VCON009A"/>
      <sheetName val="zbitka"/>
      <sheetName val="TW"/>
      <sheetName val="Analizy do emisji_BPlan_0709"/>
      <sheetName val="plan operacyjny 2009"/>
      <sheetName val="Wyłaczenia"/>
      <sheetName val="Dane_koszty"/>
      <sheetName val="slajdy"/>
      <sheetName val="PRZIS - WYD"/>
      <sheetName val="DanePodst"/>
      <sheetName val="KONS"/>
      <sheetName val="Emisje-założ_"/>
      <sheetName val="Analizy_do_emisji_BPlan_0709"/>
      <sheetName val="plan_operacyjny_2009"/>
      <sheetName val="PRZIS_-_WYD"/>
      <sheetName val="Emisje-założ_1"/>
      <sheetName val="Analizy_do_emisji_BPlan_07091"/>
      <sheetName val="plan_operacyjny_20091"/>
      <sheetName val="PRZIS_-_WYD1"/>
      <sheetName val="ster"/>
      <sheetName val="Emisje-założ_2"/>
      <sheetName val="Analizy_do_emisji_BPlan_07092"/>
      <sheetName val="plan_operacyjny_20092"/>
      <sheetName val="PRZIS_-_WYD2"/>
      <sheetName val="Emisje-założ_3"/>
      <sheetName val="Analizy_do_emisji_BPlan_07093"/>
      <sheetName val="plan_operacyjny_20093"/>
      <sheetName val="PRZIS_-_WYD3"/>
      <sheetName val="Emisje-założ_4"/>
      <sheetName val="Analizy_do_emisji_BPlan_07094"/>
      <sheetName val="plan_operacyjny_20094"/>
      <sheetName val="PRZIS_-_WYD4"/>
      <sheetName val="lista"/>
      <sheetName val="zakup z MEC_tylko pw 2010"/>
      <sheetName val="en. el.zakup z MEC_plan 11"/>
      <sheetName val="Tax"/>
    </sheetNames>
    <sheetDataSet>
      <sheetData sheetId="0" refreshError="1"/>
      <sheetData sheetId="1" refreshError="1"/>
      <sheetData sheetId="2" refreshError="1">
        <row r="24">
          <cell r="B24" t="str">
            <v>B.Plan07</v>
          </cell>
          <cell r="C24" t="str">
            <v>_bp79_07</v>
          </cell>
        </row>
        <row r="25">
          <cell r="B25" t="str">
            <v>B.Plan08</v>
          </cell>
          <cell r="C25" t="str">
            <v>_bp79_08</v>
          </cell>
        </row>
        <row r="26">
          <cell r="B26" t="str">
            <v>B.Plan09</v>
          </cell>
          <cell r="C26" t="str">
            <v>_bp79_09</v>
          </cell>
        </row>
        <row r="31">
          <cell r="B31" t="str">
            <v>Wykonanie 05</v>
          </cell>
          <cell r="C31" t="str">
            <v>_w05</v>
          </cell>
        </row>
        <row r="32">
          <cell r="B32" t="str">
            <v>Prognoza po10.2006</v>
          </cell>
          <cell r="C32" t="str">
            <v>_p6_10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tuł - PGE"/>
      <sheetName val="Spis treści "/>
      <sheetName val="III.1 Zadania PGE"/>
      <sheetName val="III.2 DRUK PGE   "/>
      <sheetName val="KONIEC DLA PGE"/>
      <sheetName val="Tytuł - wersja robocza  "/>
      <sheetName val="Grupy KWB"/>
      <sheetName val="inwestycje_PI"/>
      <sheetName val="Wykresy PGE"/>
      <sheetName val="Struktura"/>
      <sheetName val="WykresMies"/>
      <sheetName val="Wykres Grupy"/>
      <sheetName val="Tabela Wstępu"/>
      <sheetName val="Rodzaj zad"/>
      <sheetName val="Dane do wykresu - grupyPGE"/>
      <sheetName val="Arkusz2"/>
      <sheetName val="plan operacyjny 2009"/>
      <sheetName val="DCF"/>
      <sheetName val="INFDOD"/>
      <sheetName val="idx"/>
      <sheetName val="Tytuł_-_PGE1"/>
      <sheetName val="Spis_treści_1"/>
      <sheetName val="III_1_Zadania_PGE1"/>
      <sheetName val="III_2_DRUK_PGE___1"/>
      <sheetName val="KONIEC_DLA_PGE1"/>
      <sheetName val="Tytuł_-_wersja_robocza__1"/>
      <sheetName val="Grupy_KWB1"/>
      <sheetName val="Wykresy_PGE1"/>
      <sheetName val="Wykres_Grupy1"/>
      <sheetName val="Tabela_Wstępu1"/>
      <sheetName val="Rodzaj_zad1"/>
      <sheetName val="Dane_do_wykresu_-_grupyPGE1"/>
      <sheetName val="plan_operacyjny_20091"/>
      <sheetName val="Tytuł_-_PGE"/>
      <sheetName val="Spis_treści_"/>
      <sheetName val="III_1_Zadania_PGE"/>
      <sheetName val="III_2_DRUK_PGE___"/>
      <sheetName val="KONIEC_DLA_PGE"/>
      <sheetName val="Tytuł_-_wersja_robocza__"/>
      <sheetName val="Grupy_KWB"/>
      <sheetName val="Wykresy_PGE"/>
      <sheetName val="Wykres_Grupy"/>
      <sheetName val="Tabela_Wstępu"/>
      <sheetName val="Rodzaj_zad"/>
      <sheetName val="Dane_do_wykresu_-_grupyPGE"/>
      <sheetName val="plan_operacyjny_2009"/>
      <sheetName val="Tytuł_-_PGE2"/>
      <sheetName val="Spis_treści_2"/>
      <sheetName val="III_1_Zadania_PGE2"/>
      <sheetName val="III_2_DRUK_PGE___2"/>
      <sheetName val="KONIEC_DLA_PGE2"/>
      <sheetName val="Tytuł_-_wersja_robocza__2"/>
      <sheetName val="Grupy_KWB2"/>
      <sheetName val="Wykresy_PGE2"/>
      <sheetName val="Wykres_Grupy2"/>
      <sheetName val="Tabela_Wstępu2"/>
      <sheetName val="Rodzaj_zad2"/>
      <sheetName val="Dane_do_wykresu_-_grupyPGE2"/>
      <sheetName val="plan_operacyjny_20092"/>
      <sheetName val="Tytuł_-_PGE3"/>
      <sheetName val="Spis_treści_3"/>
      <sheetName val="III_1_Zadania_PGE3"/>
      <sheetName val="III_2_DRUK_PGE___3"/>
      <sheetName val="KONIEC_DLA_PGE3"/>
      <sheetName val="Tytuł_-_wersja_robocza__3"/>
      <sheetName val="Grupy_KWB3"/>
      <sheetName val="Wykresy_PGE3"/>
      <sheetName val="Wykres_Grupy3"/>
      <sheetName val="Tabela_Wstępu3"/>
      <sheetName val="Rodzaj_zad3"/>
      <sheetName val="Dane_do_wykresu_-_grupyPGE3"/>
      <sheetName val="plan_operacyjny_20093"/>
      <sheetName val="Tytuł_-_PGE4"/>
      <sheetName val="Spis_treści_4"/>
      <sheetName val="III_1_Zadania_PGE4"/>
      <sheetName val="III_2_DRUK_PGE___4"/>
      <sheetName val="KONIEC_DLA_PGE4"/>
      <sheetName val="Tytuł_-_wersja_robocza__4"/>
      <sheetName val="Grupy_KWB4"/>
      <sheetName val="Wykresy_PGE4"/>
      <sheetName val="Wykres_Grupy4"/>
      <sheetName val="Tabela_Wstępu4"/>
      <sheetName val="Rodzaj_zad4"/>
      <sheetName val="Dane_do_wykresu_-_grupyPGE4"/>
      <sheetName val="plan_operacyjny_20094"/>
      <sheetName val="Tytuł_-_PGE5"/>
      <sheetName val="Spis_treści_5"/>
      <sheetName val="III_1_Zadania_PGE5"/>
      <sheetName val="III_2_DRUK_PGE___5"/>
      <sheetName val="KONIEC_DLA_PGE5"/>
      <sheetName val="Tytuł_-_wersja_robocza__5"/>
      <sheetName val="Grupy_KWB5"/>
      <sheetName val="Wykresy_PGE5"/>
      <sheetName val="Wykres_Grupy5"/>
      <sheetName val="Tabela_Wstępu5"/>
      <sheetName val="Rodzaj_zad5"/>
      <sheetName val="Dane_do_wykresu_-_grupyPGE5"/>
      <sheetName val="plan_operacyjny_20095"/>
      <sheetName val="Instru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43">
          <cell r="C143" t="str">
            <v>O</v>
          </cell>
        </row>
        <row r="144">
          <cell r="C144" t="str">
            <v>M</v>
          </cell>
        </row>
        <row r="145">
          <cell r="C145" t="str">
            <v>R</v>
          </cell>
        </row>
        <row r="146">
          <cell r="C146" t="str">
            <v>I</v>
          </cell>
        </row>
      </sheetData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43">
          <cell r="C143" t="str">
            <v>O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43">
          <cell r="C143" t="str">
            <v>O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143">
          <cell r="C143" t="str">
            <v>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143">
          <cell r="C143" t="str">
            <v>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>
        <row r="143">
          <cell r="C143" t="str">
            <v>O</v>
          </cell>
        </row>
      </sheetData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>
        <row r="143">
          <cell r="C143" t="str">
            <v>O</v>
          </cell>
        </row>
      </sheetData>
      <sheetData sheetId="9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żowy"/>
      <sheetName val="jubileusze"/>
      <sheetName val="składniki"/>
      <sheetName val="emeryt"/>
      <sheetName val="zbitka"/>
      <sheetName val="idx"/>
      <sheetName val="PBC-VCON009A"/>
      <sheetName val="Wyłaczenia"/>
      <sheetName val="2003"/>
      <sheetName val="Kontrahenci"/>
      <sheetName val="bazy"/>
      <sheetName val="slajdy"/>
      <sheetName val="DBIL"/>
      <sheetName val="DRZIS"/>
      <sheetName val="KOSZTY"/>
      <sheetName val="DROZ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 t="str">
            <v>ADAMCZYK IR</v>
          </cell>
          <cell r="D3" t="str">
            <v xml:space="preserve">IRENA </v>
          </cell>
          <cell r="E3">
            <v>1</v>
          </cell>
          <cell r="F3" t="str">
            <v>Prac. ds. Kadrowych lub Socjalnych I</v>
          </cell>
          <cell r="G3" t="str">
            <v>H</v>
          </cell>
          <cell r="H3">
            <v>3075</v>
          </cell>
        </row>
        <row r="4">
          <cell r="C4" t="str">
            <v>ADAMCZYK AR</v>
          </cell>
          <cell r="D4" t="str">
            <v xml:space="preserve">ARTUR </v>
          </cell>
          <cell r="E4">
            <v>1</v>
          </cell>
          <cell r="F4" t="str">
            <v>Kier. Działu Rozliczeń Inwestycji</v>
          </cell>
          <cell r="G4" t="str">
            <v>M</v>
          </cell>
          <cell r="H4">
            <v>5800</v>
          </cell>
        </row>
        <row r="5">
          <cell r="C5" t="str">
            <v xml:space="preserve">ADAMIEC </v>
          </cell>
          <cell r="D5" t="str">
            <v xml:space="preserve">JAN </v>
          </cell>
          <cell r="E5">
            <v>1</v>
          </cell>
          <cell r="F5" t="str">
            <v>Pracownik Ochrony I</v>
          </cell>
          <cell r="G5" t="str">
            <v>C</v>
          </cell>
          <cell r="H5">
            <v>1312</v>
          </cell>
        </row>
        <row r="6">
          <cell r="C6" t="str">
            <v xml:space="preserve">ANDRZEJCZUK </v>
          </cell>
          <cell r="D6" t="str">
            <v>AGNIESZKA</v>
          </cell>
          <cell r="E6">
            <v>1</v>
          </cell>
          <cell r="F6" t="str">
            <v>Analityk Marketingowy II</v>
          </cell>
          <cell r="G6" t="str">
            <v>L</v>
          </cell>
          <cell r="H6">
            <v>3900</v>
          </cell>
        </row>
        <row r="7">
          <cell r="C7" t="str">
            <v xml:space="preserve">ANTOS </v>
          </cell>
          <cell r="D7" t="str">
            <v>PAWEŁ</v>
          </cell>
          <cell r="E7">
            <v>1</v>
          </cell>
          <cell r="F7" t="str">
            <v>Handlowiec I</v>
          </cell>
          <cell r="G7" t="str">
            <v>E</v>
          </cell>
          <cell r="H7">
            <v>2300</v>
          </cell>
        </row>
        <row r="8">
          <cell r="C8" t="str">
            <v>BANASZEK</v>
          </cell>
          <cell r="D8" t="str">
            <v>DANUTA</v>
          </cell>
          <cell r="E8">
            <v>1</v>
          </cell>
          <cell r="F8" t="str">
            <v>Księgowy III</v>
          </cell>
          <cell r="G8" t="str">
            <v>K</v>
          </cell>
          <cell r="H8">
            <v>3850</v>
          </cell>
        </row>
        <row r="9">
          <cell r="C9" t="str">
            <v xml:space="preserve">BANDZUL </v>
          </cell>
          <cell r="D9" t="str">
            <v>WALDEMAR</v>
          </cell>
          <cell r="E9">
            <v>0.98</v>
          </cell>
          <cell r="F9" t="str">
            <v>Analityk Systemowy II</v>
          </cell>
          <cell r="G9" t="str">
            <v>I</v>
          </cell>
          <cell r="H9">
            <v>3500</v>
          </cell>
        </row>
        <row r="10">
          <cell r="C10" t="str">
            <v xml:space="preserve">BAŃKOWSKA </v>
          </cell>
          <cell r="D10" t="str">
            <v xml:space="preserve">KATARZYNA </v>
          </cell>
          <cell r="E10">
            <v>1</v>
          </cell>
          <cell r="F10" t="str">
            <v>Kontroler Wydziałowy</v>
          </cell>
          <cell r="G10" t="str">
            <v>K</v>
          </cell>
          <cell r="H10">
            <v>3809</v>
          </cell>
        </row>
        <row r="11">
          <cell r="C11" t="str">
            <v xml:space="preserve">BAŃKOWSKI </v>
          </cell>
          <cell r="D11" t="str">
            <v xml:space="preserve">RAFAŁ </v>
          </cell>
          <cell r="E11">
            <v>1</v>
          </cell>
          <cell r="F11" t="str">
            <v>Ekonomista II</v>
          </cell>
          <cell r="G11" t="str">
            <v>L</v>
          </cell>
          <cell r="H11">
            <v>3635</v>
          </cell>
        </row>
        <row r="12">
          <cell r="C12" t="str">
            <v xml:space="preserve">BARAN </v>
          </cell>
          <cell r="D12" t="str">
            <v>JOLANTA</v>
          </cell>
          <cell r="E12">
            <v>1</v>
          </cell>
          <cell r="F12" t="str">
            <v>Ekonomista I</v>
          </cell>
          <cell r="G12" t="str">
            <v>J</v>
          </cell>
          <cell r="H12">
            <v>3000</v>
          </cell>
        </row>
        <row r="13">
          <cell r="C13" t="str">
            <v xml:space="preserve">BARBARSKA </v>
          </cell>
          <cell r="D13" t="str">
            <v>KATARZYNA</v>
          </cell>
          <cell r="E13">
            <v>1</v>
          </cell>
          <cell r="F13" t="str">
            <v>Ekonomista I</v>
          </cell>
          <cell r="G13" t="str">
            <v>J</v>
          </cell>
          <cell r="H13">
            <v>3691</v>
          </cell>
        </row>
        <row r="14">
          <cell r="C14" t="str">
            <v>BARC</v>
          </cell>
          <cell r="D14" t="str">
            <v xml:space="preserve">WANDA </v>
          </cell>
          <cell r="E14">
            <v>1</v>
          </cell>
          <cell r="F14" t="str">
            <v xml:space="preserve">Analityk ds. Strategii Ekorozwoju </v>
          </cell>
          <cell r="G14" t="str">
            <v>L</v>
          </cell>
          <cell r="H14">
            <v>5000</v>
          </cell>
        </row>
        <row r="15">
          <cell r="C15" t="str">
            <v>BARLIK</v>
          </cell>
          <cell r="D15" t="str">
            <v>TOMASZ</v>
          </cell>
          <cell r="E15">
            <v>1</v>
          </cell>
          <cell r="F15" t="str">
            <v>Inżynier Systemu II</v>
          </cell>
          <cell r="G15" t="str">
            <v>L</v>
          </cell>
          <cell r="H15">
            <v>4800</v>
          </cell>
        </row>
        <row r="16">
          <cell r="C16" t="str">
            <v>BARTOSIK AN</v>
          </cell>
          <cell r="D16" t="str">
            <v xml:space="preserve">ANDRZEJ </v>
          </cell>
          <cell r="E16">
            <v>1</v>
          </cell>
          <cell r="F16" t="str">
            <v>Analityk Systemowy I</v>
          </cell>
          <cell r="G16" t="str">
            <v>G</v>
          </cell>
          <cell r="H16">
            <v>2920</v>
          </cell>
        </row>
        <row r="17">
          <cell r="C17" t="str">
            <v>BARTOSIK AL.</v>
          </cell>
          <cell r="D17" t="str">
            <v>ALDONA</v>
          </cell>
          <cell r="E17">
            <v>1</v>
          </cell>
          <cell r="F17" t="str">
            <v>Handlowiec II</v>
          </cell>
          <cell r="G17" t="str">
            <v>H</v>
          </cell>
          <cell r="H17">
            <v>3081</v>
          </cell>
        </row>
        <row r="18">
          <cell r="C18" t="str">
            <v>BARTOSIK ZB</v>
          </cell>
          <cell r="D18" t="str">
            <v>ZBIGNIEW</v>
          </cell>
          <cell r="E18">
            <v>1</v>
          </cell>
          <cell r="F18" t="str">
            <v>Teleinformatyk III</v>
          </cell>
          <cell r="G18" t="str">
            <v>L</v>
          </cell>
          <cell r="H18">
            <v>3850</v>
          </cell>
        </row>
        <row r="19">
          <cell r="C19" t="str">
            <v>BASIŃSKA</v>
          </cell>
          <cell r="D19" t="str">
            <v>HALINA</v>
          </cell>
          <cell r="E19">
            <v>1</v>
          </cell>
          <cell r="F19" t="str">
            <v>Inspektor Utrzymania Urządzeń II</v>
          </cell>
          <cell r="G19" t="str">
            <v>J</v>
          </cell>
          <cell r="H19">
            <v>3600</v>
          </cell>
        </row>
        <row r="20">
          <cell r="C20" t="str">
            <v xml:space="preserve">BASISTA </v>
          </cell>
          <cell r="D20" t="str">
            <v>ARKADIUSZ</v>
          </cell>
          <cell r="E20">
            <v>1</v>
          </cell>
          <cell r="F20" t="str">
            <v>Analityk Systemowy I</v>
          </cell>
          <cell r="G20" t="str">
            <v>G</v>
          </cell>
          <cell r="H20">
            <v>2800</v>
          </cell>
        </row>
        <row r="21">
          <cell r="C21" t="str">
            <v xml:space="preserve">BASZKIEWICZ </v>
          </cell>
          <cell r="D21" t="str">
            <v xml:space="preserve">DARIUSZ </v>
          </cell>
          <cell r="E21">
            <v>1</v>
          </cell>
          <cell r="F21" t="str">
            <v>Inżynier Utrzymania Urządzeń I</v>
          </cell>
          <cell r="G21" t="str">
            <v>K</v>
          </cell>
          <cell r="H21">
            <v>3900</v>
          </cell>
        </row>
        <row r="22">
          <cell r="C22" t="str">
            <v xml:space="preserve">BATKO </v>
          </cell>
          <cell r="D22" t="str">
            <v>ELŻBIETA</v>
          </cell>
          <cell r="E22">
            <v>1</v>
          </cell>
          <cell r="F22" t="str">
            <v>Kancelista</v>
          </cell>
          <cell r="G22" t="str">
            <v>C</v>
          </cell>
          <cell r="H22">
            <v>1803</v>
          </cell>
        </row>
        <row r="23">
          <cell r="C23" t="str">
            <v xml:space="preserve">BATOR </v>
          </cell>
          <cell r="D23" t="str">
            <v>ZBIGNIEW</v>
          </cell>
          <cell r="E23">
            <v>1</v>
          </cell>
          <cell r="F23" t="str">
            <v>Inżynier Systemu III</v>
          </cell>
          <cell r="G23" t="str">
            <v>M</v>
          </cell>
          <cell r="H23">
            <v>5000</v>
          </cell>
        </row>
        <row r="24">
          <cell r="C24" t="str">
            <v xml:space="preserve">BAURSKI </v>
          </cell>
          <cell r="D24" t="str">
            <v xml:space="preserve">JACEK </v>
          </cell>
          <cell r="E24">
            <v>0.125</v>
          </cell>
          <cell r="F24" t="str">
            <v>Analityk Systemowy III</v>
          </cell>
          <cell r="G24" t="str">
            <v>K</v>
          </cell>
          <cell r="H24">
            <v>401</v>
          </cell>
        </row>
        <row r="25">
          <cell r="C25" t="str">
            <v>BAZEWICZ</v>
          </cell>
          <cell r="D25" t="str">
            <v>LECH</v>
          </cell>
          <cell r="E25">
            <v>1</v>
          </cell>
          <cell r="F25" t="str">
            <v>Audytor</v>
          </cell>
          <cell r="G25" t="str">
            <v>L</v>
          </cell>
          <cell r="H25">
            <v>4800</v>
          </cell>
        </row>
        <row r="26">
          <cell r="C26" t="str">
            <v xml:space="preserve">BĄK </v>
          </cell>
          <cell r="D26" t="str">
            <v xml:space="preserve">KRZYSZTOF </v>
          </cell>
          <cell r="E26">
            <v>1</v>
          </cell>
          <cell r="F26" t="str">
            <v>Inżynier Systemu II</v>
          </cell>
          <cell r="G26" t="str">
            <v>L</v>
          </cell>
          <cell r="H26">
            <v>3914</v>
          </cell>
        </row>
        <row r="27">
          <cell r="C27" t="str">
            <v>BEDNAREK</v>
          </cell>
          <cell r="D27" t="str">
            <v>JANUSZ</v>
          </cell>
          <cell r="E27">
            <v>1</v>
          </cell>
          <cell r="F27" t="str">
            <v>Inspektor Systemu</v>
          </cell>
          <cell r="G27" t="str">
            <v>H</v>
          </cell>
          <cell r="H27">
            <v>2600</v>
          </cell>
        </row>
        <row r="28">
          <cell r="C28" t="str">
            <v>BEDYŃSKA</v>
          </cell>
          <cell r="D28" t="str">
            <v xml:space="preserve">LIDIA </v>
          </cell>
          <cell r="E28">
            <v>1</v>
          </cell>
          <cell r="F28" t="str">
            <v>Handlowiec III</v>
          </cell>
          <cell r="G28" t="str">
            <v>J</v>
          </cell>
          <cell r="H28">
            <v>3510</v>
          </cell>
        </row>
        <row r="29">
          <cell r="C29" t="str">
            <v>BERNAŚ</v>
          </cell>
          <cell r="D29" t="str">
            <v>AGNIESZKA</v>
          </cell>
          <cell r="E29">
            <v>1</v>
          </cell>
          <cell r="F29" t="str">
            <v>Sekretarka I</v>
          </cell>
          <cell r="G29" t="str">
            <v>D</v>
          </cell>
          <cell r="H29">
            <v>2151</v>
          </cell>
        </row>
        <row r="30">
          <cell r="C30" t="str">
            <v>BIAŁEK KR</v>
          </cell>
          <cell r="D30" t="str">
            <v>KRYSTYNA</v>
          </cell>
          <cell r="E30">
            <v>1</v>
          </cell>
          <cell r="F30" t="str">
            <v>Koordynator ds. Inwestycji I</v>
          </cell>
          <cell r="G30" t="str">
            <v>K</v>
          </cell>
          <cell r="H30">
            <v>3850</v>
          </cell>
        </row>
        <row r="31">
          <cell r="C31" t="str">
            <v xml:space="preserve">BIAŁEK DO </v>
          </cell>
          <cell r="D31" t="str">
            <v>DOROTA</v>
          </cell>
          <cell r="E31">
            <v>0.75</v>
          </cell>
          <cell r="F31" t="str">
            <v>Pracownik Rozwoju Zawod. I</v>
          </cell>
          <cell r="G31" t="str">
            <v>H</v>
          </cell>
          <cell r="H31">
            <v>2300</v>
          </cell>
        </row>
        <row r="32">
          <cell r="C32" t="str">
            <v>BIELAK</v>
          </cell>
          <cell r="D32" t="str">
            <v>ADAM</v>
          </cell>
          <cell r="E32">
            <v>1</v>
          </cell>
          <cell r="F32" t="str">
            <v>Inspektor Systemu</v>
          </cell>
          <cell r="G32" t="str">
            <v>H</v>
          </cell>
          <cell r="H32">
            <v>2600</v>
          </cell>
        </row>
        <row r="33">
          <cell r="C33" t="str">
            <v>BIELAS</v>
          </cell>
          <cell r="D33" t="str">
            <v>MARCIN</v>
          </cell>
          <cell r="E33">
            <v>1</v>
          </cell>
          <cell r="F33" t="str">
            <v>Handlowiec I</v>
          </cell>
          <cell r="G33" t="str">
            <v>E</v>
          </cell>
          <cell r="H33">
            <v>2357</v>
          </cell>
        </row>
        <row r="34">
          <cell r="C34" t="str">
            <v xml:space="preserve">BIELAWSKI </v>
          </cell>
          <cell r="D34" t="str">
            <v xml:space="preserve">JERZY </v>
          </cell>
          <cell r="E34">
            <v>1</v>
          </cell>
          <cell r="F34" t="str">
            <v>Koordynator ds.  Inwestycji II</v>
          </cell>
          <cell r="G34" t="str">
            <v>L</v>
          </cell>
          <cell r="H34">
            <v>5000</v>
          </cell>
        </row>
        <row r="35">
          <cell r="C35" t="str">
            <v xml:space="preserve">BIELIŃSKI </v>
          </cell>
          <cell r="D35" t="str">
            <v>WŁADYSŁAW</v>
          </cell>
          <cell r="E35">
            <v>1</v>
          </cell>
          <cell r="F35" t="str">
            <v>Ekspert ds. techniczno-ruchowych i usług jakościowych</v>
          </cell>
          <cell r="G35" t="str">
            <v>N</v>
          </cell>
          <cell r="H35">
            <v>5900</v>
          </cell>
        </row>
        <row r="36">
          <cell r="C36" t="str">
            <v xml:space="preserve">BIERNACKA </v>
          </cell>
          <cell r="D36" t="str">
            <v xml:space="preserve">IWONA </v>
          </cell>
          <cell r="E36">
            <v>1</v>
          </cell>
          <cell r="F36" t="str">
            <v>Inżynier Systemu III</v>
          </cell>
          <cell r="G36" t="str">
            <v>M</v>
          </cell>
          <cell r="H36">
            <v>6046</v>
          </cell>
        </row>
        <row r="37">
          <cell r="C37" t="str">
            <v>BIERZOŃSKA</v>
          </cell>
          <cell r="D37" t="str">
            <v xml:space="preserve">BARBARA </v>
          </cell>
          <cell r="E37">
            <v>1</v>
          </cell>
          <cell r="F37" t="str">
            <v>Księgowy I</v>
          </cell>
          <cell r="G37" t="str">
            <v>G</v>
          </cell>
          <cell r="H37">
            <v>2495</v>
          </cell>
        </row>
        <row r="38">
          <cell r="C38" t="str">
            <v xml:space="preserve">BLOCH </v>
          </cell>
          <cell r="D38" t="str">
            <v>AGNIESZKA</v>
          </cell>
          <cell r="E38">
            <v>1</v>
          </cell>
          <cell r="F38" t="str">
            <v>Finansista I</v>
          </cell>
          <cell r="G38" t="str">
            <v>J</v>
          </cell>
          <cell r="H38">
            <v>2780</v>
          </cell>
        </row>
        <row r="39">
          <cell r="C39" t="str">
            <v>BŁAJSZCZAK</v>
          </cell>
          <cell r="D39" t="str">
            <v>GRZEGORZ</v>
          </cell>
          <cell r="E39">
            <v>1</v>
          </cell>
          <cell r="F39" t="str">
            <v>Inżynier Systemu III</v>
          </cell>
          <cell r="G39" t="str">
            <v>M</v>
          </cell>
          <cell r="H39">
            <v>5918</v>
          </cell>
        </row>
        <row r="40">
          <cell r="C40" t="str">
            <v xml:space="preserve">BOGUCKI </v>
          </cell>
          <cell r="D40" t="str">
            <v>TOMASZ</v>
          </cell>
          <cell r="E40">
            <v>1</v>
          </cell>
          <cell r="F40" t="str">
            <v>Główny Dyspozytor Systemu KDM-DIR</v>
          </cell>
          <cell r="G40" t="str">
            <v>N</v>
          </cell>
          <cell r="H40">
            <v>6498</v>
          </cell>
        </row>
        <row r="41">
          <cell r="C41" t="str">
            <v>BOGUSZ</v>
          </cell>
          <cell r="D41" t="str">
            <v>JANUSZ</v>
          </cell>
          <cell r="E41">
            <v>1</v>
          </cell>
          <cell r="F41" t="str">
            <v>Dyspozytor Systemu KDM-DIR</v>
          </cell>
          <cell r="G41" t="str">
            <v>M</v>
          </cell>
          <cell r="H41">
            <v>5025</v>
          </cell>
        </row>
        <row r="42">
          <cell r="C42" t="str">
            <v xml:space="preserve">BOŃKOWSKA </v>
          </cell>
          <cell r="D42" t="str">
            <v xml:space="preserve">EWA </v>
          </cell>
          <cell r="E42">
            <v>1</v>
          </cell>
          <cell r="F42" t="str">
            <v>Księgowy III</v>
          </cell>
          <cell r="G42" t="str">
            <v>K</v>
          </cell>
          <cell r="H42">
            <v>3900</v>
          </cell>
        </row>
        <row r="43">
          <cell r="C43" t="str">
            <v xml:space="preserve">BORKOWSKA-ŁYJAK </v>
          </cell>
          <cell r="D43" t="str">
            <v xml:space="preserve">BARBARA </v>
          </cell>
          <cell r="E43">
            <v>1</v>
          </cell>
          <cell r="F43" t="str">
            <v>Inspektor Utrzymania Urządzeń I</v>
          </cell>
          <cell r="G43" t="str">
            <v>I</v>
          </cell>
          <cell r="H43">
            <v>3150</v>
          </cell>
        </row>
        <row r="44">
          <cell r="C44" t="str">
            <v>BOROWY</v>
          </cell>
          <cell r="D44" t="str">
            <v xml:space="preserve">JOLANTA </v>
          </cell>
          <cell r="E44">
            <v>1</v>
          </cell>
          <cell r="F44" t="str">
            <v>Ekonomista I</v>
          </cell>
          <cell r="G44" t="str">
            <v>J</v>
          </cell>
          <cell r="H44">
            <v>2800</v>
          </cell>
        </row>
        <row r="45">
          <cell r="C45" t="str">
            <v xml:space="preserve">BORUCKA </v>
          </cell>
          <cell r="D45" t="str">
            <v>MAŁGORZATA</v>
          </cell>
          <cell r="E45">
            <v>1</v>
          </cell>
          <cell r="F45" t="str">
            <v>Handlowiec IV</v>
          </cell>
          <cell r="G45" t="str">
            <v>L</v>
          </cell>
          <cell r="H45">
            <v>4596</v>
          </cell>
        </row>
        <row r="46">
          <cell r="C46" t="str">
            <v>BOSOWSKA</v>
          </cell>
          <cell r="D46" t="str">
            <v xml:space="preserve">BARBARA </v>
          </cell>
          <cell r="E46">
            <v>0.75</v>
          </cell>
          <cell r="F46" t="str">
            <v>Pracownik ds. Informacji i Promocji</v>
          </cell>
          <cell r="G46" t="str">
            <v>J</v>
          </cell>
          <cell r="H46">
            <v>2469</v>
          </cell>
        </row>
        <row r="47">
          <cell r="C47" t="str">
            <v>BUJEWICZ</v>
          </cell>
          <cell r="D47" t="str">
            <v xml:space="preserve">WANDA </v>
          </cell>
          <cell r="E47">
            <v>0.5</v>
          </cell>
          <cell r="F47" t="str">
            <v>Referent II</v>
          </cell>
          <cell r="G47" t="str">
            <v>C</v>
          </cell>
          <cell r="H47">
            <v>837</v>
          </cell>
        </row>
        <row r="48">
          <cell r="C48" t="str">
            <v xml:space="preserve">BURKOWSKI </v>
          </cell>
          <cell r="D48" t="str">
            <v xml:space="preserve">DARIUSZ </v>
          </cell>
          <cell r="E48">
            <v>1</v>
          </cell>
          <cell r="F48" t="str">
            <v>Analityk Systemowy III</v>
          </cell>
          <cell r="G48" t="str">
            <v>K</v>
          </cell>
          <cell r="H48">
            <v>4000</v>
          </cell>
        </row>
        <row r="49">
          <cell r="C49" t="str">
            <v xml:space="preserve">BURSZTYŃSKI </v>
          </cell>
          <cell r="D49" t="str">
            <v xml:space="preserve">ANDRZEJ </v>
          </cell>
          <cell r="E49">
            <v>1</v>
          </cell>
          <cell r="F49" t="str">
            <v>Kierownik Wydziału Rozwoju Sieci i Systemów Informatycznych</v>
          </cell>
          <cell r="G49" t="str">
            <v>N</v>
          </cell>
          <cell r="H49">
            <v>5900</v>
          </cell>
        </row>
        <row r="50">
          <cell r="C50" t="str">
            <v>BYCZKOWSKA</v>
          </cell>
          <cell r="D50" t="str">
            <v xml:space="preserve">BEATA </v>
          </cell>
          <cell r="E50">
            <v>1</v>
          </cell>
          <cell r="F50" t="str">
            <v>Sekretarka II</v>
          </cell>
          <cell r="G50" t="str">
            <v>F</v>
          </cell>
          <cell r="H50">
            <v>2430</v>
          </cell>
        </row>
        <row r="51">
          <cell r="C51" t="str">
            <v xml:space="preserve">CADER </v>
          </cell>
          <cell r="D51" t="str">
            <v>KRZYSZTOF</v>
          </cell>
          <cell r="E51">
            <v>1</v>
          </cell>
          <cell r="F51" t="str">
            <v>Kierownik Wydziału Ekonomiczno-Finansowego</v>
          </cell>
          <cell r="G51" t="str">
            <v>N</v>
          </cell>
          <cell r="H51">
            <v>6500</v>
          </cell>
        </row>
        <row r="52">
          <cell r="C52" t="str">
            <v xml:space="preserve">Chmielińska </v>
          </cell>
          <cell r="D52" t="str">
            <v>JOLANTA</v>
          </cell>
          <cell r="E52">
            <v>1</v>
          </cell>
          <cell r="F52" t="str">
            <v>SPECJALISTA BHP</v>
          </cell>
          <cell r="G52" t="str">
            <v>J</v>
          </cell>
          <cell r="H52">
            <v>3140</v>
          </cell>
        </row>
        <row r="53">
          <cell r="C53" t="str">
            <v>CHOJAK</v>
          </cell>
          <cell r="D53" t="str">
            <v xml:space="preserve">RYSZARD </v>
          </cell>
          <cell r="E53">
            <v>0.5</v>
          </cell>
          <cell r="F53" t="str">
            <v>Handlowiec IV</v>
          </cell>
          <cell r="G53" t="str">
            <v>L</v>
          </cell>
          <cell r="H53">
            <v>2791</v>
          </cell>
        </row>
        <row r="54">
          <cell r="C54" t="str">
            <v>CHOJNOWSKI</v>
          </cell>
          <cell r="D54" t="str">
            <v xml:space="preserve">JACEK </v>
          </cell>
          <cell r="E54">
            <v>1</v>
          </cell>
          <cell r="F54" t="str">
            <v>Insp. Utrzymania Urządzeń II</v>
          </cell>
          <cell r="G54" t="str">
            <v>J</v>
          </cell>
          <cell r="H54">
            <v>3403</v>
          </cell>
        </row>
        <row r="55">
          <cell r="C55" t="str">
            <v>CHRÓŚCICKA</v>
          </cell>
          <cell r="D55" t="str">
            <v xml:space="preserve">KATARZYNA </v>
          </cell>
          <cell r="E55">
            <v>1</v>
          </cell>
          <cell r="F55" t="str">
            <v>Księgowy I</v>
          </cell>
          <cell r="G55" t="str">
            <v>G</v>
          </cell>
          <cell r="H55">
            <v>2280</v>
          </cell>
        </row>
        <row r="56">
          <cell r="C56" t="str">
            <v xml:space="preserve">CHYBOWSKA </v>
          </cell>
          <cell r="D56" t="str">
            <v>LARYSA</v>
          </cell>
          <cell r="E56">
            <v>1</v>
          </cell>
          <cell r="F56" t="str">
            <v>Teleinformatyk III</v>
          </cell>
          <cell r="G56" t="str">
            <v>L</v>
          </cell>
          <cell r="H56">
            <v>4166</v>
          </cell>
        </row>
        <row r="57">
          <cell r="C57" t="str">
            <v xml:space="preserve">CICHOŃSKI </v>
          </cell>
          <cell r="D57" t="str">
            <v>WOJCIECH</v>
          </cell>
          <cell r="E57">
            <v>1</v>
          </cell>
          <cell r="F57" t="str">
            <v>Ekonomista III</v>
          </cell>
          <cell r="G57" t="str">
            <v>M</v>
          </cell>
          <cell r="H57">
            <v>5400</v>
          </cell>
        </row>
        <row r="58">
          <cell r="C58" t="str">
            <v>CIĘŻKI</v>
          </cell>
          <cell r="D58" t="str">
            <v>GRZEGORZ</v>
          </cell>
          <cell r="E58">
            <v>1</v>
          </cell>
          <cell r="F58" t="str">
            <v>Insp. Utrzymania Urządzeń II</v>
          </cell>
          <cell r="G58" t="str">
            <v>J</v>
          </cell>
          <cell r="H58">
            <v>3293</v>
          </cell>
        </row>
        <row r="59">
          <cell r="C59" t="str">
            <v>CIMIRKIEWICZ</v>
          </cell>
          <cell r="D59" t="str">
            <v xml:space="preserve">EWA </v>
          </cell>
          <cell r="E59">
            <v>1</v>
          </cell>
          <cell r="F59" t="str">
            <v>Insp.  Utrzymania Urządzeń I</v>
          </cell>
          <cell r="G59" t="str">
            <v>I</v>
          </cell>
          <cell r="H59">
            <v>3150</v>
          </cell>
        </row>
        <row r="60">
          <cell r="C60" t="str">
            <v>CIUŁKOWSKA</v>
          </cell>
          <cell r="D60" t="str">
            <v>KRYSTYNA</v>
          </cell>
          <cell r="E60">
            <v>1</v>
          </cell>
          <cell r="F60" t="str">
            <v>Kontroler Wewnętrzny I</v>
          </cell>
          <cell r="G60" t="str">
            <v>H</v>
          </cell>
          <cell r="H60">
            <v>2875</v>
          </cell>
        </row>
        <row r="61">
          <cell r="C61" t="str">
            <v>CZARNECKA MO</v>
          </cell>
          <cell r="D61" t="str">
            <v>MONIKA</v>
          </cell>
          <cell r="E61">
            <v>1</v>
          </cell>
          <cell r="F61" t="str">
            <v>Pracownik Księgowości I</v>
          </cell>
          <cell r="G61" t="str">
            <v>D</v>
          </cell>
          <cell r="H61">
            <v>1650</v>
          </cell>
        </row>
        <row r="62">
          <cell r="C62" t="str">
            <v xml:space="preserve">CZARNECKA IL </v>
          </cell>
          <cell r="D62" t="str">
            <v xml:space="preserve">ILONA </v>
          </cell>
          <cell r="E62">
            <v>1</v>
          </cell>
          <cell r="F62" t="str">
            <v>Kier. Działu Księgowości Kosztów</v>
          </cell>
          <cell r="G62" t="str">
            <v>L</v>
          </cell>
          <cell r="H62">
            <v>5930</v>
          </cell>
        </row>
        <row r="63">
          <cell r="C63" t="str">
            <v xml:space="preserve">CZARNECKI </v>
          </cell>
          <cell r="D63" t="str">
            <v xml:space="preserve">DARIUSZ </v>
          </cell>
          <cell r="E63">
            <v>1</v>
          </cell>
          <cell r="F63" t="str">
            <v>Inspektor I</v>
          </cell>
          <cell r="G63" t="str">
            <v>F</v>
          </cell>
          <cell r="H63">
            <v>2278</v>
          </cell>
        </row>
        <row r="64">
          <cell r="C64" t="str">
            <v>CZEREDYS</v>
          </cell>
          <cell r="D64" t="str">
            <v>RENATA</v>
          </cell>
          <cell r="E64">
            <v>1</v>
          </cell>
          <cell r="F64" t="str">
            <v>Audytor</v>
          </cell>
          <cell r="G64" t="str">
            <v>L</v>
          </cell>
          <cell r="H64">
            <v>4450</v>
          </cell>
        </row>
        <row r="65">
          <cell r="C65" t="str">
            <v>CZERNIENKO</v>
          </cell>
          <cell r="D65" t="str">
            <v>ANTONI</v>
          </cell>
          <cell r="E65">
            <v>1</v>
          </cell>
          <cell r="F65" t="str">
            <v>Główny Dyspozytor Systemu KDM-DIR</v>
          </cell>
          <cell r="G65" t="str">
            <v>N</v>
          </cell>
          <cell r="H65">
            <v>6566</v>
          </cell>
        </row>
        <row r="66">
          <cell r="C66" t="str">
            <v>CZERWIŃSKA</v>
          </cell>
          <cell r="D66" t="str">
            <v xml:space="preserve">BARBARA </v>
          </cell>
          <cell r="E66">
            <v>1</v>
          </cell>
          <cell r="F66" t="str">
            <v>Pracownik  Rachuby Płac II</v>
          </cell>
          <cell r="G66" t="str">
            <v>G</v>
          </cell>
          <cell r="H66">
            <v>2814</v>
          </cell>
        </row>
        <row r="67">
          <cell r="C67" t="str">
            <v xml:space="preserve">DĄBROWSKA </v>
          </cell>
          <cell r="D67" t="str">
            <v>WIESŁAWA</v>
          </cell>
          <cell r="E67">
            <v>1</v>
          </cell>
          <cell r="F67" t="str">
            <v>Ekonomista III</v>
          </cell>
          <cell r="G67" t="str">
            <v>M</v>
          </cell>
          <cell r="H67">
            <v>5800</v>
          </cell>
        </row>
        <row r="68">
          <cell r="C68" t="str">
            <v>DĄBROWSKI PI</v>
          </cell>
          <cell r="D68" t="str">
            <v>PIOTR</v>
          </cell>
          <cell r="E68">
            <v>1</v>
          </cell>
          <cell r="F68" t="str">
            <v>Inżynier Systemu II</v>
          </cell>
          <cell r="G68" t="str">
            <v>L</v>
          </cell>
          <cell r="H68">
            <v>4560</v>
          </cell>
        </row>
        <row r="69">
          <cell r="C69" t="str">
            <v xml:space="preserve">DĄBROWSKI JÓ </v>
          </cell>
          <cell r="D69" t="str">
            <v xml:space="preserve">JÓZEF </v>
          </cell>
          <cell r="E69">
            <v>1</v>
          </cell>
          <cell r="F69" t="str">
            <v>Koordynator ds. Inwestycji I</v>
          </cell>
          <cell r="G69" t="str">
            <v>K</v>
          </cell>
          <cell r="H69">
            <v>3600</v>
          </cell>
        </row>
        <row r="70">
          <cell r="C70" t="str">
            <v xml:space="preserve">DĄBROWSKI JE </v>
          </cell>
          <cell r="D70" t="str">
            <v xml:space="preserve">JERZY </v>
          </cell>
          <cell r="E70">
            <v>1</v>
          </cell>
          <cell r="F70" t="str">
            <v>Kierownik Wydziału Techniki Liniowej</v>
          </cell>
          <cell r="G70" t="str">
            <v>N</v>
          </cell>
          <cell r="H70">
            <v>7158</v>
          </cell>
        </row>
        <row r="71">
          <cell r="C71" t="str">
            <v>DECZKOWSKI</v>
          </cell>
          <cell r="D71" t="str">
            <v>MICHAŁ</v>
          </cell>
          <cell r="E71">
            <v>1</v>
          </cell>
          <cell r="F71" t="str">
            <v>Inspektor II</v>
          </cell>
          <cell r="G71" t="str">
            <v>H</v>
          </cell>
          <cell r="H71">
            <v>2570</v>
          </cell>
        </row>
        <row r="72">
          <cell r="C72" t="str">
            <v>DETKIEWICZ</v>
          </cell>
          <cell r="D72" t="str">
            <v xml:space="preserve">ANDRZEJ </v>
          </cell>
          <cell r="E72">
            <v>1</v>
          </cell>
          <cell r="F72" t="str">
            <v>Kierownik Wydz. Programowania Pracy Sieci</v>
          </cell>
          <cell r="G72" t="str">
            <v>N</v>
          </cell>
          <cell r="H72">
            <v>7100</v>
          </cell>
        </row>
        <row r="73">
          <cell r="C73" t="str">
            <v xml:space="preserve">DOBROCZEK </v>
          </cell>
          <cell r="D73" t="str">
            <v xml:space="preserve">ANDRZEJ </v>
          </cell>
          <cell r="E73">
            <v>1</v>
          </cell>
          <cell r="F73" t="str">
            <v>Kierownik Wydz. Ruchu-KDM</v>
          </cell>
          <cell r="G73" t="str">
            <v>N</v>
          </cell>
          <cell r="H73">
            <v>7100</v>
          </cell>
        </row>
        <row r="74">
          <cell r="C74" t="str">
            <v xml:space="preserve">DOBROWOLSKA </v>
          </cell>
          <cell r="D74" t="str">
            <v xml:space="preserve">MAGDALENA </v>
          </cell>
          <cell r="E74">
            <v>1</v>
          </cell>
          <cell r="F74" t="str">
            <v>Inspektor I</v>
          </cell>
          <cell r="G74" t="str">
            <v>F</v>
          </cell>
          <cell r="H74">
            <v>2500</v>
          </cell>
        </row>
        <row r="75">
          <cell r="C75" t="str">
            <v>DRAGAN</v>
          </cell>
          <cell r="D75" t="str">
            <v>KRZYSZTOF</v>
          </cell>
          <cell r="E75">
            <v>1</v>
          </cell>
          <cell r="F75" t="str">
            <v>Inspektor I</v>
          </cell>
          <cell r="G75" t="str">
            <v>F</v>
          </cell>
          <cell r="H75">
            <v>2665</v>
          </cell>
        </row>
        <row r="76">
          <cell r="C76" t="str">
            <v>DRUŻYCKI</v>
          </cell>
          <cell r="D76" t="str">
            <v>JANUSZ</v>
          </cell>
          <cell r="E76">
            <v>1</v>
          </cell>
          <cell r="F76" t="str">
            <v>Kierownik Wydziału Usług i Badań Rozwojowych</v>
          </cell>
          <cell r="G76" t="str">
            <v>M</v>
          </cell>
          <cell r="H76">
            <v>5600</v>
          </cell>
        </row>
        <row r="77">
          <cell r="C77" t="str">
            <v xml:space="preserve">DUBICKA </v>
          </cell>
          <cell r="D77" t="str">
            <v xml:space="preserve">URSZULA </v>
          </cell>
          <cell r="E77">
            <v>1</v>
          </cell>
          <cell r="F77" t="str">
            <v>Księgowy II</v>
          </cell>
          <cell r="G77" t="str">
            <v>I</v>
          </cell>
          <cell r="H77">
            <v>3150</v>
          </cell>
        </row>
        <row r="78">
          <cell r="C78" t="str">
            <v xml:space="preserve">DUDZIŃSKI </v>
          </cell>
          <cell r="D78" t="str">
            <v xml:space="preserve">KRZYSZTOF </v>
          </cell>
          <cell r="E78">
            <v>1</v>
          </cell>
          <cell r="F78" t="str">
            <v>Analityk Systemowy I</v>
          </cell>
          <cell r="G78" t="str">
            <v>G</v>
          </cell>
          <cell r="H78">
            <v>2700</v>
          </cell>
        </row>
        <row r="79">
          <cell r="C79" t="str">
            <v>DUTKIEWICZ EL</v>
          </cell>
          <cell r="D79" t="str">
            <v>ELŻBIETA</v>
          </cell>
          <cell r="E79">
            <v>1</v>
          </cell>
          <cell r="F79" t="str">
            <v>Księgowy III</v>
          </cell>
          <cell r="G79" t="str">
            <v>K</v>
          </cell>
          <cell r="H79">
            <v>4000</v>
          </cell>
        </row>
        <row r="80">
          <cell r="C80" t="str">
            <v>DUTKIEWICZ AL.</v>
          </cell>
          <cell r="D80" t="str">
            <v xml:space="preserve">ALINA </v>
          </cell>
          <cell r="E80">
            <v>1</v>
          </cell>
          <cell r="F80" t="str">
            <v>Kontroler Wydziałowy</v>
          </cell>
          <cell r="G80" t="str">
            <v>K</v>
          </cell>
          <cell r="H80">
            <v>3977</v>
          </cell>
        </row>
        <row r="81">
          <cell r="C81" t="str">
            <v xml:space="preserve">DYONIZIAK </v>
          </cell>
          <cell r="D81" t="str">
            <v>GRZEGORZ</v>
          </cell>
          <cell r="E81">
            <v>1</v>
          </cell>
          <cell r="F81" t="str">
            <v>Ekonomista II</v>
          </cell>
          <cell r="G81" t="str">
            <v>L</v>
          </cell>
          <cell r="H81">
            <v>4483</v>
          </cell>
        </row>
        <row r="82">
          <cell r="C82" t="str">
            <v xml:space="preserve">DZIENISZEWSKA </v>
          </cell>
          <cell r="D82" t="str">
            <v xml:space="preserve">ZOFIA </v>
          </cell>
          <cell r="E82">
            <v>1</v>
          </cell>
          <cell r="F82" t="str">
            <v>Teleinformatyk IV</v>
          </cell>
          <cell r="G82" t="str">
            <v>M</v>
          </cell>
          <cell r="H82">
            <v>4791</v>
          </cell>
        </row>
        <row r="83">
          <cell r="C83" t="str">
            <v>DZIEWULSKI</v>
          </cell>
          <cell r="D83" t="str">
            <v>DARIUSZ</v>
          </cell>
          <cell r="E83">
            <v>1</v>
          </cell>
          <cell r="F83" t="str">
            <v>Kierownik Wydziału Rozliczeń Usług Sieciowych</v>
          </cell>
          <cell r="G83" t="str">
            <v>M</v>
          </cell>
          <cell r="H83">
            <v>6250</v>
          </cell>
        </row>
        <row r="84">
          <cell r="C84" t="str">
            <v xml:space="preserve">DZIĘGIELEWSKI </v>
          </cell>
          <cell r="D84" t="str">
            <v xml:space="preserve">KRZYSZTOF </v>
          </cell>
          <cell r="E84">
            <v>1</v>
          </cell>
          <cell r="F84" t="str">
            <v>Inżynier Systemu I</v>
          </cell>
          <cell r="G84" t="str">
            <v>K</v>
          </cell>
          <cell r="H84">
            <v>3900</v>
          </cell>
        </row>
        <row r="85">
          <cell r="C85" t="str">
            <v xml:space="preserve">EBNER </v>
          </cell>
          <cell r="D85" t="str">
            <v>EDWARD</v>
          </cell>
          <cell r="E85">
            <v>1</v>
          </cell>
          <cell r="F85" t="str">
            <v>Dyspozytor Systemu KDM-DIR</v>
          </cell>
          <cell r="G85" t="str">
            <v>M</v>
          </cell>
          <cell r="H85">
            <v>4774</v>
          </cell>
        </row>
        <row r="86">
          <cell r="C86" t="str">
            <v>FALIŃSKI</v>
          </cell>
          <cell r="D86" t="str">
            <v>EDWARD</v>
          </cell>
          <cell r="E86">
            <v>1</v>
          </cell>
          <cell r="F86" t="str">
            <v>Handlowiec III</v>
          </cell>
          <cell r="G86" t="str">
            <v>J</v>
          </cell>
          <cell r="H86">
            <v>3481</v>
          </cell>
        </row>
        <row r="87">
          <cell r="C87" t="str">
            <v xml:space="preserve">FALKOWSKI </v>
          </cell>
          <cell r="D87" t="str">
            <v xml:space="preserve">KRZYSZTOF </v>
          </cell>
          <cell r="E87">
            <v>1</v>
          </cell>
          <cell r="F87" t="str">
            <v>Koordynator ds.  Inwestycji III</v>
          </cell>
          <cell r="G87" t="str">
            <v>M</v>
          </cell>
          <cell r="H87">
            <v>5450</v>
          </cell>
        </row>
        <row r="88">
          <cell r="C88" t="str">
            <v>FIGURA</v>
          </cell>
          <cell r="D88" t="str">
            <v xml:space="preserve">MAREK </v>
          </cell>
          <cell r="E88">
            <v>1</v>
          </cell>
          <cell r="F88" t="str">
            <v>Inspektor Utrzymania Urządzeń II</v>
          </cell>
          <cell r="G88" t="str">
            <v>J</v>
          </cell>
          <cell r="H88">
            <v>3403</v>
          </cell>
        </row>
        <row r="89">
          <cell r="C89" t="str">
            <v xml:space="preserve">FIJAŁKOWSKI </v>
          </cell>
          <cell r="D89" t="str">
            <v xml:space="preserve">JAKUB </v>
          </cell>
          <cell r="E89">
            <v>1</v>
          </cell>
          <cell r="F89" t="str">
            <v>Handlowiec I</v>
          </cell>
          <cell r="G89" t="str">
            <v>E</v>
          </cell>
          <cell r="H89">
            <v>2442</v>
          </cell>
        </row>
        <row r="90">
          <cell r="C90" t="str">
            <v xml:space="preserve">FIŁON </v>
          </cell>
          <cell r="D90" t="str">
            <v xml:space="preserve">MARIUSZ </v>
          </cell>
          <cell r="E90">
            <v>1</v>
          </cell>
          <cell r="F90" t="str">
            <v>Ekonomista II</v>
          </cell>
          <cell r="G90" t="str">
            <v>L</v>
          </cell>
          <cell r="H90">
            <v>4670</v>
          </cell>
        </row>
        <row r="91">
          <cell r="C91" t="str">
            <v>FIUK</v>
          </cell>
          <cell r="D91" t="str">
            <v xml:space="preserve">AGNIESZKA </v>
          </cell>
          <cell r="E91">
            <v>1</v>
          </cell>
          <cell r="F91" t="str">
            <v>Pracownik Rachuby Płac II</v>
          </cell>
          <cell r="G91" t="str">
            <v>G</v>
          </cell>
          <cell r="H91">
            <v>2500</v>
          </cell>
        </row>
        <row r="92">
          <cell r="C92" t="str">
            <v>FORNAL</v>
          </cell>
          <cell r="D92" t="str">
            <v>MONIKA</v>
          </cell>
          <cell r="E92">
            <v>1</v>
          </cell>
          <cell r="F92" t="str">
            <v>Sekretarka II</v>
          </cell>
          <cell r="G92" t="str">
            <v>F</v>
          </cell>
          <cell r="H92">
            <v>2150</v>
          </cell>
        </row>
        <row r="93">
          <cell r="C93" t="str">
            <v>FRANCZAK</v>
          </cell>
          <cell r="D93" t="str">
            <v>KRYSTYNA</v>
          </cell>
          <cell r="E93">
            <v>1</v>
          </cell>
          <cell r="F93" t="str">
            <v>Sekretarka II</v>
          </cell>
          <cell r="G93" t="str">
            <v>F</v>
          </cell>
          <cell r="H93">
            <v>2320</v>
          </cell>
        </row>
        <row r="94">
          <cell r="C94" t="str">
            <v>FRANKE</v>
          </cell>
          <cell r="D94" t="str">
            <v>ELŻBIETA</v>
          </cell>
          <cell r="E94">
            <v>1</v>
          </cell>
          <cell r="F94" t="str">
            <v>Inżynier Systemu II</v>
          </cell>
          <cell r="G94" t="str">
            <v>L</v>
          </cell>
          <cell r="H94">
            <v>4300</v>
          </cell>
        </row>
        <row r="95">
          <cell r="C95" t="str">
            <v xml:space="preserve">FRĄSZCZAK </v>
          </cell>
          <cell r="D95" t="str">
            <v>AGNIESZKA</v>
          </cell>
          <cell r="E95">
            <v>1</v>
          </cell>
          <cell r="F95" t="str">
            <v>Prac. Rozliczeń Handlowych I</v>
          </cell>
          <cell r="G95" t="str">
            <v>E</v>
          </cell>
          <cell r="H95">
            <v>2442</v>
          </cell>
        </row>
        <row r="96">
          <cell r="C96" t="str">
            <v>FUDALA</v>
          </cell>
          <cell r="D96" t="str">
            <v xml:space="preserve">RAFAŁ </v>
          </cell>
          <cell r="E96">
            <v>1</v>
          </cell>
          <cell r="F96" t="str">
            <v>Teleinformatyk III</v>
          </cell>
          <cell r="G96" t="str">
            <v>L</v>
          </cell>
          <cell r="H96">
            <v>4450</v>
          </cell>
        </row>
        <row r="97">
          <cell r="C97" t="str">
            <v xml:space="preserve">FURMAŃSKI </v>
          </cell>
          <cell r="D97" t="str">
            <v>LESZEK</v>
          </cell>
          <cell r="E97">
            <v>1</v>
          </cell>
          <cell r="F97" t="str">
            <v>Ekonomista I</v>
          </cell>
          <cell r="G97" t="str">
            <v>J</v>
          </cell>
          <cell r="H97">
            <v>3779</v>
          </cell>
        </row>
        <row r="98">
          <cell r="C98" t="str">
            <v>GADOMSKI</v>
          </cell>
          <cell r="D98" t="str">
            <v xml:space="preserve">JACEK </v>
          </cell>
          <cell r="E98">
            <v>1</v>
          </cell>
          <cell r="F98" t="str">
            <v>Inspektor Systemu</v>
          </cell>
          <cell r="G98" t="str">
            <v>H</v>
          </cell>
          <cell r="H98">
            <v>2600</v>
          </cell>
        </row>
        <row r="99">
          <cell r="C99" t="str">
            <v xml:space="preserve">GADOŚ </v>
          </cell>
          <cell r="D99" t="str">
            <v>TOMASZ</v>
          </cell>
          <cell r="E99">
            <v>1</v>
          </cell>
          <cell r="F99" t="str">
            <v>Analityk Systemowy III</v>
          </cell>
          <cell r="G99" t="str">
            <v>K</v>
          </cell>
          <cell r="H99">
            <v>4250</v>
          </cell>
        </row>
        <row r="100">
          <cell r="C100" t="str">
            <v>GAIK</v>
          </cell>
          <cell r="D100" t="str">
            <v>ANNA</v>
          </cell>
          <cell r="E100">
            <v>1</v>
          </cell>
          <cell r="F100" t="str">
            <v>Sekretarka II</v>
          </cell>
          <cell r="G100" t="str">
            <v>F</v>
          </cell>
          <cell r="H100">
            <v>2300</v>
          </cell>
        </row>
        <row r="101">
          <cell r="C101" t="str">
            <v xml:space="preserve">GAJDA </v>
          </cell>
          <cell r="D101" t="str">
            <v>ADAM</v>
          </cell>
          <cell r="E101">
            <v>1</v>
          </cell>
          <cell r="F101" t="str">
            <v xml:space="preserve">Analityk ds. Strategii Ekorozwoju </v>
          </cell>
          <cell r="G101" t="str">
            <v>L</v>
          </cell>
          <cell r="H101">
            <v>4800</v>
          </cell>
        </row>
        <row r="102">
          <cell r="C102" t="str">
            <v>GAŁA</v>
          </cell>
          <cell r="D102" t="str">
            <v xml:space="preserve">BARBARA </v>
          </cell>
          <cell r="E102">
            <v>1</v>
          </cell>
          <cell r="F102" t="str">
            <v>Kancelista</v>
          </cell>
          <cell r="G102" t="str">
            <v>C</v>
          </cell>
          <cell r="H102">
            <v>1803</v>
          </cell>
        </row>
        <row r="103">
          <cell r="C103" t="str">
            <v>GAŁĄZKIEWICZ</v>
          </cell>
          <cell r="D103" t="str">
            <v xml:space="preserve">URSZULA </v>
          </cell>
          <cell r="E103">
            <v>1</v>
          </cell>
          <cell r="F103" t="str">
            <v>Ekonomista III</v>
          </cell>
          <cell r="G103" t="str">
            <v>M</v>
          </cell>
          <cell r="H103">
            <v>4800</v>
          </cell>
        </row>
        <row r="104">
          <cell r="C104" t="str">
            <v>GAMRAT</v>
          </cell>
          <cell r="D104" t="str">
            <v xml:space="preserve">JAN </v>
          </cell>
          <cell r="E104">
            <v>1</v>
          </cell>
          <cell r="F104" t="str">
            <v>Ekonomista I</v>
          </cell>
          <cell r="G104" t="str">
            <v>J</v>
          </cell>
          <cell r="H104">
            <v>3160</v>
          </cell>
        </row>
        <row r="105">
          <cell r="C105" t="str">
            <v xml:space="preserve">GAWRYSIAK </v>
          </cell>
          <cell r="D105" t="str">
            <v xml:space="preserve">ANDRZEJ </v>
          </cell>
          <cell r="E105">
            <v>1</v>
          </cell>
          <cell r="F105" t="str">
            <v>Główny Dyspozytor Systemu KDM-DIR</v>
          </cell>
          <cell r="G105" t="str">
            <v>N</v>
          </cell>
          <cell r="H105">
            <v>6512</v>
          </cell>
        </row>
        <row r="106">
          <cell r="C106" t="str">
            <v>GIDZIŃSKI</v>
          </cell>
          <cell r="D106" t="str">
            <v>ZBIGNIEW</v>
          </cell>
          <cell r="E106">
            <v>1</v>
          </cell>
          <cell r="F106" t="str">
            <v>DORADCA ZARZĄDU DS. PRYWATYZACJI</v>
          </cell>
          <cell r="G106" t="str">
            <v>O</v>
          </cell>
          <cell r="H106">
            <v>9269</v>
          </cell>
        </row>
        <row r="107">
          <cell r="C107" t="str">
            <v>GLIK</v>
          </cell>
          <cell r="D107" t="str">
            <v>ZDZISŁAW</v>
          </cell>
          <cell r="E107">
            <v>1</v>
          </cell>
          <cell r="F107" t="str">
            <v>Dyrektor Zadania Wdrożenia Systemu EMS</v>
          </cell>
          <cell r="G107" t="str">
            <v>M</v>
          </cell>
          <cell r="H107">
            <v>7325</v>
          </cell>
        </row>
        <row r="108">
          <cell r="C108" t="str">
            <v>GŁADYŚ</v>
          </cell>
          <cell r="D108" t="str">
            <v>HENRYK</v>
          </cell>
          <cell r="E108">
            <v>1</v>
          </cell>
          <cell r="F108" t="str">
            <v>Ekonomista II</v>
          </cell>
          <cell r="G108" t="str">
            <v>L</v>
          </cell>
          <cell r="H108">
            <v>6251</v>
          </cell>
        </row>
        <row r="109">
          <cell r="C109" t="str">
            <v>GŁAZ</v>
          </cell>
          <cell r="D109" t="str">
            <v xml:space="preserve">MAREK </v>
          </cell>
          <cell r="E109">
            <v>1</v>
          </cell>
          <cell r="F109" t="str">
            <v>Inżynier EAZ III</v>
          </cell>
          <cell r="G109" t="str">
            <v>L</v>
          </cell>
          <cell r="H109">
            <v>4286</v>
          </cell>
        </row>
        <row r="110">
          <cell r="C110" t="str">
            <v>GŁOWACKI</v>
          </cell>
          <cell r="D110" t="str">
            <v xml:space="preserve">ANDRZEJ </v>
          </cell>
          <cell r="E110">
            <v>1</v>
          </cell>
          <cell r="F110" t="str">
            <v>Audytor</v>
          </cell>
          <cell r="G110" t="str">
            <v>L</v>
          </cell>
          <cell r="H110">
            <v>4800</v>
          </cell>
        </row>
        <row r="111">
          <cell r="C111" t="str">
            <v xml:space="preserve">GOCAN </v>
          </cell>
          <cell r="D111" t="str">
            <v>IRMINA</v>
          </cell>
          <cell r="E111">
            <v>1</v>
          </cell>
          <cell r="F111" t="str">
            <v>Prac. Rozwoju Zawodowego I</v>
          </cell>
          <cell r="G111" t="str">
            <v>H</v>
          </cell>
          <cell r="H111">
            <v>2570</v>
          </cell>
        </row>
        <row r="112">
          <cell r="C112" t="str">
            <v xml:space="preserve">GODLEWSKI </v>
          </cell>
          <cell r="D112" t="str">
            <v>GRZEGORZ</v>
          </cell>
          <cell r="E112">
            <v>1</v>
          </cell>
          <cell r="F112" t="str">
            <v>Administrator Systemu I</v>
          </cell>
          <cell r="G112" t="str">
            <v>J</v>
          </cell>
          <cell r="H112">
            <v>3370</v>
          </cell>
        </row>
        <row r="113">
          <cell r="C113" t="str">
            <v>GOLIŃSKI</v>
          </cell>
          <cell r="D113" t="str">
            <v xml:space="preserve">JACEK </v>
          </cell>
          <cell r="E113">
            <v>1</v>
          </cell>
          <cell r="F113" t="str">
            <v>Koordynator ds. Inwestycji I</v>
          </cell>
          <cell r="G113" t="str">
            <v>K</v>
          </cell>
          <cell r="H113">
            <v>4000</v>
          </cell>
        </row>
        <row r="114">
          <cell r="C114" t="str">
            <v xml:space="preserve">GORCZ </v>
          </cell>
          <cell r="D114" t="str">
            <v xml:space="preserve">KRZYSZTOF </v>
          </cell>
          <cell r="E114">
            <v>1</v>
          </cell>
          <cell r="F114" t="str">
            <v>Ekonomista III</v>
          </cell>
          <cell r="G114" t="str">
            <v>M</v>
          </cell>
          <cell r="H114">
            <v>5550</v>
          </cell>
        </row>
        <row r="115">
          <cell r="C115" t="str">
            <v xml:space="preserve">GOTOWICKA </v>
          </cell>
          <cell r="D115" t="str">
            <v>IWONA</v>
          </cell>
          <cell r="E115">
            <v>1</v>
          </cell>
          <cell r="F115" t="str">
            <v>Stażysta z wyższym wykszt.</v>
          </cell>
          <cell r="G115" t="str">
            <v>G</v>
          </cell>
          <cell r="H115">
            <v>2160</v>
          </cell>
        </row>
        <row r="116">
          <cell r="C116" t="str">
            <v xml:space="preserve">GRABOWSKA </v>
          </cell>
          <cell r="D116" t="str">
            <v>MAŁGORZATA</v>
          </cell>
          <cell r="E116">
            <v>1</v>
          </cell>
          <cell r="F116" t="str">
            <v>Kontroler Wydziałowy</v>
          </cell>
          <cell r="G116" t="str">
            <v>K</v>
          </cell>
          <cell r="H116">
            <v>3366</v>
          </cell>
        </row>
        <row r="117">
          <cell r="C117" t="str">
            <v>GRĄCZYŃSKA</v>
          </cell>
          <cell r="D117" t="str">
            <v>ELŻBIETA</v>
          </cell>
          <cell r="E117">
            <v>0.5</v>
          </cell>
          <cell r="F117" t="str">
            <v>Administrator Systemu I</v>
          </cell>
          <cell r="G117" t="str">
            <v>J</v>
          </cell>
          <cell r="H117">
            <v>2050</v>
          </cell>
        </row>
        <row r="118">
          <cell r="C118" t="str">
            <v xml:space="preserve">GROMYSZ </v>
          </cell>
          <cell r="D118" t="str">
            <v>JAROSŁAW</v>
          </cell>
          <cell r="E118">
            <v>1</v>
          </cell>
          <cell r="F118" t="str">
            <v>Administrator Systemu II</v>
          </cell>
          <cell r="G118" t="str">
            <v>K</v>
          </cell>
          <cell r="H118">
            <v>4000</v>
          </cell>
        </row>
        <row r="119">
          <cell r="C119" t="str">
            <v xml:space="preserve">GRONERT </v>
          </cell>
          <cell r="D119" t="str">
            <v xml:space="preserve">BEATA </v>
          </cell>
          <cell r="E119">
            <v>1</v>
          </cell>
          <cell r="F119" t="str">
            <v>Księgowy III</v>
          </cell>
          <cell r="G119" t="str">
            <v>K</v>
          </cell>
          <cell r="H119">
            <v>3520</v>
          </cell>
        </row>
        <row r="120">
          <cell r="C120" t="str">
            <v xml:space="preserve">GRUBA </v>
          </cell>
          <cell r="D120" t="str">
            <v>WOJCIECH</v>
          </cell>
          <cell r="E120">
            <v>1</v>
          </cell>
          <cell r="F120" t="str">
            <v>Pracownik Ochrony I</v>
          </cell>
          <cell r="G120" t="str">
            <v>C</v>
          </cell>
          <cell r="H120">
            <v>1726</v>
          </cell>
        </row>
        <row r="121">
          <cell r="C121" t="str">
            <v xml:space="preserve">GRYWIŃSKA </v>
          </cell>
          <cell r="D121" t="str">
            <v xml:space="preserve">JUSTYNA </v>
          </cell>
          <cell r="E121">
            <v>1</v>
          </cell>
          <cell r="F121" t="str">
            <v>Księgowy III</v>
          </cell>
          <cell r="G121" t="str">
            <v>K</v>
          </cell>
          <cell r="H121">
            <v>4000</v>
          </cell>
        </row>
        <row r="122">
          <cell r="C122" t="str">
            <v>GRYZ</v>
          </cell>
          <cell r="D122" t="str">
            <v>ELŻBIETA</v>
          </cell>
          <cell r="E122">
            <v>1</v>
          </cell>
          <cell r="F122" t="str">
            <v>Inżynier Systemu I</v>
          </cell>
          <cell r="G122" t="str">
            <v>K</v>
          </cell>
          <cell r="H122">
            <v>3600</v>
          </cell>
        </row>
        <row r="123">
          <cell r="C123" t="str">
            <v xml:space="preserve">GRZEBYK </v>
          </cell>
          <cell r="D123" t="str">
            <v>ZBIGNIEW</v>
          </cell>
          <cell r="E123">
            <v>1</v>
          </cell>
          <cell r="F123" t="str">
            <v>Technik Utrzymania Urządzeń I</v>
          </cell>
          <cell r="G123" t="str">
            <v>E</v>
          </cell>
          <cell r="H123">
            <v>1977</v>
          </cell>
        </row>
        <row r="124">
          <cell r="C124" t="str">
            <v xml:space="preserve">GRZEGORZEWSKI </v>
          </cell>
          <cell r="D124" t="str">
            <v>WOJCIECH</v>
          </cell>
          <cell r="E124">
            <v>1</v>
          </cell>
          <cell r="F124" t="str">
            <v>Kier. Wydz. Planowania Inwestycji</v>
          </cell>
          <cell r="G124" t="str">
            <v>N</v>
          </cell>
          <cell r="H124">
            <v>7250</v>
          </cell>
        </row>
        <row r="125">
          <cell r="C125" t="str">
            <v>GRZELIŃSKI</v>
          </cell>
          <cell r="D125" t="str">
            <v>TOMASZ</v>
          </cell>
          <cell r="E125">
            <v>1</v>
          </cell>
          <cell r="F125" t="str">
            <v>Handlowiec I</v>
          </cell>
          <cell r="G125" t="str">
            <v>E</v>
          </cell>
          <cell r="H125">
            <v>2300</v>
          </cell>
        </row>
        <row r="126">
          <cell r="C126" t="str">
            <v xml:space="preserve">GRZENDA </v>
          </cell>
          <cell r="D126" t="str">
            <v>ZENON</v>
          </cell>
          <cell r="E126">
            <v>1</v>
          </cell>
          <cell r="F126" t="str">
            <v>Administrator Systemu I</v>
          </cell>
          <cell r="G126" t="str">
            <v>J</v>
          </cell>
          <cell r="H126">
            <v>3260</v>
          </cell>
        </row>
        <row r="127">
          <cell r="C127" t="str">
            <v>GUGAŁA</v>
          </cell>
          <cell r="D127" t="str">
            <v xml:space="preserve">PAWEŁ </v>
          </cell>
          <cell r="E127">
            <v>1</v>
          </cell>
          <cell r="F127" t="str">
            <v>Administrator Systemu II</v>
          </cell>
          <cell r="G127" t="str">
            <v>K</v>
          </cell>
          <cell r="H127">
            <v>4150</v>
          </cell>
        </row>
        <row r="128">
          <cell r="C128" t="str">
            <v>HACKIEWICZ</v>
          </cell>
          <cell r="D128" t="str">
            <v xml:space="preserve">KRZYSZTOF </v>
          </cell>
          <cell r="E128">
            <v>1</v>
          </cell>
          <cell r="F128" t="str">
            <v>Inżynier Systemu III</v>
          </cell>
          <cell r="G128" t="str">
            <v>M</v>
          </cell>
          <cell r="H128">
            <v>5800</v>
          </cell>
        </row>
        <row r="129">
          <cell r="C129" t="str">
            <v>HERMAN</v>
          </cell>
          <cell r="D129" t="str">
            <v>DARIUSZ</v>
          </cell>
          <cell r="E129">
            <v>1</v>
          </cell>
          <cell r="F129" t="str">
            <v>Analityk Systemowy I</v>
          </cell>
          <cell r="G129" t="str">
            <v>G</v>
          </cell>
          <cell r="H129">
            <v>2681</v>
          </cell>
        </row>
        <row r="130">
          <cell r="C130" t="str">
            <v>HODOWANY</v>
          </cell>
          <cell r="D130" t="str">
            <v xml:space="preserve">JULIUSZ </v>
          </cell>
          <cell r="E130">
            <v>1</v>
          </cell>
          <cell r="F130" t="str">
            <v>Analityk Systemowy I</v>
          </cell>
          <cell r="G130" t="str">
            <v>G</v>
          </cell>
          <cell r="H130">
            <v>2791</v>
          </cell>
        </row>
        <row r="131">
          <cell r="C131" t="str">
            <v xml:space="preserve">HOŁODOK </v>
          </cell>
          <cell r="D131" t="str">
            <v>ZBIGNIEW</v>
          </cell>
          <cell r="E131">
            <v>1</v>
          </cell>
          <cell r="F131" t="str">
            <v>Inspektor Systemu</v>
          </cell>
          <cell r="G131" t="str">
            <v>H</v>
          </cell>
          <cell r="H131">
            <v>3015</v>
          </cell>
        </row>
        <row r="132">
          <cell r="C132" t="str">
            <v>HRUBJI</v>
          </cell>
          <cell r="D132" t="str">
            <v xml:space="preserve">ROMAN </v>
          </cell>
          <cell r="E132">
            <v>1</v>
          </cell>
          <cell r="F132" t="str">
            <v>Inżynier Systemu III</v>
          </cell>
          <cell r="G132" t="str">
            <v>M</v>
          </cell>
          <cell r="H132">
            <v>5150</v>
          </cell>
        </row>
        <row r="133">
          <cell r="C133" t="str">
            <v xml:space="preserve">HYRCZAK </v>
          </cell>
          <cell r="D133" t="str">
            <v>ANTONI</v>
          </cell>
          <cell r="E133">
            <v>1</v>
          </cell>
          <cell r="F133" t="str">
            <v>Inżynier Utrzymania Urządzeń III</v>
          </cell>
          <cell r="G133" t="str">
            <v>M</v>
          </cell>
          <cell r="H133">
            <v>5595</v>
          </cell>
        </row>
        <row r="134">
          <cell r="C134" t="str">
            <v>IMIEŁOWSKI</v>
          </cell>
          <cell r="D134" t="str">
            <v>MARIUSZ</v>
          </cell>
          <cell r="E134">
            <v>1</v>
          </cell>
          <cell r="F134" t="str">
            <v>Analityk Systemowy I</v>
          </cell>
          <cell r="G134" t="str">
            <v>G</v>
          </cell>
          <cell r="H134">
            <v>2700</v>
          </cell>
        </row>
        <row r="135">
          <cell r="C135" t="str">
            <v xml:space="preserve">INOROWICZ </v>
          </cell>
          <cell r="D135" t="str">
            <v>MACIEJ</v>
          </cell>
          <cell r="E135">
            <v>1</v>
          </cell>
          <cell r="F135" t="str">
            <v>Referent II</v>
          </cell>
          <cell r="G135" t="str">
            <v>C</v>
          </cell>
          <cell r="H135">
            <v>1745</v>
          </cell>
        </row>
        <row r="136">
          <cell r="C136" t="str">
            <v>IWAN</v>
          </cell>
          <cell r="D136" t="str">
            <v>ADAM</v>
          </cell>
          <cell r="E136">
            <v>1</v>
          </cell>
          <cell r="F136" t="str">
            <v>Ekonomista II</v>
          </cell>
          <cell r="G136" t="str">
            <v>L</v>
          </cell>
          <cell r="H136">
            <v>4500</v>
          </cell>
        </row>
        <row r="137">
          <cell r="C137" t="str">
            <v>IWANICKI</v>
          </cell>
          <cell r="D137" t="str">
            <v>ARKADIUSZ</v>
          </cell>
          <cell r="E137">
            <v>1</v>
          </cell>
          <cell r="F137" t="str">
            <v>Koordynator ds. ppoż</v>
          </cell>
          <cell r="G137" t="str">
            <v>K</v>
          </cell>
          <cell r="H137">
            <v>5250</v>
          </cell>
        </row>
        <row r="138">
          <cell r="C138" t="str">
            <v xml:space="preserve">IWANOWSKA JO </v>
          </cell>
          <cell r="D138" t="str">
            <v>JOANNA</v>
          </cell>
          <cell r="E138">
            <v>1</v>
          </cell>
          <cell r="F138" t="str">
            <v>Prac. Rozliczeń Handlowych III</v>
          </cell>
          <cell r="G138" t="str">
            <v>I</v>
          </cell>
          <cell r="H138">
            <v>3625</v>
          </cell>
        </row>
        <row r="139">
          <cell r="C139" t="str">
            <v xml:space="preserve">IWANOWSKA AL </v>
          </cell>
          <cell r="D139" t="str">
            <v>ALICJA</v>
          </cell>
          <cell r="E139">
            <v>1</v>
          </cell>
          <cell r="F139" t="str">
            <v>Prac. Rozliczeń Handlowych III</v>
          </cell>
          <cell r="G139" t="str">
            <v>I</v>
          </cell>
          <cell r="H139">
            <v>3300</v>
          </cell>
        </row>
        <row r="140">
          <cell r="C140" t="str">
            <v xml:space="preserve">IWANOWSKI </v>
          </cell>
          <cell r="D140" t="str">
            <v xml:space="preserve">KAZIMIERZ </v>
          </cell>
          <cell r="E140">
            <v>1</v>
          </cell>
          <cell r="F140" t="str">
            <v xml:space="preserve">Koordynator ds.Ochrony </v>
          </cell>
          <cell r="G140" t="str">
            <v>J</v>
          </cell>
          <cell r="H140">
            <v>3600</v>
          </cell>
        </row>
        <row r="141">
          <cell r="C141" t="str">
            <v>JAKUSZ-GOSTOMSKI</v>
          </cell>
          <cell r="D141" t="str">
            <v xml:space="preserve">KAZIMIERZ </v>
          </cell>
          <cell r="E141">
            <v>1</v>
          </cell>
          <cell r="F141" t="str">
            <v>Kierownik Wydziału Techniki Stacyjnej</v>
          </cell>
          <cell r="G141" t="str">
            <v>N</v>
          </cell>
          <cell r="H141">
            <v>7238</v>
          </cell>
        </row>
        <row r="142">
          <cell r="C142" t="str">
            <v>LUDWICKA</v>
          </cell>
          <cell r="D142" t="str">
            <v>JOANNA</v>
          </cell>
          <cell r="E142">
            <v>1</v>
          </cell>
          <cell r="F142" t="str">
            <v>Analityk Marketingowy I</v>
          </cell>
          <cell r="G142" t="str">
            <v>I</v>
          </cell>
          <cell r="H142">
            <v>3625</v>
          </cell>
        </row>
        <row r="143">
          <cell r="C143" t="str">
            <v xml:space="preserve">JANKOWSKA </v>
          </cell>
          <cell r="D143" t="str">
            <v>ANNA</v>
          </cell>
          <cell r="E143">
            <v>1</v>
          </cell>
          <cell r="F143" t="str">
            <v>Pracownik ds. Informacji i Promocji</v>
          </cell>
          <cell r="G143" t="str">
            <v>J</v>
          </cell>
          <cell r="H143">
            <v>3162</v>
          </cell>
        </row>
        <row r="144">
          <cell r="C144" t="str">
            <v xml:space="preserve">JANKOWSKI </v>
          </cell>
          <cell r="D144" t="str">
            <v xml:space="preserve">ARTUR </v>
          </cell>
          <cell r="E144">
            <v>1</v>
          </cell>
          <cell r="F144" t="str">
            <v>Ekonomista II</v>
          </cell>
          <cell r="G144" t="str">
            <v>L</v>
          </cell>
          <cell r="H144">
            <v>5432</v>
          </cell>
        </row>
        <row r="145">
          <cell r="C145" t="str">
            <v xml:space="preserve">JANUSZEWSKA MAŁ </v>
          </cell>
          <cell r="D145" t="str">
            <v>MAŁGORZATA</v>
          </cell>
          <cell r="E145">
            <v>1</v>
          </cell>
          <cell r="F145" t="str">
            <v>Kier. Działu Organizacji Rachunkowości</v>
          </cell>
          <cell r="G145" t="str">
            <v>N</v>
          </cell>
          <cell r="H145">
            <v>6850</v>
          </cell>
        </row>
        <row r="146">
          <cell r="C146" t="str">
            <v xml:space="preserve">JANUSZEWSKA MAR </v>
          </cell>
          <cell r="D146" t="str">
            <v xml:space="preserve">MARIA </v>
          </cell>
          <cell r="E146">
            <v>1</v>
          </cell>
          <cell r="F146" t="str">
            <v>Kierownik Wydz. Programowania Wytwarzania</v>
          </cell>
          <cell r="G146" t="str">
            <v>N</v>
          </cell>
          <cell r="H146">
            <v>7100</v>
          </cell>
        </row>
        <row r="147">
          <cell r="C147" t="str">
            <v>JAROSZEK</v>
          </cell>
          <cell r="D147" t="str">
            <v xml:space="preserve">IWONA </v>
          </cell>
          <cell r="E147">
            <v>0.1</v>
          </cell>
          <cell r="F147" t="str">
            <v>Księgowy I</v>
          </cell>
          <cell r="G147" t="str">
            <v>G</v>
          </cell>
          <cell r="H147">
            <v>190</v>
          </cell>
        </row>
        <row r="148">
          <cell r="C148" t="str">
            <v xml:space="preserve">JARZĘBSKI </v>
          </cell>
          <cell r="D148" t="str">
            <v xml:space="preserve">PIOTR </v>
          </cell>
          <cell r="E148">
            <v>1</v>
          </cell>
          <cell r="F148" t="str">
            <v>Kasjer</v>
          </cell>
          <cell r="G148" t="str">
            <v>D</v>
          </cell>
          <cell r="H148">
            <v>2093</v>
          </cell>
        </row>
        <row r="149">
          <cell r="C149" t="str">
            <v>JASIŃSKI</v>
          </cell>
          <cell r="D149" t="str">
            <v xml:space="preserve">ANDRZEJ </v>
          </cell>
          <cell r="E149">
            <v>1</v>
          </cell>
          <cell r="F149" t="str">
            <v>Pracownik Ochrony I</v>
          </cell>
          <cell r="G149" t="str">
            <v>C</v>
          </cell>
          <cell r="H149">
            <v>1347</v>
          </cell>
        </row>
        <row r="150">
          <cell r="C150" t="str">
            <v>JAWORSKI</v>
          </cell>
          <cell r="D150" t="str">
            <v>WOJCIECH</v>
          </cell>
          <cell r="E150">
            <v>1</v>
          </cell>
          <cell r="F150" t="str">
            <v xml:space="preserve">Koordynator ds. Strategii Ekorozwoju </v>
          </cell>
          <cell r="G150" t="str">
            <v>M</v>
          </cell>
          <cell r="H150">
            <v>7150</v>
          </cell>
        </row>
        <row r="151">
          <cell r="C151" t="str">
            <v xml:space="preserve">JAŹWIŃSKA </v>
          </cell>
          <cell r="D151" t="str">
            <v xml:space="preserve">GRAŻYNA </v>
          </cell>
          <cell r="E151">
            <v>1</v>
          </cell>
          <cell r="F151" t="str">
            <v>Ekonomista I</v>
          </cell>
          <cell r="G151" t="str">
            <v>J</v>
          </cell>
          <cell r="H151">
            <v>3600</v>
          </cell>
        </row>
        <row r="152">
          <cell r="C152" t="str">
            <v xml:space="preserve">JENDRAK </v>
          </cell>
          <cell r="D152" t="str">
            <v>SŁAWOMIR</v>
          </cell>
          <cell r="E152">
            <v>1</v>
          </cell>
          <cell r="F152" t="str">
            <v>Pracownik Ochrony I</v>
          </cell>
          <cell r="G152" t="str">
            <v>C</v>
          </cell>
          <cell r="H152">
            <v>1321</v>
          </cell>
        </row>
        <row r="153">
          <cell r="C153" t="str">
            <v>JEŻYŃSKI</v>
          </cell>
          <cell r="D153" t="str">
            <v>ŁUKASZ</v>
          </cell>
          <cell r="E153">
            <v>1</v>
          </cell>
          <cell r="F153" t="str">
            <v>Analityk Systemowy I</v>
          </cell>
          <cell r="G153" t="str">
            <v>G</v>
          </cell>
          <cell r="H153">
            <v>2500</v>
          </cell>
        </row>
        <row r="154">
          <cell r="C154" t="str">
            <v xml:space="preserve">JUCHNICKI </v>
          </cell>
          <cell r="D154" t="str">
            <v>STANISŁAW</v>
          </cell>
          <cell r="E154">
            <v>1</v>
          </cell>
          <cell r="F154" t="str">
            <v>Teleinformatyk IV</v>
          </cell>
          <cell r="G154" t="str">
            <v>M</v>
          </cell>
          <cell r="H154">
            <v>4550</v>
          </cell>
        </row>
        <row r="155">
          <cell r="C155" t="str">
            <v>JUNG</v>
          </cell>
          <cell r="D155" t="str">
            <v>MARIOLA</v>
          </cell>
          <cell r="E155">
            <v>1</v>
          </cell>
          <cell r="F155" t="str">
            <v>Analityk Systemowy III</v>
          </cell>
          <cell r="G155" t="str">
            <v>K</v>
          </cell>
          <cell r="H155">
            <v>4100</v>
          </cell>
        </row>
        <row r="156">
          <cell r="C156" t="str">
            <v xml:space="preserve">JURCZAK </v>
          </cell>
          <cell r="D156" t="str">
            <v>ROBERT</v>
          </cell>
          <cell r="E156">
            <v>1</v>
          </cell>
          <cell r="F156" t="str">
            <v>Ekonomista III</v>
          </cell>
          <cell r="G156" t="str">
            <v>M</v>
          </cell>
          <cell r="H156">
            <v>4730</v>
          </cell>
        </row>
        <row r="157">
          <cell r="C157" t="str">
            <v xml:space="preserve">JUREK </v>
          </cell>
          <cell r="D157" t="str">
            <v>MARIAN</v>
          </cell>
          <cell r="E157">
            <v>1</v>
          </cell>
          <cell r="F157" t="str">
            <v>Inżynier Utrzymania Urządzeń II</v>
          </cell>
          <cell r="G157" t="str">
            <v>L</v>
          </cell>
          <cell r="H157">
            <v>4206</v>
          </cell>
        </row>
        <row r="158">
          <cell r="C158" t="str">
            <v>JURKÓW</v>
          </cell>
          <cell r="D158" t="str">
            <v>ROBERT</v>
          </cell>
          <cell r="E158">
            <v>1</v>
          </cell>
          <cell r="F158" t="str">
            <v>ANAlityk Systemowy II</v>
          </cell>
          <cell r="G158" t="str">
            <v>I</v>
          </cell>
          <cell r="H158">
            <v>3300</v>
          </cell>
        </row>
        <row r="159">
          <cell r="C159" t="str">
            <v>KACPROWICZ</v>
          </cell>
          <cell r="D159" t="str">
            <v>TOMASZ</v>
          </cell>
          <cell r="E159">
            <v>1</v>
          </cell>
          <cell r="F159" t="str">
            <v>Analityk Systemowy I</v>
          </cell>
          <cell r="G159" t="str">
            <v>G</v>
          </cell>
          <cell r="H159">
            <v>2700</v>
          </cell>
        </row>
        <row r="160">
          <cell r="C160" t="str">
            <v xml:space="preserve">KACZANOWSKI AN </v>
          </cell>
          <cell r="D160" t="str">
            <v xml:space="preserve">ANDRZEJ </v>
          </cell>
          <cell r="E160">
            <v>1</v>
          </cell>
          <cell r="F160" t="str">
            <v>Główny Dyspozytor Systemu KDM-DIR</v>
          </cell>
          <cell r="G160" t="str">
            <v>N</v>
          </cell>
          <cell r="H160">
            <v>6422</v>
          </cell>
        </row>
        <row r="161">
          <cell r="C161" t="str">
            <v xml:space="preserve">KACZANOWSKI AD </v>
          </cell>
          <cell r="D161" t="str">
            <v>ADAM</v>
          </cell>
          <cell r="E161">
            <v>1</v>
          </cell>
          <cell r="F161" t="str">
            <v>Kier. Wydz. Programowania Rozwoju KSE</v>
          </cell>
          <cell r="G161" t="str">
            <v>N</v>
          </cell>
          <cell r="H161">
            <v>6920</v>
          </cell>
        </row>
        <row r="162">
          <cell r="C162" t="str">
            <v xml:space="preserve">KACZMAREK </v>
          </cell>
          <cell r="D162" t="str">
            <v>KRYSTYNA</v>
          </cell>
          <cell r="E162">
            <v>1</v>
          </cell>
          <cell r="F162" t="str">
            <v>Inspektor Utrzymania Urządzeń I</v>
          </cell>
          <cell r="G162" t="str">
            <v>I</v>
          </cell>
          <cell r="H162">
            <v>3000</v>
          </cell>
        </row>
        <row r="163">
          <cell r="C163" t="str">
            <v>KALINOWSKI TA</v>
          </cell>
          <cell r="D163" t="str">
            <v xml:space="preserve">TADEUSZ </v>
          </cell>
          <cell r="E163">
            <v>1</v>
          </cell>
          <cell r="F163" t="str">
            <v>Inspektor Utrzymania Urządzeń II</v>
          </cell>
          <cell r="G163" t="str">
            <v>J</v>
          </cell>
          <cell r="H163">
            <v>3600</v>
          </cell>
        </row>
        <row r="164">
          <cell r="C164" t="str">
            <v xml:space="preserve">KALINOWSKI KR </v>
          </cell>
          <cell r="D164" t="str">
            <v xml:space="preserve">KRZYSZTOF </v>
          </cell>
          <cell r="E164">
            <v>1</v>
          </cell>
          <cell r="F164" t="str">
            <v>Inspektor Inwestycji</v>
          </cell>
          <cell r="G164" t="str">
            <v>I</v>
          </cell>
          <cell r="H164">
            <v>2445</v>
          </cell>
        </row>
        <row r="165">
          <cell r="C165" t="str">
            <v>KAŁUŻEWSKA</v>
          </cell>
          <cell r="D165" t="str">
            <v xml:space="preserve">BARBARA </v>
          </cell>
          <cell r="E165">
            <v>1</v>
          </cell>
          <cell r="F165" t="str">
            <v>Ekonomista II</v>
          </cell>
          <cell r="G165" t="str">
            <v>L</v>
          </cell>
          <cell r="H165">
            <v>4260</v>
          </cell>
        </row>
        <row r="166">
          <cell r="C166" t="str">
            <v>KAMIŃSKA AN</v>
          </cell>
          <cell r="D166" t="str">
            <v>ANNA</v>
          </cell>
          <cell r="E166">
            <v>1</v>
          </cell>
          <cell r="F166" t="str">
            <v>Finansista I</v>
          </cell>
          <cell r="G166" t="str">
            <v>I</v>
          </cell>
          <cell r="H166">
            <v>2880</v>
          </cell>
        </row>
        <row r="167">
          <cell r="C167" t="str">
            <v>KAMIŃSKA GR</v>
          </cell>
          <cell r="D167" t="str">
            <v xml:space="preserve">GRAŻYNA </v>
          </cell>
          <cell r="E167">
            <v>1</v>
          </cell>
          <cell r="F167" t="str">
            <v>Audytor</v>
          </cell>
          <cell r="G167" t="str">
            <v>L</v>
          </cell>
          <cell r="H167">
            <v>4400</v>
          </cell>
        </row>
        <row r="168">
          <cell r="C168" t="str">
            <v>KAMIŃSKA JA</v>
          </cell>
          <cell r="D168" t="str">
            <v>JANINA</v>
          </cell>
          <cell r="E168">
            <v>1</v>
          </cell>
          <cell r="F168" t="str">
            <v>Ekonomista II</v>
          </cell>
          <cell r="G168" t="str">
            <v>L</v>
          </cell>
          <cell r="H168">
            <v>3492</v>
          </cell>
        </row>
        <row r="169">
          <cell r="C169" t="str">
            <v>KAMIŃSKI</v>
          </cell>
          <cell r="D169" t="str">
            <v xml:space="preserve">RYSZARD </v>
          </cell>
          <cell r="E169">
            <v>1</v>
          </cell>
          <cell r="F169" t="str">
            <v>Inżynier Utrzymania Urządzeń III</v>
          </cell>
          <cell r="G169" t="str">
            <v>M</v>
          </cell>
          <cell r="H169">
            <v>5350</v>
          </cell>
        </row>
        <row r="170">
          <cell r="C170" t="str">
            <v xml:space="preserve">KANIA </v>
          </cell>
          <cell r="D170" t="str">
            <v>MARIAN</v>
          </cell>
          <cell r="E170">
            <v>1</v>
          </cell>
          <cell r="F170" t="str">
            <v>Handlowiec III</v>
          </cell>
          <cell r="G170" t="str">
            <v>K</v>
          </cell>
          <cell r="H170">
            <v>3366</v>
          </cell>
        </row>
        <row r="171">
          <cell r="C171" t="str">
            <v xml:space="preserve">KAPTURZAK </v>
          </cell>
          <cell r="D171" t="str">
            <v xml:space="preserve">EWA </v>
          </cell>
          <cell r="E171">
            <v>1</v>
          </cell>
          <cell r="F171" t="str">
            <v>Inspektor II</v>
          </cell>
          <cell r="G171" t="str">
            <v>H</v>
          </cell>
          <cell r="H171">
            <v>2900</v>
          </cell>
        </row>
        <row r="172">
          <cell r="C172" t="str">
            <v>KARLICKI</v>
          </cell>
          <cell r="D172" t="str">
            <v xml:space="preserve">MAREK </v>
          </cell>
          <cell r="E172">
            <v>1</v>
          </cell>
          <cell r="F172" t="str">
            <v>Inżynier Utrzymania Urządzeń I</v>
          </cell>
          <cell r="G172" t="str">
            <v>K</v>
          </cell>
          <cell r="H172">
            <v>3592</v>
          </cell>
        </row>
        <row r="173">
          <cell r="C173" t="str">
            <v>KARMAN</v>
          </cell>
          <cell r="D173" t="str">
            <v xml:space="preserve">JACEK </v>
          </cell>
          <cell r="E173">
            <v>1</v>
          </cell>
          <cell r="F173" t="str">
            <v>Finansista II</v>
          </cell>
          <cell r="G173" t="str">
            <v>L</v>
          </cell>
          <cell r="H173">
            <v>4250</v>
          </cell>
        </row>
        <row r="174">
          <cell r="C174" t="str">
            <v>KARNASIEWICZ</v>
          </cell>
          <cell r="D174" t="str">
            <v>WIESŁAW</v>
          </cell>
          <cell r="E174">
            <v>1</v>
          </cell>
          <cell r="F174" t="str">
            <v>Inspektor II</v>
          </cell>
          <cell r="G174" t="str">
            <v>H</v>
          </cell>
          <cell r="H174">
            <v>2709</v>
          </cell>
        </row>
        <row r="175">
          <cell r="C175" t="str">
            <v xml:space="preserve">KARPIŃSKA </v>
          </cell>
          <cell r="D175" t="str">
            <v>ELŻBIETA</v>
          </cell>
          <cell r="E175">
            <v>1</v>
          </cell>
          <cell r="F175" t="str">
            <v>Finansista III</v>
          </cell>
          <cell r="G175" t="str">
            <v>M</v>
          </cell>
          <cell r="H175">
            <v>5814</v>
          </cell>
        </row>
        <row r="176">
          <cell r="C176" t="str">
            <v xml:space="preserve">KAWECKA </v>
          </cell>
          <cell r="D176" t="str">
            <v xml:space="preserve">WANDA </v>
          </cell>
          <cell r="E176">
            <v>1</v>
          </cell>
          <cell r="F176" t="str">
            <v>Prac.Rozliczeń Handlowych III</v>
          </cell>
          <cell r="G176" t="str">
            <v>I</v>
          </cell>
          <cell r="H176">
            <v>3750</v>
          </cell>
        </row>
        <row r="177">
          <cell r="C177" t="str">
            <v xml:space="preserve">KĘDZIOREK </v>
          </cell>
          <cell r="D177" t="str">
            <v xml:space="preserve">JADWIGA </v>
          </cell>
          <cell r="E177">
            <v>1</v>
          </cell>
          <cell r="F177" t="str">
            <v>Analityk Systemowy I</v>
          </cell>
          <cell r="G177" t="str">
            <v>G</v>
          </cell>
          <cell r="H177">
            <v>2725</v>
          </cell>
        </row>
        <row r="178">
          <cell r="C178" t="str">
            <v xml:space="preserve">KIRPSZA </v>
          </cell>
          <cell r="D178" t="str">
            <v>DANUTA</v>
          </cell>
          <cell r="E178">
            <v>1</v>
          </cell>
          <cell r="F178" t="str">
            <v>Kontroler Wydziałowy</v>
          </cell>
          <cell r="G178" t="str">
            <v>K</v>
          </cell>
          <cell r="H178">
            <v>3270</v>
          </cell>
        </row>
        <row r="179">
          <cell r="C179" t="str">
            <v>KLIMEK</v>
          </cell>
          <cell r="D179" t="str">
            <v>MONIKA</v>
          </cell>
          <cell r="E179">
            <v>1</v>
          </cell>
          <cell r="F179" t="str">
            <v>Inspektor I</v>
          </cell>
          <cell r="G179" t="str">
            <v>F</v>
          </cell>
          <cell r="H179">
            <v>2394</v>
          </cell>
        </row>
        <row r="180">
          <cell r="C180" t="str">
            <v xml:space="preserve">KLOCH </v>
          </cell>
          <cell r="D180" t="str">
            <v>WIOLETTA</v>
          </cell>
          <cell r="E180">
            <v>1</v>
          </cell>
          <cell r="F180" t="str">
            <v>Kontroler Wydziałowy</v>
          </cell>
          <cell r="G180" t="str">
            <v>K</v>
          </cell>
          <cell r="H180">
            <v>3100</v>
          </cell>
        </row>
        <row r="181">
          <cell r="C181" t="str">
            <v xml:space="preserve">KOCEWIAK-MALINOWSKA </v>
          </cell>
          <cell r="D181" t="str">
            <v>EMILIA</v>
          </cell>
          <cell r="E181">
            <v>1</v>
          </cell>
          <cell r="F181" t="str">
            <v>Koordynator ds. Inwestycji I</v>
          </cell>
          <cell r="G181" t="str">
            <v>K</v>
          </cell>
          <cell r="H181">
            <v>3456</v>
          </cell>
        </row>
        <row r="182">
          <cell r="C182" t="str">
            <v>KOCJAN-OSICA</v>
          </cell>
          <cell r="D182" t="str">
            <v>JANINA</v>
          </cell>
          <cell r="E182">
            <v>1</v>
          </cell>
          <cell r="F182" t="str">
            <v>Inspektor I</v>
          </cell>
          <cell r="G182" t="str">
            <v>F</v>
          </cell>
          <cell r="H182">
            <v>2357</v>
          </cell>
        </row>
        <row r="183">
          <cell r="C183" t="str">
            <v>KOMOSA</v>
          </cell>
          <cell r="D183" t="str">
            <v>PIOTR</v>
          </cell>
          <cell r="E183">
            <v>1</v>
          </cell>
          <cell r="F183" t="str">
            <v>Ekonomista I</v>
          </cell>
          <cell r="G183" t="str">
            <v>J</v>
          </cell>
          <cell r="H183">
            <v>3850</v>
          </cell>
        </row>
        <row r="184">
          <cell r="C184" t="str">
            <v>KONDEJ</v>
          </cell>
          <cell r="D184" t="str">
            <v>LEON</v>
          </cell>
          <cell r="E184">
            <v>1</v>
          </cell>
          <cell r="F184" t="str">
            <v>Inżynier EAZ III</v>
          </cell>
          <cell r="G184" t="str">
            <v>L</v>
          </cell>
          <cell r="H184">
            <v>4777</v>
          </cell>
        </row>
        <row r="185">
          <cell r="C185" t="str">
            <v xml:space="preserve">KORDOWIECKA </v>
          </cell>
          <cell r="D185" t="str">
            <v xml:space="preserve">ANETA </v>
          </cell>
          <cell r="E185">
            <v>1</v>
          </cell>
          <cell r="F185" t="str">
            <v>Księgowy I</v>
          </cell>
          <cell r="G185" t="str">
            <v>G</v>
          </cell>
          <cell r="H185">
            <v>2400</v>
          </cell>
        </row>
        <row r="186">
          <cell r="C186" t="str">
            <v>KORNACKA</v>
          </cell>
          <cell r="D186" t="str">
            <v>ELŻBIETA</v>
          </cell>
          <cell r="E186">
            <v>1</v>
          </cell>
          <cell r="F186" t="str">
            <v>Audytor</v>
          </cell>
          <cell r="G186" t="str">
            <v>L</v>
          </cell>
          <cell r="H186">
            <v>4900</v>
          </cell>
        </row>
        <row r="187">
          <cell r="C187" t="str">
            <v>KORNAKIEWICZ</v>
          </cell>
          <cell r="D187" t="str">
            <v>MARTA</v>
          </cell>
          <cell r="E187">
            <v>1</v>
          </cell>
          <cell r="F187" t="str">
            <v>Inspektor I</v>
          </cell>
          <cell r="G187" t="str">
            <v>F</v>
          </cell>
          <cell r="H187">
            <v>2000</v>
          </cell>
        </row>
        <row r="188">
          <cell r="C188" t="str">
            <v>KORNICKI</v>
          </cell>
          <cell r="D188" t="str">
            <v xml:space="preserve">MAREK </v>
          </cell>
          <cell r="E188">
            <v>1</v>
          </cell>
          <cell r="F188" t="str">
            <v>Dyspozytor Systemu KDM-DIR</v>
          </cell>
          <cell r="G188" t="str">
            <v>M</v>
          </cell>
          <cell r="H188">
            <v>4919</v>
          </cell>
        </row>
        <row r="189">
          <cell r="C189" t="str">
            <v xml:space="preserve">KOSIARSKI </v>
          </cell>
          <cell r="D189" t="str">
            <v xml:space="preserve">RYSZARD </v>
          </cell>
          <cell r="E189">
            <v>1</v>
          </cell>
          <cell r="F189" t="str">
            <v>Teleinformatyk II</v>
          </cell>
          <cell r="G189" t="str">
            <v>K</v>
          </cell>
          <cell r="H189">
            <v>3935</v>
          </cell>
        </row>
        <row r="190">
          <cell r="C190" t="str">
            <v xml:space="preserve">KOSTANIAK </v>
          </cell>
          <cell r="D190" t="str">
            <v xml:space="preserve">KAZIMIERA </v>
          </cell>
          <cell r="E190">
            <v>1</v>
          </cell>
          <cell r="F190" t="str">
            <v>Referent Techniczny</v>
          </cell>
          <cell r="G190" t="str">
            <v>E</v>
          </cell>
          <cell r="H190">
            <v>2093</v>
          </cell>
        </row>
        <row r="191">
          <cell r="C191" t="str">
            <v xml:space="preserve">KOSTARSKA </v>
          </cell>
          <cell r="D191" t="str">
            <v xml:space="preserve">IWONA </v>
          </cell>
          <cell r="E191">
            <v>1</v>
          </cell>
          <cell r="F191" t="str">
            <v>Prac. Rozliczeń Handlowych I</v>
          </cell>
          <cell r="G191" t="str">
            <v>E</v>
          </cell>
          <cell r="H191">
            <v>2640</v>
          </cell>
        </row>
        <row r="192">
          <cell r="C192" t="str">
            <v xml:space="preserve">KOSTRZYŃSKA </v>
          </cell>
          <cell r="D192" t="str">
            <v xml:space="preserve">KATARZYNA </v>
          </cell>
          <cell r="E192">
            <v>1</v>
          </cell>
          <cell r="F192" t="str">
            <v>Ekonomista II</v>
          </cell>
          <cell r="G192" t="str">
            <v>L</v>
          </cell>
          <cell r="H192">
            <v>4900</v>
          </cell>
        </row>
        <row r="193">
          <cell r="C193" t="str">
            <v xml:space="preserve">KOTKOWSKI </v>
          </cell>
          <cell r="D193" t="str">
            <v>ALBERT</v>
          </cell>
          <cell r="E193">
            <v>1</v>
          </cell>
          <cell r="F193" t="str">
            <v>Administrator Systemu II</v>
          </cell>
          <cell r="G193" t="str">
            <v>K</v>
          </cell>
          <cell r="H193">
            <v>5150</v>
          </cell>
        </row>
        <row r="194">
          <cell r="C194" t="str">
            <v xml:space="preserve">KOWALCZYK KA </v>
          </cell>
          <cell r="D194" t="str">
            <v xml:space="preserve">KATARZYNA </v>
          </cell>
          <cell r="E194">
            <v>1</v>
          </cell>
          <cell r="F194" t="str">
            <v>Sekretarka II</v>
          </cell>
          <cell r="G194" t="str">
            <v>F</v>
          </cell>
          <cell r="H194">
            <v>1971</v>
          </cell>
        </row>
        <row r="195">
          <cell r="C195" t="str">
            <v xml:space="preserve">KOWALCZYK GR </v>
          </cell>
          <cell r="D195" t="str">
            <v xml:space="preserve">GRAŻYNA </v>
          </cell>
          <cell r="E195">
            <v>1</v>
          </cell>
          <cell r="F195" t="str">
            <v>Księgowy II</v>
          </cell>
          <cell r="G195" t="str">
            <v>I</v>
          </cell>
          <cell r="H195">
            <v>2850</v>
          </cell>
        </row>
        <row r="196">
          <cell r="C196" t="str">
            <v xml:space="preserve">KOWALIK </v>
          </cell>
          <cell r="D196" t="str">
            <v xml:space="preserve">JACEK </v>
          </cell>
          <cell r="E196">
            <v>1</v>
          </cell>
          <cell r="F196" t="str">
            <v>Główny Dyspozytor Systemu KDM-DIR</v>
          </cell>
          <cell r="G196" t="str">
            <v>N</v>
          </cell>
          <cell r="H196">
            <v>6701</v>
          </cell>
        </row>
        <row r="197">
          <cell r="C197" t="str">
            <v>KOZDROŃSKA</v>
          </cell>
          <cell r="D197" t="str">
            <v>ELŻBIETA</v>
          </cell>
          <cell r="E197">
            <v>0.75</v>
          </cell>
          <cell r="F197" t="str">
            <v>Analityk Systemowy III</v>
          </cell>
          <cell r="G197" t="str">
            <v>K</v>
          </cell>
          <cell r="H197">
            <v>3000</v>
          </cell>
        </row>
        <row r="198">
          <cell r="C198" t="str">
            <v>KOZERA</v>
          </cell>
          <cell r="D198" t="str">
            <v>WOJCIECH</v>
          </cell>
          <cell r="E198">
            <v>1</v>
          </cell>
          <cell r="F198" t="str">
            <v>Księgowy II</v>
          </cell>
          <cell r="G198" t="str">
            <v>I</v>
          </cell>
          <cell r="H198">
            <v>3000</v>
          </cell>
        </row>
        <row r="199">
          <cell r="C199" t="str">
            <v xml:space="preserve">KOZIK </v>
          </cell>
          <cell r="D199" t="str">
            <v>ŁUKASZ</v>
          </cell>
          <cell r="E199">
            <v>1</v>
          </cell>
          <cell r="F199" t="str">
            <v>Ekonomista I</v>
          </cell>
          <cell r="G199" t="str">
            <v>J</v>
          </cell>
          <cell r="H199">
            <v>3450</v>
          </cell>
        </row>
        <row r="200">
          <cell r="C200" t="str">
            <v xml:space="preserve">KOZŁOWSKA </v>
          </cell>
          <cell r="D200" t="str">
            <v>DOROTA</v>
          </cell>
          <cell r="E200">
            <v>1</v>
          </cell>
          <cell r="F200" t="str">
            <v>Stażysta z wyższym wykszt.</v>
          </cell>
          <cell r="G200" t="str">
            <v>G</v>
          </cell>
          <cell r="H200">
            <v>2160</v>
          </cell>
        </row>
        <row r="201">
          <cell r="C201" t="str">
            <v xml:space="preserve">KOZŁOWSKI </v>
          </cell>
          <cell r="D201" t="str">
            <v>ZBIGNIEW</v>
          </cell>
          <cell r="E201">
            <v>1</v>
          </cell>
          <cell r="F201" t="str">
            <v>Inżynier Systemu III</v>
          </cell>
          <cell r="G201" t="str">
            <v>M</v>
          </cell>
          <cell r="H201">
            <v>5000</v>
          </cell>
        </row>
        <row r="202">
          <cell r="C202" t="str">
            <v xml:space="preserve">KOŻUCHOWSKI </v>
          </cell>
          <cell r="D202" t="str">
            <v xml:space="preserve">ANDRZEJ </v>
          </cell>
          <cell r="E202">
            <v>1</v>
          </cell>
          <cell r="F202" t="str">
            <v>Kierownik Wydziału DYSTER</v>
          </cell>
          <cell r="G202" t="str">
            <v>N</v>
          </cell>
          <cell r="H202">
            <v>6500</v>
          </cell>
        </row>
        <row r="203">
          <cell r="C203" t="str">
            <v>KRASSOWSKI</v>
          </cell>
          <cell r="D203" t="str">
            <v xml:space="preserve">KRZYSZTOF </v>
          </cell>
          <cell r="E203">
            <v>1</v>
          </cell>
          <cell r="F203" t="str">
            <v>Pracownik Ochrony II</v>
          </cell>
          <cell r="G203" t="str">
            <v>E</v>
          </cell>
          <cell r="H203">
            <v>1850</v>
          </cell>
        </row>
        <row r="204">
          <cell r="C204" t="str">
            <v>KRAWCZYK ZO</v>
          </cell>
          <cell r="D204" t="str">
            <v>ZOFIA</v>
          </cell>
          <cell r="E204">
            <v>1</v>
          </cell>
          <cell r="F204" t="str">
            <v>Kontroler Wewnętrzny I</v>
          </cell>
          <cell r="G204" t="str">
            <v>H</v>
          </cell>
          <cell r="H204">
            <v>2630</v>
          </cell>
        </row>
        <row r="205">
          <cell r="C205" t="str">
            <v>KRAWCZYK EW</v>
          </cell>
          <cell r="D205" t="str">
            <v xml:space="preserve">EWA </v>
          </cell>
          <cell r="E205">
            <v>1</v>
          </cell>
          <cell r="F205" t="str">
            <v>Analityk Systemowy II</v>
          </cell>
          <cell r="G205" t="str">
            <v>I</v>
          </cell>
          <cell r="H205">
            <v>3000</v>
          </cell>
        </row>
        <row r="206">
          <cell r="C206" t="str">
            <v xml:space="preserve">Krawczyński </v>
          </cell>
          <cell r="D206" t="str">
            <v xml:space="preserve">JACEK </v>
          </cell>
          <cell r="E206">
            <v>1</v>
          </cell>
          <cell r="F206" t="str">
            <v>DORADCA ZARZĄDU DS. WSPÓŁPRACY ZE ZWIĄZKAMI ZAWOD.</v>
          </cell>
          <cell r="G206" t="str">
            <v>N</v>
          </cell>
          <cell r="H206">
            <v>7450</v>
          </cell>
        </row>
        <row r="207">
          <cell r="C207" t="str">
            <v xml:space="preserve">KRAWIECKA </v>
          </cell>
          <cell r="D207" t="str">
            <v>DANUTA</v>
          </cell>
          <cell r="E207">
            <v>1</v>
          </cell>
          <cell r="F207" t="str">
            <v>Pracownik Księgowości II</v>
          </cell>
          <cell r="G207" t="str">
            <v>E</v>
          </cell>
          <cell r="H207">
            <v>2024</v>
          </cell>
        </row>
        <row r="208">
          <cell r="C208" t="str">
            <v xml:space="preserve">KRYGIER </v>
          </cell>
          <cell r="D208" t="str">
            <v>HELENA</v>
          </cell>
          <cell r="E208">
            <v>0.75</v>
          </cell>
          <cell r="F208" t="str">
            <v>Asystent Zarządu II</v>
          </cell>
          <cell r="G208" t="str">
            <v>I</v>
          </cell>
          <cell r="H208">
            <v>2365</v>
          </cell>
        </row>
        <row r="209">
          <cell r="C209" t="str">
            <v xml:space="preserve">KRZYSZTOSZEK-SOBOTA </v>
          </cell>
          <cell r="D209" t="str">
            <v xml:space="preserve">GRAŻYNA </v>
          </cell>
          <cell r="E209">
            <v>1</v>
          </cell>
          <cell r="F209" t="str">
            <v>Ekonomista III</v>
          </cell>
          <cell r="G209" t="str">
            <v>M</v>
          </cell>
          <cell r="H209">
            <v>4548</v>
          </cell>
        </row>
        <row r="210">
          <cell r="C210" t="str">
            <v>KUCZKOWSKA</v>
          </cell>
          <cell r="D210" t="str">
            <v xml:space="preserve">IRENA </v>
          </cell>
          <cell r="E210">
            <v>1</v>
          </cell>
          <cell r="F210" t="str">
            <v>Inżynier Utrzymania Urządzeń III</v>
          </cell>
          <cell r="G210" t="str">
            <v>M</v>
          </cell>
          <cell r="H210">
            <v>4998</v>
          </cell>
        </row>
        <row r="211">
          <cell r="C211" t="str">
            <v xml:space="preserve">KUCZYŃSKI </v>
          </cell>
          <cell r="D211" t="str">
            <v xml:space="preserve">RAFAŁ </v>
          </cell>
          <cell r="E211">
            <v>1</v>
          </cell>
          <cell r="F211" t="str">
            <v>Inżynier Systemu III</v>
          </cell>
          <cell r="G211" t="str">
            <v>M</v>
          </cell>
          <cell r="H211">
            <v>5000</v>
          </cell>
        </row>
        <row r="212">
          <cell r="C212" t="str">
            <v>KUJAWA  DA</v>
          </cell>
          <cell r="D212" t="str">
            <v>DANUTA</v>
          </cell>
          <cell r="E212">
            <v>1</v>
          </cell>
          <cell r="F212" t="str">
            <v>Inżynier EAZ IV</v>
          </cell>
          <cell r="G212" t="str">
            <v>M</v>
          </cell>
          <cell r="H212">
            <v>4888</v>
          </cell>
        </row>
        <row r="213">
          <cell r="C213" t="str">
            <v>KUJAWA GR</v>
          </cell>
          <cell r="D213" t="str">
            <v>GRZEGORZ</v>
          </cell>
          <cell r="E213">
            <v>1</v>
          </cell>
          <cell r="F213" t="str">
            <v>Teleinformatyk IV</v>
          </cell>
          <cell r="G213" t="str">
            <v>M</v>
          </cell>
          <cell r="H213">
            <v>5350</v>
          </cell>
        </row>
        <row r="214">
          <cell r="C214" t="str">
            <v xml:space="preserve">KUKLA </v>
          </cell>
          <cell r="D214" t="str">
            <v xml:space="preserve">JÓZEF </v>
          </cell>
          <cell r="E214">
            <v>1</v>
          </cell>
          <cell r="F214" t="str">
            <v>Inżynier Systemu II</v>
          </cell>
          <cell r="G214" t="str">
            <v>L</v>
          </cell>
          <cell r="H214">
            <v>4800</v>
          </cell>
        </row>
        <row r="215">
          <cell r="C215" t="str">
            <v xml:space="preserve">KUKUŁKA </v>
          </cell>
          <cell r="D215" t="str">
            <v>MARYLA</v>
          </cell>
          <cell r="E215">
            <v>1</v>
          </cell>
          <cell r="F215" t="str">
            <v>Sekretarka II</v>
          </cell>
          <cell r="G215" t="str">
            <v>F</v>
          </cell>
          <cell r="H215">
            <v>2500</v>
          </cell>
        </row>
        <row r="216">
          <cell r="C216" t="str">
            <v xml:space="preserve">KURAN </v>
          </cell>
          <cell r="D216" t="str">
            <v xml:space="preserve">EWA </v>
          </cell>
          <cell r="E216">
            <v>1</v>
          </cell>
          <cell r="F216" t="str">
            <v>Inspektor II</v>
          </cell>
          <cell r="G216" t="str">
            <v>H</v>
          </cell>
          <cell r="H216">
            <v>2733</v>
          </cell>
        </row>
        <row r="217">
          <cell r="C217" t="str">
            <v xml:space="preserve">KUREK </v>
          </cell>
          <cell r="D217" t="str">
            <v>TERESA</v>
          </cell>
          <cell r="E217">
            <v>1</v>
          </cell>
          <cell r="F217" t="str">
            <v>Handlowiec IV</v>
          </cell>
          <cell r="G217" t="str">
            <v>M</v>
          </cell>
          <cell r="H217">
            <v>4780</v>
          </cell>
        </row>
        <row r="218">
          <cell r="C218" t="str">
            <v xml:space="preserve">KUŹMICZ </v>
          </cell>
          <cell r="D218" t="str">
            <v>ALEKSANDER</v>
          </cell>
          <cell r="E218">
            <v>1</v>
          </cell>
          <cell r="F218" t="str">
            <v>Ekonomista I</v>
          </cell>
          <cell r="G218" t="str">
            <v>J</v>
          </cell>
          <cell r="H218">
            <v>3200</v>
          </cell>
        </row>
        <row r="219">
          <cell r="C219" t="str">
            <v xml:space="preserve">KWIATKOWSKA </v>
          </cell>
          <cell r="D219" t="str">
            <v xml:space="preserve">BARBARA </v>
          </cell>
          <cell r="E219">
            <v>1</v>
          </cell>
          <cell r="F219" t="str">
            <v>Analityk Systemowy I</v>
          </cell>
          <cell r="G219" t="str">
            <v>G</v>
          </cell>
          <cell r="H219">
            <v>2400</v>
          </cell>
        </row>
        <row r="220">
          <cell r="C220" t="str">
            <v xml:space="preserve">KWIATKOWSKI </v>
          </cell>
          <cell r="D220" t="str">
            <v>MIECZYSŁAW</v>
          </cell>
          <cell r="E220">
            <v>1</v>
          </cell>
          <cell r="F220" t="str">
            <v>Koord. ds. Strategii Rozwoju Elektroenerget.</v>
          </cell>
          <cell r="G220" t="str">
            <v>N</v>
          </cell>
          <cell r="H220">
            <v>6600</v>
          </cell>
        </row>
        <row r="221">
          <cell r="C221" t="str">
            <v xml:space="preserve">LASKOWSKI </v>
          </cell>
          <cell r="D221" t="str">
            <v>MARCIN</v>
          </cell>
          <cell r="E221">
            <v>1</v>
          </cell>
          <cell r="F221" t="str">
            <v>Inspektor Inwestycji</v>
          </cell>
          <cell r="G221" t="str">
            <v>I</v>
          </cell>
          <cell r="H221">
            <v>3300</v>
          </cell>
        </row>
        <row r="222">
          <cell r="C222" t="str">
            <v xml:space="preserve">LASOCKI </v>
          </cell>
          <cell r="D222" t="str">
            <v>ROBERT</v>
          </cell>
          <cell r="E222">
            <v>1</v>
          </cell>
          <cell r="F222" t="str">
            <v>Inspektor I</v>
          </cell>
          <cell r="G222" t="str">
            <v>F</v>
          </cell>
          <cell r="H222">
            <v>2500</v>
          </cell>
        </row>
        <row r="223">
          <cell r="C223" t="str">
            <v>LASOTA</v>
          </cell>
          <cell r="D223" t="str">
            <v>STEFAN</v>
          </cell>
          <cell r="E223">
            <v>1</v>
          </cell>
          <cell r="F223" t="str">
            <v>Kierownik Wydziału Spraw Obronnych</v>
          </cell>
          <cell r="G223" t="str">
            <v>N</v>
          </cell>
          <cell r="H223">
            <v>7129</v>
          </cell>
        </row>
        <row r="224">
          <cell r="C224" t="str">
            <v xml:space="preserve">LESZCZYŃSKA </v>
          </cell>
          <cell r="D224" t="str">
            <v xml:space="preserve">BARBARA </v>
          </cell>
          <cell r="E224">
            <v>1</v>
          </cell>
          <cell r="F224" t="str">
            <v>Prac. ds. Kadrowych lub Socjalnych I</v>
          </cell>
          <cell r="G224" t="str">
            <v>H</v>
          </cell>
          <cell r="H224">
            <v>3000</v>
          </cell>
        </row>
        <row r="225">
          <cell r="C225" t="str">
            <v xml:space="preserve">LEWANDOWSKA TA </v>
          </cell>
          <cell r="D225" t="str">
            <v>TAMARA</v>
          </cell>
          <cell r="E225">
            <v>1</v>
          </cell>
          <cell r="F225" t="str">
            <v>Inżynier Systemu III</v>
          </cell>
          <cell r="G225" t="str">
            <v>M</v>
          </cell>
          <cell r="H225">
            <v>5400</v>
          </cell>
        </row>
        <row r="226">
          <cell r="C226" t="str">
            <v xml:space="preserve">LEWANDOWSKA MA </v>
          </cell>
          <cell r="D226" t="str">
            <v xml:space="preserve">MARIA </v>
          </cell>
          <cell r="E226">
            <v>1</v>
          </cell>
          <cell r="F226" t="str">
            <v>Koordynator Obszaru Zarządzania i Nadzoru Właścicielskiego</v>
          </cell>
          <cell r="G226" t="str">
            <v>M</v>
          </cell>
          <cell r="H226">
            <v>5800</v>
          </cell>
        </row>
        <row r="227">
          <cell r="C227" t="str">
            <v xml:space="preserve">LEWANDOWSKA KR </v>
          </cell>
          <cell r="D227" t="str">
            <v>KRYSTYNA</v>
          </cell>
          <cell r="E227">
            <v>1</v>
          </cell>
          <cell r="F227" t="str">
            <v>Ekonomista III</v>
          </cell>
          <cell r="G227" t="str">
            <v>M</v>
          </cell>
          <cell r="H227">
            <v>4548</v>
          </cell>
        </row>
        <row r="228">
          <cell r="C228" t="str">
            <v xml:space="preserve">LEWANDOWSKI </v>
          </cell>
          <cell r="D228" t="str">
            <v>WŁODZIMIERZ</v>
          </cell>
          <cell r="E228">
            <v>1</v>
          </cell>
          <cell r="F228" t="str">
            <v>Kierownik Obsz. Zadaniowego</v>
          </cell>
          <cell r="G228" t="str">
            <v>O</v>
          </cell>
          <cell r="H228">
            <v>8200</v>
          </cell>
        </row>
        <row r="229">
          <cell r="C229" t="str">
            <v xml:space="preserve">ŁABIGA-WĘGIEL </v>
          </cell>
          <cell r="D229" t="str">
            <v>MARZENA</v>
          </cell>
          <cell r="E229">
            <v>1</v>
          </cell>
          <cell r="F229" t="str">
            <v>Handlowiec I</v>
          </cell>
          <cell r="G229" t="str">
            <v>E</v>
          </cell>
          <cell r="H229">
            <v>2460</v>
          </cell>
        </row>
        <row r="230">
          <cell r="C230" t="str">
            <v>ŁAŁOWSKA</v>
          </cell>
          <cell r="D230" t="str">
            <v>ELŻBIETA</v>
          </cell>
          <cell r="E230">
            <v>1</v>
          </cell>
          <cell r="F230" t="str">
            <v>Prac. Rozliczeń Handlowych II</v>
          </cell>
          <cell r="G230" t="str">
            <v>G</v>
          </cell>
          <cell r="H230">
            <v>2558</v>
          </cell>
        </row>
        <row r="231">
          <cell r="C231" t="str">
            <v>ŁOMYSZ</v>
          </cell>
          <cell r="D231" t="str">
            <v>MIROSŁAW</v>
          </cell>
          <cell r="E231">
            <v>1</v>
          </cell>
          <cell r="F231" t="str">
            <v>Teleinformatyk I</v>
          </cell>
          <cell r="G231" t="str">
            <v>J</v>
          </cell>
          <cell r="H231">
            <v>3500</v>
          </cell>
        </row>
        <row r="232">
          <cell r="C232" t="str">
            <v>ŁOPATKO KAT</v>
          </cell>
          <cell r="D232" t="str">
            <v xml:space="preserve">KATARZYNA </v>
          </cell>
          <cell r="E232">
            <v>1</v>
          </cell>
          <cell r="F232" t="str">
            <v>Ekonomista I</v>
          </cell>
          <cell r="G232" t="str">
            <v>J</v>
          </cell>
          <cell r="H232">
            <v>3100</v>
          </cell>
        </row>
        <row r="233">
          <cell r="C233" t="str">
            <v xml:space="preserve">ŁOPATKO KAM </v>
          </cell>
          <cell r="D233" t="str">
            <v xml:space="preserve">KAMIL </v>
          </cell>
          <cell r="E233">
            <v>1</v>
          </cell>
          <cell r="F233" t="str">
            <v>Inspektor I</v>
          </cell>
          <cell r="G233" t="str">
            <v>F</v>
          </cell>
          <cell r="H233">
            <v>2675</v>
          </cell>
        </row>
        <row r="234">
          <cell r="C234" t="str">
            <v>ŁOZIŃSKI</v>
          </cell>
          <cell r="D234" t="str">
            <v xml:space="preserve">KRZYSZTOF </v>
          </cell>
          <cell r="E234">
            <v>1</v>
          </cell>
          <cell r="F234" t="str">
            <v>Dyrektor Zadania Inwestycyjnego</v>
          </cell>
          <cell r="G234" t="str">
            <v>N</v>
          </cell>
          <cell r="H234">
            <v>7000</v>
          </cell>
        </row>
        <row r="235">
          <cell r="C235" t="str">
            <v>ŁUKASIAK</v>
          </cell>
          <cell r="D235" t="str">
            <v>ALEKSANDER</v>
          </cell>
          <cell r="E235">
            <v>1</v>
          </cell>
          <cell r="F235" t="str">
            <v>Analityk Systemowy I</v>
          </cell>
          <cell r="G235" t="str">
            <v>G</v>
          </cell>
          <cell r="H235">
            <v>2700</v>
          </cell>
        </row>
        <row r="236">
          <cell r="C236" t="str">
            <v xml:space="preserve">ŁUKASIEWICZ </v>
          </cell>
          <cell r="D236" t="str">
            <v xml:space="preserve">IWONA </v>
          </cell>
          <cell r="E236">
            <v>1</v>
          </cell>
          <cell r="F236" t="str">
            <v>Pracownik Księgowości II</v>
          </cell>
          <cell r="G236" t="str">
            <v>E</v>
          </cell>
          <cell r="H236">
            <v>2008</v>
          </cell>
        </row>
        <row r="237">
          <cell r="C237" t="str">
            <v>ŁUKASZUK</v>
          </cell>
          <cell r="D237" t="str">
            <v xml:space="preserve">IRENA </v>
          </cell>
          <cell r="E237">
            <v>1</v>
          </cell>
          <cell r="F237" t="str">
            <v>Inspektor I</v>
          </cell>
          <cell r="G237" t="str">
            <v>F</v>
          </cell>
          <cell r="H237">
            <v>2375</v>
          </cell>
        </row>
        <row r="238">
          <cell r="C238" t="str">
            <v>ŁUKASZUK-OKARO</v>
          </cell>
          <cell r="D238" t="str">
            <v>DANUTA</v>
          </cell>
          <cell r="E238">
            <v>1</v>
          </cell>
          <cell r="F238" t="str">
            <v>Referent III</v>
          </cell>
          <cell r="G238" t="str">
            <v>E</v>
          </cell>
          <cell r="H238">
            <v>1900</v>
          </cell>
        </row>
        <row r="239">
          <cell r="C239" t="str">
            <v>MACEWICZ</v>
          </cell>
          <cell r="D239" t="str">
            <v xml:space="preserve">ANDRZEJ </v>
          </cell>
          <cell r="E239">
            <v>1</v>
          </cell>
          <cell r="F239" t="str">
            <v>Inspektor Inwestycji</v>
          </cell>
          <cell r="G239" t="str">
            <v>I</v>
          </cell>
          <cell r="H239">
            <v>3256</v>
          </cell>
        </row>
        <row r="240">
          <cell r="C240" t="str">
            <v xml:space="preserve">MACIEJEWSKI </v>
          </cell>
          <cell r="D240" t="str">
            <v xml:space="preserve">ZYGMUNT </v>
          </cell>
          <cell r="E240">
            <v>1</v>
          </cell>
          <cell r="F240" t="str">
            <v>Koordynator ds. Strategii Rozwoju Elektroenergetyki</v>
          </cell>
          <cell r="G240" t="str">
            <v>N</v>
          </cell>
          <cell r="H240">
            <v>7250</v>
          </cell>
        </row>
        <row r="241">
          <cell r="C241" t="str">
            <v xml:space="preserve">MAJKOWSKA </v>
          </cell>
          <cell r="D241" t="str">
            <v xml:space="preserve">BARBARA </v>
          </cell>
          <cell r="E241">
            <v>0.1</v>
          </cell>
          <cell r="F241" t="str">
            <v>Księgowy I</v>
          </cell>
          <cell r="G241" t="str">
            <v>G</v>
          </cell>
          <cell r="H241">
            <v>190</v>
          </cell>
        </row>
        <row r="242">
          <cell r="C242" t="str">
            <v xml:space="preserve">MAJOS </v>
          </cell>
          <cell r="D242" t="str">
            <v>RENATA</v>
          </cell>
          <cell r="E242">
            <v>1</v>
          </cell>
          <cell r="F242" t="str">
            <v>Księgowy III</v>
          </cell>
          <cell r="G242" t="str">
            <v>K</v>
          </cell>
          <cell r="H242">
            <v>4775</v>
          </cell>
        </row>
        <row r="243">
          <cell r="C243" t="str">
            <v>MAKOWSKI</v>
          </cell>
          <cell r="D243" t="str">
            <v xml:space="preserve">JACEK </v>
          </cell>
          <cell r="E243">
            <v>1</v>
          </cell>
          <cell r="F243" t="str">
            <v>Pracownik Ochrony I</v>
          </cell>
          <cell r="G243" t="str">
            <v>C</v>
          </cell>
          <cell r="H243">
            <v>1370</v>
          </cell>
        </row>
        <row r="244">
          <cell r="C244" t="str">
            <v>MALINOWSKA</v>
          </cell>
          <cell r="D244" t="str">
            <v xml:space="preserve">ZOFIA </v>
          </cell>
          <cell r="E244">
            <v>1</v>
          </cell>
          <cell r="F244" t="str">
            <v>Redaktor II</v>
          </cell>
          <cell r="G244" t="str">
            <v>K</v>
          </cell>
          <cell r="H244">
            <v>3687</v>
          </cell>
        </row>
        <row r="245">
          <cell r="C245" t="str">
            <v>MALIŃSKA</v>
          </cell>
          <cell r="D245" t="str">
            <v xml:space="preserve">MAGDALENA </v>
          </cell>
          <cell r="E245">
            <v>1</v>
          </cell>
          <cell r="F245" t="str">
            <v>Inspektor II</v>
          </cell>
          <cell r="G245" t="str">
            <v>H</v>
          </cell>
          <cell r="H245">
            <v>2965</v>
          </cell>
        </row>
        <row r="246">
          <cell r="C246" t="str">
            <v>MAŃK</v>
          </cell>
          <cell r="D246" t="str">
            <v xml:space="preserve">ANDRZEJ </v>
          </cell>
          <cell r="E246">
            <v>1</v>
          </cell>
          <cell r="F246" t="str">
            <v>Inżynier Systemu II</v>
          </cell>
          <cell r="G246" t="str">
            <v>L</v>
          </cell>
          <cell r="H246">
            <v>4300</v>
          </cell>
        </row>
        <row r="247">
          <cell r="C247" t="str">
            <v xml:space="preserve">MARCHEL </v>
          </cell>
          <cell r="D247" t="str">
            <v>ZDZISŁAW</v>
          </cell>
          <cell r="E247">
            <v>1</v>
          </cell>
          <cell r="F247" t="str">
            <v>Ekonomista III</v>
          </cell>
          <cell r="G247" t="str">
            <v>M</v>
          </cell>
          <cell r="H247">
            <v>5630</v>
          </cell>
        </row>
        <row r="248">
          <cell r="C248" t="str">
            <v xml:space="preserve">MARCZAK </v>
          </cell>
          <cell r="D248" t="str">
            <v xml:space="preserve">MARIA </v>
          </cell>
          <cell r="E248">
            <v>1</v>
          </cell>
          <cell r="F248" t="str">
            <v>Pracownik Rachuby Płac III</v>
          </cell>
          <cell r="G248" t="str">
            <v>I</v>
          </cell>
          <cell r="H248">
            <v>3802</v>
          </cell>
        </row>
        <row r="249">
          <cell r="C249" t="str">
            <v xml:space="preserve">MATEŃKO </v>
          </cell>
          <cell r="D249" t="str">
            <v xml:space="preserve">MARIUSZ </v>
          </cell>
          <cell r="E249">
            <v>1</v>
          </cell>
          <cell r="F249" t="str">
            <v>Inspektor Inwestycji</v>
          </cell>
          <cell r="G249" t="str">
            <v>I</v>
          </cell>
          <cell r="H249">
            <v>3256</v>
          </cell>
        </row>
        <row r="250">
          <cell r="C250" t="str">
            <v xml:space="preserve">MATEUSIAK </v>
          </cell>
          <cell r="D250" t="str">
            <v xml:space="preserve">JAN </v>
          </cell>
          <cell r="E250">
            <v>1</v>
          </cell>
          <cell r="F250" t="str">
            <v>Pracownik Ochrony II</v>
          </cell>
          <cell r="G250" t="str">
            <v>E</v>
          </cell>
          <cell r="H250">
            <v>1748</v>
          </cell>
        </row>
        <row r="251">
          <cell r="C251" t="str">
            <v>KOZIEŁ</v>
          </cell>
          <cell r="D251" t="str">
            <v>MAŁGORZATA</v>
          </cell>
          <cell r="E251">
            <v>1</v>
          </cell>
          <cell r="F251" t="str">
            <v>Finansista I</v>
          </cell>
          <cell r="G251" t="str">
            <v>I</v>
          </cell>
          <cell r="H251">
            <v>3050</v>
          </cell>
        </row>
        <row r="252">
          <cell r="C252" t="str">
            <v xml:space="preserve">MIANOWSKA-BEDNARZ </v>
          </cell>
          <cell r="D252" t="str">
            <v>TERESA</v>
          </cell>
          <cell r="E252">
            <v>1</v>
          </cell>
          <cell r="F252" t="str">
            <v>Prac. Rozwoju Zawodowego II</v>
          </cell>
          <cell r="G252" t="str">
            <v>L</v>
          </cell>
          <cell r="H252">
            <v>4480</v>
          </cell>
        </row>
        <row r="253">
          <cell r="C253" t="str">
            <v>MICHALIK</v>
          </cell>
          <cell r="D253" t="str">
            <v xml:space="preserve">ANDRZEJ </v>
          </cell>
          <cell r="E253">
            <v>1</v>
          </cell>
          <cell r="F253" t="str">
            <v>Analityk Systemowy I</v>
          </cell>
          <cell r="G253" t="str">
            <v>G</v>
          </cell>
          <cell r="H253">
            <v>2681</v>
          </cell>
        </row>
        <row r="254">
          <cell r="C254" t="str">
            <v xml:space="preserve">MICHURSKI </v>
          </cell>
          <cell r="D254" t="str">
            <v>MARCIN</v>
          </cell>
          <cell r="E254">
            <v>1</v>
          </cell>
          <cell r="F254" t="str">
            <v>Technik Utrzym. Urządzeń II</v>
          </cell>
          <cell r="G254" t="str">
            <v>G</v>
          </cell>
          <cell r="H254">
            <v>2616</v>
          </cell>
        </row>
        <row r="255">
          <cell r="C255" t="str">
            <v>MIKSZA</v>
          </cell>
          <cell r="D255" t="str">
            <v>KRZYSZTOF</v>
          </cell>
          <cell r="E255">
            <v>1</v>
          </cell>
          <cell r="F255" t="str">
            <v>Teleinformatyk IV</v>
          </cell>
          <cell r="G255" t="str">
            <v>M</v>
          </cell>
          <cell r="H255">
            <v>5391</v>
          </cell>
        </row>
        <row r="256">
          <cell r="C256" t="str">
            <v>MIOTKE</v>
          </cell>
          <cell r="D256" t="str">
            <v>DANUTA</v>
          </cell>
          <cell r="E256">
            <v>1</v>
          </cell>
          <cell r="F256" t="str">
            <v>Teleinformatyk IV</v>
          </cell>
          <cell r="G256" t="str">
            <v>M</v>
          </cell>
          <cell r="H256">
            <v>4850</v>
          </cell>
        </row>
        <row r="257">
          <cell r="C257" t="str">
            <v>MOŚCICKI</v>
          </cell>
          <cell r="D257" t="str">
            <v>SŁAWOMIR</v>
          </cell>
          <cell r="E257">
            <v>1</v>
          </cell>
          <cell r="F257" t="str">
            <v>Kierownik Wydziału Rozliczeń</v>
          </cell>
          <cell r="G257" t="str">
            <v>M</v>
          </cell>
          <cell r="H257">
            <v>6100</v>
          </cell>
        </row>
        <row r="258">
          <cell r="C258" t="str">
            <v xml:space="preserve">MOZER </v>
          </cell>
          <cell r="D258" t="str">
            <v xml:space="preserve">ZYGMUNT </v>
          </cell>
          <cell r="E258">
            <v>1</v>
          </cell>
          <cell r="F258" t="str">
            <v>Koordynator ds. Strategii Firmy I</v>
          </cell>
          <cell r="G258" t="str">
            <v>M</v>
          </cell>
          <cell r="H258">
            <v>5350</v>
          </cell>
        </row>
        <row r="259">
          <cell r="C259" t="str">
            <v xml:space="preserve">MOŻEJKO </v>
          </cell>
          <cell r="D259" t="str">
            <v xml:space="preserve">ROMAN </v>
          </cell>
          <cell r="E259">
            <v>1</v>
          </cell>
          <cell r="F259" t="str">
            <v>Handlowiec II</v>
          </cell>
          <cell r="G259" t="str">
            <v>H</v>
          </cell>
          <cell r="H259">
            <v>3575</v>
          </cell>
        </row>
        <row r="260">
          <cell r="C260" t="str">
            <v xml:space="preserve">MUCHA </v>
          </cell>
          <cell r="D260" t="str">
            <v xml:space="preserve">KRZYSZTOF </v>
          </cell>
          <cell r="E260">
            <v>1</v>
          </cell>
          <cell r="F260" t="str">
            <v xml:space="preserve">Administrator Systemu I </v>
          </cell>
          <cell r="G260" t="str">
            <v>J</v>
          </cell>
          <cell r="H260">
            <v>3200</v>
          </cell>
        </row>
        <row r="261">
          <cell r="C261" t="str">
            <v>MUŚKO-WIŚNIEWSKA</v>
          </cell>
          <cell r="D261" t="str">
            <v xml:space="preserve">MARIA </v>
          </cell>
          <cell r="E261">
            <v>1</v>
          </cell>
          <cell r="F261" t="str">
            <v>Inspektor II</v>
          </cell>
          <cell r="G261" t="str">
            <v>H</v>
          </cell>
          <cell r="H261">
            <v>2600</v>
          </cell>
        </row>
        <row r="262">
          <cell r="C262" t="str">
            <v xml:space="preserve">MYĆ </v>
          </cell>
          <cell r="D262" t="str">
            <v>MIROSŁAW</v>
          </cell>
          <cell r="E262">
            <v>1</v>
          </cell>
          <cell r="F262" t="str">
            <v>Analityk Marketingowy I</v>
          </cell>
          <cell r="G262" t="str">
            <v>I</v>
          </cell>
          <cell r="H262">
            <v>3605</v>
          </cell>
        </row>
        <row r="263">
          <cell r="C263" t="str">
            <v xml:space="preserve">Naglewski </v>
          </cell>
          <cell r="D263" t="str">
            <v>PAWEŁ</v>
          </cell>
          <cell r="E263">
            <v>1</v>
          </cell>
          <cell r="F263" t="str">
            <v xml:space="preserve">ASYSTENT ZARZĄDU I </v>
          </cell>
          <cell r="G263" t="str">
            <v>G</v>
          </cell>
          <cell r="H263">
            <v>2321</v>
          </cell>
        </row>
        <row r="264">
          <cell r="C264" t="str">
            <v xml:space="preserve">NOWAKOWSKA-LITWAK </v>
          </cell>
          <cell r="D264" t="str">
            <v>ELŻBIETA</v>
          </cell>
          <cell r="E264">
            <v>1</v>
          </cell>
          <cell r="F264" t="str">
            <v>Prawnik II</v>
          </cell>
          <cell r="G264" t="str">
            <v>M</v>
          </cell>
          <cell r="H264">
            <v>4638</v>
          </cell>
        </row>
        <row r="265">
          <cell r="C265" t="str">
            <v>NOWAKOWSKI</v>
          </cell>
          <cell r="D265" t="str">
            <v>TOMASZ</v>
          </cell>
          <cell r="E265">
            <v>1</v>
          </cell>
          <cell r="F265" t="str">
            <v>Handlowiec I</v>
          </cell>
          <cell r="G265" t="str">
            <v>E</v>
          </cell>
          <cell r="H265">
            <v>2300</v>
          </cell>
        </row>
        <row r="266">
          <cell r="C266" t="str">
            <v xml:space="preserve">NOWOCIN </v>
          </cell>
          <cell r="D266" t="str">
            <v xml:space="preserve">DARIUSZ </v>
          </cell>
          <cell r="E266">
            <v>1</v>
          </cell>
          <cell r="F266" t="str">
            <v>Inżynier Utrzymania Urządzeń I</v>
          </cell>
          <cell r="G266" t="str">
            <v>K</v>
          </cell>
          <cell r="H266">
            <v>3850</v>
          </cell>
        </row>
        <row r="267">
          <cell r="C267" t="str">
            <v xml:space="preserve">OBŁUSKA </v>
          </cell>
          <cell r="D267" t="str">
            <v xml:space="preserve">KLAUDIA </v>
          </cell>
          <cell r="E267">
            <v>1</v>
          </cell>
          <cell r="F267" t="str">
            <v>Sekretarka II</v>
          </cell>
          <cell r="G267" t="str">
            <v>F</v>
          </cell>
          <cell r="H267">
            <v>2762</v>
          </cell>
        </row>
        <row r="268">
          <cell r="C268" t="str">
            <v>OCHMAN</v>
          </cell>
          <cell r="D268" t="str">
            <v>MARIUSZ</v>
          </cell>
          <cell r="E268">
            <v>1</v>
          </cell>
          <cell r="F268" t="str">
            <v xml:space="preserve">Administrator Systemu I </v>
          </cell>
          <cell r="G268" t="str">
            <v>J</v>
          </cell>
          <cell r="H268">
            <v>3350</v>
          </cell>
        </row>
        <row r="269">
          <cell r="C269" t="str">
            <v>OCHNIO</v>
          </cell>
          <cell r="D269" t="str">
            <v>WIOLETTA</v>
          </cell>
          <cell r="E269">
            <v>1</v>
          </cell>
          <cell r="F269" t="str">
            <v>Ekonomista I</v>
          </cell>
          <cell r="G269" t="str">
            <v>J</v>
          </cell>
          <cell r="H269">
            <v>3000</v>
          </cell>
        </row>
        <row r="270">
          <cell r="C270" t="str">
            <v xml:space="preserve">OLECHNOWICZ </v>
          </cell>
          <cell r="D270" t="str">
            <v>HALINA</v>
          </cell>
          <cell r="E270">
            <v>1</v>
          </cell>
          <cell r="F270" t="str">
            <v>Kontroler Wydziałowy</v>
          </cell>
          <cell r="G270" t="str">
            <v>K</v>
          </cell>
          <cell r="H270">
            <v>3700</v>
          </cell>
        </row>
        <row r="271">
          <cell r="C271" t="str">
            <v>OLEKSY</v>
          </cell>
          <cell r="D271" t="str">
            <v>ADAM</v>
          </cell>
          <cell r="E271">
            <v>1</v>
          </cell>
          <cell r="F271" t="str">
            <v>Kierownik Wydziału Analiz Technicznych</v>
          </cell>
          <cell r="G271" t="str">
            <v>N</v>
          </cell>
          <cell r="H271">
            <v>6000</v>
          </cell>
        </row>
        <row r="272">
          <cell r="C272" t="str">
            <v xml:space="preserve">SOBCZAK </v>
          </cell>
          <cell r="D272" t="str">
            <v xml:space="preserve">KATARZYNA </v>
          </cell>
          <cell r="E272">
            <v>1</v>
          </cell>
          <cell r="F272" t="str">
            <v>Księgowy II</v>
          </cell>
          <cell r="G272" t="str">
            <v>I</v>
          </cell>
          <cell r="H272">
            <v>3266</v>
          </cell>
        </row>
        <row r="273">
          <cell r="C273" t="str">
            <v xml:space="preserve">OŁDZIEJ </v>
          </cell>
          <cell r="D273" t="str">
            <v xml:space="preserve">HENRYKA </v>
          </cell>
          <cell r="E273">
            <v>1</v>
          </cell>
          <cell r="F273" t="str">
            <v>Inżynier Utrzymania Urządzeń II</v>
          </cell>
          <cell r="G273" t="str">
            <v>L</v>
          </cell>
          <cell r="H273">
            <v>4020</v>
          </cell>
        </row>
        <row r="274">
          <cell r="C274" t="str">
            <v>ORŁOWSKA</v>
          </cell>
          <cell r="D274" t="str">
            <v>TERESA</v>
          </cell>
          <cell r="E274">
            <v>1</v>
          </cell>
          <cell r="F274" t="str">
            <v>Inżynier Utrzymania Urządzeń III</v>
          </cell>
          <cell r="G274" t="str">
            <v>M</v>
          </cell>
          <cell r="H274">
            <v>6993</v>
          </cell>
        </row>
        <row r="275">
          <cell r="C275" t="str">
            <v xml:space="preserve">ORZECHOWSKI </v>
          </cell>
          <cell r="D275" t="str">
            <v>ADRIAN</v>
          </cell>
          <cell r="E275">
            <v>0.75</v>
          </cell>
          <cell r="F275" t="str">
            <v>Analityk Systemowy II</v>
          </cell>
          <cell r="G275" t="str">
            <v>I</v>
          </cell>
          <cell r="H275">
            <v>2558</v>
          </cell>
        </row>
        <row r="276">
          <cell r="C276" t="str">
            <v xml:space="preserve">OSIAK </v>
          </cell>
          <cell r="D276" t="str">
            <v xml:space="preserve">ANDRZEJ </v>
          </cell>
          <cell r="E276">
            <v>1</v>
          </cell>
          <cell r="F276" t="str">
            <v>Pracownik Ochrony I</v>
          </cell>
          <cell r="G276" t="str">
            <v>C</v>
          </cell>
          <cell r="H276">
            <v>1352</v>
          </cell>
        </row>
        <row r="277">
          <cell r="C277" t="str">
            <v xml:space="preserve">OSIECKA </v>
          </cell>
          <cell r="D277" t="str">
            <v>ANNA</v>
          </cell>
          <cell r="E277">
            <v>1</v>
          </cell>
          <cell r="F277" t="str">
            <v>Inspektor II</v>
          </cell>
          <cell r="G277" t="str">
            <v>H</v>
          </cell>
          <cell r="H277">
            <v>2110</v>
          </cell>
        </row>
        <row r="278">
          <cell r="C278" t="str">
            <v>OSIK MAŁ</v>
          </cell>
          <cell r="D278" t="str">
            <v>MAŁGORZATA</v>
          </cell>
          <cell r="E278">
            <v>1</v>
          </cell>
          <cell r="F278" t="str">
            <v>Ekonomista II</v>
          </cell>
          <cell r="G278" t="str">
            <v>L</v>
          </cell>
          <cell r="H278">
            <v>4100</v>
          </cell>
        </row>
        <row r="279">
          <cell r="C279" t="str">
            <v>OSIK JAN</v>
          </cell>
          <cell r="D279" t="str">
            <v xml:space="preserve">JAN </v>
          </cell>
          <cell r="E279">
            <v>1</v>
          </cell>
          <cell r="F279" t="str">
            <v>Kierownik Wydziału EAZ i Telekomunikacji</v>
          </cell>
          <cell r="G279" t="str">
            <v>N</v>
          </cell>
          <cell r="H279">
            <v>6401</v>
          </cell>
        </row>
        <row r="280">
          <cell r="C280" t="str">
            <v xml:space="preserve">OSTROWSKI </v>
          </cell>
          <cell r="D280" t="str">
            <v>TOMASZ</v>
          </cell>
          <cell r="E280">
            <v>1</v>
          </cell>
          <cell r="F280" t="str">
            <v>Inżynier Systemu II</v>
          </cell>
          <cell r="G280" t="str">
            <v>L</v>
          </cell>
          <cell r="H280">
            <v>4000</v>
          </cell>
        </row>
        <row r="281">
          <cell r="C281" t="str">
            <v xml:space="preserve">PACEK </v>
          </cell>
          <cell r="D281" t="str">
            <v>ZBIGNIEW</v>
          </cell>
          <cell r="E281">
            <v>1</v>
          </cell>
          <cell r="F281" t="str">
            <v>Analityk Systemowy III</v>
          </cell>
          <cell r="G281" t="str">
            <v>K</v>
          </cell>
          <cell r="H281">
            <v>3500</v>
          </cell>
        </row>
        <row r="282">
          <cell r="C282" t="str">
            <v>PAJEWSKA</v>
          </cell>
          <cell r="D282" t="str">
            <v xml:space="preserve">URSZULA </v>
          </cell>
          <cell r="E282">
            <v>1</v>
          </cell>
          <cell r="F282" t="str">
            <v>Ekonomista II</v>
          </cell>
          <cell r="G282" t="str">
            <v>L</v>
          </cell>
          <cell r="H282">
            <v>3900</v>
          </cell>
        </row>
        <row r="283">
          <cell r="C283" t="str">
            <v xml:space="preserve">PARTYKA </v>
          </cell>
          <cell r="D283" t="str">
            <v>KRYSTYNA</v>
          </cell>
          <cell r="E283">
            <v>1</v>
          </cell>
          <cell r="F283" t="str">
            <v>Inżynier Utrzymania Urządzeń III</v>
          </cell>
          <cell r="G283" t="str">
            <v>M</v>
          </cell>
          <cell r="H283">
            <v>6250</v>
          </cell>
        </row>
        <row r="284">
          <cell r="C284" t="str">
            <v>PASZYC</v>
          </cell>
          <cell r="D284" t="str">
            <v xml:space="preserve">EWA </v>
          </cell>
          <cell r="E284">
            <v>1</v>
          </cell>
          <cell r="F284" t="str">
            <v>Asystent Zarządu II</v>
          </cell>
          <cell r="G284" t="str">
            <v>I</v>
          </cell>
          <cell r="H284">
            <v>2781</v>
          </cell>
        </row>
        <row r="285">
          <cell r="C285" t="str">
            <v>PAWELSKI</v>
          </cell>
          <cell r="D285" t="str">
            <v>WOJCIECH</v>
          </cell>
          <cell r="E285">
            <v>1</v>
          </cell>
          <cell r="F285" t="str">
            <v>Inspektor Utrzymania Urządzeń II</v>
          </cell>
          <cell r="G285" t="str">
            <v>J</v>
          </cell>
          <cell r="H285">
            <v>3600</v>
          </cell>
        </row>
        <row r="286">
          <cell r="C286" t="str">
            <v xml:space="preserve">PAWŁOWSKA </v>
          </cell>
          <cell r="D286" t="str">
            <v>JOANNA</v>
          </cell>
          <cell r="E286">
            <v>1</v>
          </cell>
          <cell r="F286" t="str">
            <v>Sekretarka II</v>
          </cell>
          <cell r="G286" t="str">
            <v>F</v>
          </cell>
          <cell r="H286">
            <v>2326</v>
          </cell>
        </row>
        <row r="287">
          <cell r="C287" t="str">
            <v>PAZURA</v>
          </cell>
          <cell r="D287" t="str">
            <v>EDYTA</v>
          </cell>
          <cell r="E287">
            <v>1</v>
          </cell>
          <cell r="F287" t="str">
            <v>Księgowy II</v>
          </cell>
          <cell r="G287" t="str">
            <v>I</v>
          </cell>
          <cell r="H287">
            <v>3037</v>
          </cell>
        </row>
        <row r="288">
          <cell r="C288" t="str">
            <v xml:space="preserve">PENDZEL </v>
          </cell>
          <cell r="D288" t="str">
            <v xml:space="preserve">ANDRZEJ </v>
          </cell>
          <cell r="E288">
            <v>0.5</v>
          </cell>
          <cell r="F288" t="str">
            <v>Koordynator ds. Spraw Obronnych</v>
          </cell>
          <cell r="G288" t="str">
            <v>J</v>
          </cell>
          <cell r="H288">
            <v>1913</v>
          </cell>
        </row>
        <row r="289">
          <cell r="C289" t="str">
            <v xml:space="preserve">PEPEL </v>
          </cell>
          <cell r="D289" t="str">
            <v xml:space="preserve">KATARZYNA </v>
          </cell>
          <cell r="E289">
            <v>1</v>
          </cell>
          <cell r="F289" t="str">
            <v>Prac. Rozliczeń Handlowych I</v>
          </cell>
          <cell r="G289" t="str">
            <v>E</v>
          </cell>
          <cell r="H289">
            <v>2390</v>
          </cell>
        </row>
        <row r="290">
          <cell r="C290" t="str">
            <v>PERKA M</v>
          </cell>
          <cell r="D290" t="str">
            <v>MARIUSZ</v>
          </cell>
          <cell r="E290">
            <v>1</v>
          </cell>
          <cell r="F290" t="str">
            <v>Technik Utrzymania Urządzeń I</v>
          </cell>
          <cell r="G290" t="str">
            <v>E</v>
          </cell>
          <cell r="H290">
            <v>1900</v>
          </cell>
        </row>
        <row r="291">
          <cell r="C291" t="str">
            <v xml:space="preserve">PERKA R </v>
          </cell>
          <cell r="D291" t="str">
            <v xml:space="preserve">ROMAN </v>
          </cell>
          <cell r="E291">
            <v>1</v>
          </cell>
          <cell r="F291" t="str">
            <v>Pracownik Ochrony I</v>
          </cell>
          <cell r="G291" t="str">
            <v>C</v>
          </cell>
          <cell r="H291">
            <v>1705</v>
          </cell>
        </row>
        <row r="292">
          <cell r="C292" t="str">
            <v>PIASECKI</v>
          </cell>
          <cell r="D292" t="str">
            <v>SZCZEPAN</v>
          </cell>
          <cell r="E292">
            <v>1</v>
          </cell>
          <cell r="F292" t="str">
            <v>Pracownik Ochrony II</v>
          </cell>
          <cell r="G292" t="str">
            <v>E</v>
          </cell>
          <cell r="H292">
            <v>1748</v>
          </cell>
        </row>
        <row r="293">
          <cell r="C293" t="str">
            <v>PIĄTKOWSKA</v>
          </cell>
          <cell r="D293" t="str">
            <v>EWELINA</v>
          </cell>
          <cell r="E293">
            <v>1</v>
          </cell>
          <cell r="F293" t="str">
            <v>Referent III</v>
          </cell>
          <cell r="G293" t="str">
            <v>E</v>
          </cell>
          <cell r="H293">
            <v>2000</v>
          </cell>
        </row>
        <row r="294">
          <cell r="C294" t="str">
            <v>PIEC</v>
          </cell>
          <cell r="D294" t="str">
            <v>ELŻBIETA</v>
          </cell>
          <cell r="E294">
            <v>1</v>
          </cell>
          <cell r="F294" t="str">
            <v>Sekretarka II</v>
          </cell>
          <cell r="G294" t="str">
            <v>F</v>
          </cell>
          <cell r="H294">
            <v>2165</v>
          </cell>
        </row>
        <row r="295">
          <cell r="C295" t="str">
            <v>PIECHOWICZ</v>
          </cell>
          <cell r="D295" t="str">
            <v>DOROTA</v>
          </cell>
          <cell r="E295">
            <v>1</v>
          </cell>
          <cell r="F295" t="str">
            <v>Ekonomista I</v>
          </cell>
          <cell r="G295" t="str">
            <v>J</v>
          </cell>
          <cell r="H295">
            <v>3100</v>
          </cell>
        </row>
        <row r="296">
          <cell r="C296" t="str">
            <v>PIEŃKOWSKA</v>
          </cell>
          <cell r="D296" t="str">
            <v xml:space="preserve">MARZENA </v>
          </cell>
          <cell r="E296">
            <v>1</v>
          </cell>
          <cell r="F296" t="str">
            <v>Kier. Działu Gospodarki Pieniężnej</v>
          </cell>
          <cell r="G296" t="str">
            <v>N</v>
          </cell>
          <cell r="H296">
            <v>6560</v>
          </cell>
        </row>
        <row r="297">
          <cell r="C297" t="str">
            <v xml:space="preserve">PIERZAK </v>
          </cell>
          <cell r="D297" t="str">
            <v xml:space="preserve">AGNIESZKA </v>
          </cell>
          <cell r="E297">
            <v>1</v>
          </cell>
          <cell r="F297" t="str">
            <v>Handlowiec II</v>
          </cell>
          <cell r="G297" t="str">
            <v>H</v>
          </cell>
          <cell r="H297">
            <v>2975</v>
          </cell>
        </row>
        <row r="298">
          <cell r="C298" t="str">
            <v>PIĘTKA</v>
          </cell>
          <cell r="D298" t="str">
            <v xml:space="preserve">KAZIMIERZ </v>
          </cell>
          <cell r="E298">
            <v>1</v>
          </cell>
          <cell r="F298" t="str">
            <v>Teleinformatyk IV</v>
          </cell>
          <cell r="G298" t="str">
            <v>M</v>
          </cell>
          <cell r="H298">
            <v>4900</v>
          </cell>
        </row>
        <row r="299">
          <cell r="C299" t="str">
            <v>PILLAR</v>
          </cell>
          <cell r="D299" t="str">
            <v xml:space="preserve">JERZY </v>
          </cell>
          <cell r="E299">
            <v>1</v>
          </cell>
          <cell r="F299" t="str">
            <v>Inżynier EAZ IV</v>
          </cell>
          <cell r="G299" t="str">
            <v>M</v>
          </cell>
          <cell r="H299">
            <v>5029</v>
          </cell>
        </row>
        <row r="300">
          <cell r="C300" t="str">
            <v>PIOTROWSKA</v>
          </cell>
          <cell r="D300" t="str">
            <v xml:space="preserve">JUSTYNA </v>
          </cell>
          <cell r="E300">
            <v>1</v>
          </cell>
          <cell r="F300" t="str">
            <v>Kierownik Wydz. Przesyłu</v>
          </cell>
          <cell r="G300" t="str">
            <v>N</v>
          </cell>
          <cell r="H300">
            <v>7100</v>
          </cell>
        </row>
        <row r="301">
          <cell r="C301" t="str">
            <v xml:space="preserve">PIRÓG </v>
          </cell>
          <cell r="D301" t="str">
            <v xml:space="preserve">KRZYSZTOF </v>
          </cell>
          <cell r="E301">
            <v>1</v>
          </cell>
          <cell r="F301" t="str">
            <v>Inspektor I</v>
          </cell>
          <cell r="G301" t="str">
            <v>F</v>
          </cell>
          <cell r="H301">
            <v>2455</v>
          </cell>
        </row>
        <row r="302">
          <cell r="C302" t="str">
            <v xml:space="preserve">PISZCZELSKI </v>
          </cell>
          <cell r="D302" t="str">
            <v>TOMASZ</v>
          </cell>
          <cell r="E302">
            <v>1</v>
          </cell>
          <cell r="F302" t="str">
            <v>Teleinformatyk II</v>
          </cell>
          <cell r="G302" t="str">
            <v>K</v>
          </cell>
          <cell r="H302">
            <v>3456</v>
          </cell>
        </row>
        <row r="303">
          <cell r="C303" t="str">
            <v xml:space="preserve">PODGÓRSKI </v>
          </cell>
          <cell r="D303" t="str">
            <v>ZBIGNIEW</v>
          </cell>
          <cell r="E303">
            <v>1</v>
          </cell>
          <cell r="F303" t="str">
            <v>Handlowiec IV</v>
          </cell>
          <cell r="G303" t="str">
            <v>L</v>
          </cell>
          <cell r="H303">
            <v>4800</v>
          </cell>
        </row>
        <row r="304">
          <cell r="C304" t="str">
            <v>PODHAJECKI</v>
          </cell>
          <cell r="D304" t="str">
            <v>HENRYK</v>
          </cell>
          <cell r="E304">
            <v>1</v>
          </cell>
          <cell r="F304" t="str">
            <v>Dyrektor Zadania Inwestycyjnego</v>
          </cell>
          <cell r="G304" t="str">
            <v>N</v>
          </cell>
          <cell r="H304">
            <v>7250</v>
          </cell>
        </row>
        <row r="305">
          <cell r="C305" t="str">
            <v>POKORA</v>
          </cell>
          <cell r="D305" t="str">
            <v xml:space="preserve">STANISŁAW </v>
          </cell>
          <cell r="E305">
            <v>1</v>
          </cell>
          <cell r="F305" t="str">
            <v>Inżynier EAZ III</v>
          </cell>
          <cell r="G305" t="str">
            <v>L</v>
          </cell>
          <cell r="H305">
            <v>4606</v>
          </cell>
        </row>
        <row r="306">
          <cell r="C306" t="str">
            <v xml:space="preserve">POLOWCZYK </v>
          </cell>
          <cell r="D306" t="str">
            <v>JOANNA</v>
          </cell>
          <cell r="E306">
            <v>1</v>
          </cell>
          <cell r="F306" t="str">
            <v>Inspektor I</v>
          </cell>
          <cell r="G306" t="str">
            <v>F</v>
          </cell>
          <cell r="H306">
            <v>2461</v>
          </cell>
        </row>
        <row r="307">
          <cell r="C307" t="str">
            <v xml:space="preserve">PORCZYK </v>
          </cell>
          <cell r="D307" t="str">
            <v>MARIA-ROMANA</v>
          </cell>
          <cell r="E307">
            <v>1</v>
          </cell>
          <cell r="F307" t="str">
            <v>Inspektor I</v>
          </cell>
          <cell r="G307" t="str">
            <v>F</v>
          </cell>
          <cell r="H307">
            <v>2204</v>
          </cell>
        </row>
        <row r="308">
          <cell r="C308" t="str">
            <v>PROKOCKA</v>
          </cell>
          <cell r="D308" t="str">
            <v xml:space="preserve">MAGDALENA </v>
          </cell>
          <cell r="E308">
            <v>1</v>
          </cell>
          <cell r="F308" t="str">
            <v>Finansista I</v>
          </cell>
          <cell r="G308" t="str">
            <v>I</v>
          </cell>
          <cell r="H308">
            <v>2750</v>
          </cell>
        </row>
        <row r="309">
          <cell r="C309" t="str">
            <v>PRUCHNIEWSKI</v>
          </cell>
          <cell r="D309" t="str">
            <v xml:space="preserve">ROMAN </v>
          </cell>
          <cell r="E309">
            <v>1</v>
          </cell>
          <cell r="F309" t="str">
            <v>Dyrektor Zadania Inwestycyjnego</v>
          </cell>
          <cell r="G309" t="str">
            <v>N</v>
          </cell>
          <cell r="H309">
            <v>9500</v>
          </cell>
        </row>
        <row r="310">
          <cell r="C310" t="str">
            <v>PRUSZYŃSKI</v>
          </cell>
          <cell r="D310" t="str">
            <v>TOMASZ</v>
          </cell>
          <cell r="E310">
            <v>1</v>
          </cell>
          <cell r="F310" t="str">
            <v>Inżynier Systemu II</v>
          </cell>
          <cell r="G310" t="str">
            <v>L</v>
          </cell>
          <cell r="H310">
            <v>4300</v>
          </cell>
        </row>
        <row r="311">
          <cell r="C311" t="str">
            <v>PRZESMYCKI</v>
          </cell>
          <cell r="D311" t="str">
            <v xml:space="preserve">KRZYSZTOF </v>
          </cell>
          <cell r="E311">
            <v>1</v>
          </cell>
          <cell r="F311" t="str">
            <v>Inżynier EAZ IV</v>
          </cell>
          <cell r="G311" t="str">
            <v>M</v>
          </cell>
          <cell r="H311">
            <v>5018</v>
          </cell>
        </row>
        <row r="312">
          <cell r="C312" t="str">
            <v>PRZYBYLSKI</v>
          </cell>
          <cell r="D312" t="str">
            <v>ERYK</v>
          </cell>
          <cell r="E312">
            <v>1</v>
          </cell>
          <cell r="F312" t="str">
            <v>Inżynier EAZ III</v>
          </cell>
          <cell r="G312" t="str">
            <v>L</v>
          </cell>
          <cell r="H312">
            <v>4195</v>
          </cell>
        </row>
        <row r="313">
          <cell r="C313" t="str">
            <v>PRZYBYSZ</v>
          </cell>
          <cell r="D313" t="str">
            <v xml:space="preserve">KRZYSZTOF </v>
          </cell>
          <cell r="E313">
            <v>1</v>
          </cell>
          <cell r="F313" t="str">
            <v>Pracownik Ochrony I</v>
          </cell>
          <cell r="G313" t="str">
            <v>C</v>
          </cell>
          <cell r="H313">
            <v>1304</v>
          </cell>
        </row>
        <row r="314">
          <cell r="C314" t="str">
            <v>PRZYTUŁA</v>
          </cell>
          <cell r="D314" t="str">
            <v>RENATA</v>
          </cell>
          <cell r="E314">
            <v>1</v>
          </cell>
          <cell r="F314" t="str">
            <v>Handlowiec II</v>
          </cell>
          <cell r="G314" t="str">
            <v>H</v>
          </cell>
          <cell r="H314">
            <v>2975</v>
          </cell>
        </row>
        <row r="315">
          <cell r="C315" t="str">
            <v xml:space="preserve">PYZEL </v>
          </cell>
          <cell r="D315" t="str">
            <v>PRZEMYSŁAW</v>
          </cell>
          <cell r="E315">
            <v>1</v>
          </cell>
          <cell r="F315" t="str">
            <v>Księgowy I</v>
          </cell>
          <cell r="G315" t="str">
            <v>G</v>
          </cell>
          <cell r="H315">
            <v>3140</v>
          </cell>
        </row>
        <row r="316">
          <cell r="C316" t="str">
            <v xml:space="preserve">RACZYŃSKA </v>
          </cell>
          <cell r="D316" t="str">
            <v xml:space="preserve">URSZULA </v>
          </cell>
          <cell r="E316">
            <v>1</v>
          </cell>
          <cell r="F316" t="str">
            <v>Inspektor Utrzymania Urządzeń I</v>
          </cell>
          <cell r="G316" t="str">
            <v>I</v>
          </cell>
          <cell r="H316">
            <v>3000</v>
          </cell>
        </row>
        <row r="317">
          <cell r="C317" t="str">
            <v xml:space="preserve">RADECKA </v>
          </cell>
          <cell r="D317" t="str">
            <v xml:space="preserve">JADWIGA </v>
          </cell>
          <cell r="E317">
            <v>1</v>
          </cell>
          <cell r="F317" t="str">
            <v>Analityk Systemowy III</v>
          </cell>
          <cell r="G317" t="str">
            <v>K</v>
          </cell>
          <cell r="H317">
            <v>4475</v>
          </cell>
        </row>
        <row r="318">
          <cell r="C318" t="str">
            <v>RAMOTOWSKA</v>
          </cell>
          <cell r="D318" t="str">
            <v xml:space="preserve">MARIA </v>
          </cell>
          <cell r="E318">
            <v>1</v>
          </cell>
          <cell r="F318" t="str">
            <v>Prac. Rozwoju Zawodowego II</v>
          </cell>
          <cell r="G318" t="str">
            <v>L</v>
          </cell>
          <cell r="H318">
            <v>4350</v>
          </cell>
        </row>
        <row r="319">
          <cell r="C319" t="str">
            <v xml:space="preserve">RAMUS </v>
          </cell>
          <cell r="D319" t="str">
            <v xml:space="preserve">EWA </v>
          </cell>
          <cell r="E319">
            <v>1</v>
          </cell>
          <cell r="F319" t="str">
            <v>Koordynator ds. Inwestycji II</v>
          </cell>
          <cell r="G319" t="str">
            <v>L</v>
          </cell>
          <cell r="H319">
            <v>4000</v>
          </cell>
        </row>
        <row r="320">
          <cell r="C320" t="str">
            <v xml:space="preserve">RAMUSIEWICZ </v>
          </cell>
          <cell r="D320" t="str">
            <v xml:space="preserve">JACEK </v>
          </cell>
          <cell r="E320">
            <v>1</v>
          </cell>
          <cell r="F320" t="str">
            <v>Analityk Systemowy III</v>
          </cell>
          <cell r="G320" t="str">
            <v>K</v>
          </cell>
          <cell r="H320">
            <v>4350</v>
          </cell>
        </row>
        <row r="321">
          <cell r="C321" t="str">
            <v>RASIŃSKI</v>
          </cell>
          <cell r="D321" t="str">
            <v>KONRAD</v>
          </cell>
          <cell r="E321">
            <v>1</v>
          </cell>
          <cell r="F321" t="str">
            <v>Księgowy I</v>
          </cell>
          <cell r="G321" t="str">
            <v>G</v>
          </cell>
          <cell r="H321">
            <v>2400</v>
          </cell>
        </row>
        <row r="322">
          <cell r="C322" t="str">
            <v>RATZ J</v>
          </cell>
          <cell r="D322" t="str">
            <v xml:space="preserve">JACEK </v>
          </cell>
          <cell r="E322">
            <v>1</v>
          </cell>
          <cell r="F322" t="str">
            <v>Inżynier Systemu III</v>
          </cell>
          <cell r="G322" t="str">
            <v>M</v>
          </cell>
          <cell r="H322">
            <v>6744</v>
          </cell>
        </row>
        <row r="323">
          <cell r="C323" t="str">
            <v>RATZ W</v>
          </cell>
          <cell r="D323" t="str">
            <v xml:space="preserve">WŁADYSŁAW </v>
          </cell>
          <cell r="E323">
            <v>1</v>
          </cell>
          <cell r="F323" t="str">
            <v>Dyspozytor Systemu KDM-DIR</v>
          </cell>
          <cell r="G323" t="str">
            <v>M</v>
          </cell>
          <cell r="H323">
            <v>4648</v>
          </cell>
        </row>
        <row r="324">
          <cell r="C324" t="str">
            <v xml:space="preserve">REDKOWIAK </v>
          </cell>
          <cell r="D324" t="str">
            <v>HUBERT</v>
          </cell>
          <cell r="E324">
            <v>1</v>
          </cell>
          <cell r="F324" t="str">
            <v>Stażysta</v>
          </cell>
          <cell r="G324" t="str">
            <v>G</v>
          </cell>
          <cell r="H324">
            <v>2160</v>
          </cell>
        </row>
        <row r="325">
          <cell r="C325" t="str">
            <v xml:space="preserve">REMISZEWSKA </v>
          </cell>
          <cell r="D325" t="str">
            <v xml:space="preserve">BARBARA </v>
          </cell>
          <cell r="E325">
            <v>1</v>
          </cell>
          <cell r="F325" t="str">
            <v>Kontroler Systemu</v>
          </cell>
          <cell r="G325" t="str">
            <v>N</v>
          </cell>
          <cell r="H325">
            <v>6400</v>
          </cell>
        </row>
        <row r="326">
          <cell r="C326" t="str">
            <v>RENCŁAWOWICZ</v>
          </cell>
          <cell r="D326" t="str">
            <v xml:space="preserve">KRZYSZTOF </v>
          </cell>
          <cell r="E326">
            <v>1</v>
          </cell>
          <cell r="F326" t="str">
            <v>Koordynator ds. Inwestycji I</v>
          </cell>
          <cell r="G326" t="str">
            <v>K</v>
          </cell>
          <cell r="H326">
            <v>3400</v>
          </cell>
        </row>
        <row r="327">
          <cell r="C327" t="str">
            <v xml:space="preserve">RĘKAWEK </v>
          </cell>
          <cell r="D327" t="str">
            <v>EDWARD</v>
          </cell>
          <cell r="E327">
            <v>1</v>
          </cell>
          <cell r="F327" t="str">
            <v>Analityk Systemowy III</v>
          </cell>
          <cell r="G327" t="str">
            <v>K</v>
          </cell>
          <cell r="H327">
            <v>4000</v>
          </cell>
        </row>
        <row r="328">
          <cell r="C328" t="str">
            <v xml:space="preserve">ROBAK </v>
          </cell>
          <cell r="D328" t="str">
            <v>ADAM</v>
          </cell>
          <cell r="E328">
            <v>1</v>
          </cell>
          <cell r="F328" t="str">
            <v>Dyspozytor Systemu KDM-DIR</v>
          </cell>
          <cell r="G328" t="str">
            <v>M</v>
          </cell>
          <cell r="H328">
            <v>4500</v>
          </cell>
        </row>
        <row r="329">
          <cell r="C329" t="str">
            <v>RODO</v>
          </cell>
          <cell r="D329" t="str">
            <v xml:space="preserve">PAWEŁ </v>
          </cell>
          <cell r="E329">
            <v>1</v>
          </cell>
          <cell r="F329" t="str">
            <v>Inżynier Systemu III</v>
          </cell>
          <cell r="G329" t="str">
            <v>M</v>
          </cell>
          <cell r="H329">
            <v>5000</v>
          </cell>
        </row>
        <row r="330">
          <cell r="C330" t="str">
            <v>ROSA</v>
          </cell>
          <cell r="D330" t="str">
            <v>GRZEGORZ</v>
          </cell>
          <cell r="E330">
            <v>1</v>
          </cell>
          <cell r="F330" t="str">
            <v>Pracownik Ochrony II</v>
          </cell>
          <cell r="G330" t="str">
            <v>E</v>
          </cell>
          <cell r="H330">
            <v>1750</v>
          </cell>
        </row>
        <row r="331">
          <cell r="C331" t="str">
            <v xml:space="preserve">ROZENEK </v>
          </cell>
          <cell r="D331" t="str">
            <v>MAŁGORZATA</v>
          </cell>
          <cell r="E331">
            <v>1</v>
          </cell>
          <cell r="F331" t="str">
            <v>Inspektor I</v>
          </cell>
          <cell r="G331" t="str">
            <v>F</v>
          </cell>
          <cell r="H331">
            <v>1978</v>
          </cell>
        </row>
        <row r="332">
          <cell r="C332" t="str">
            <v xml:space="preserve">ROZWADOWSKA </v>
          </cell>
          <cell r="D332" t="str">
            <v>LONGINA</v>
          </cell>
          <cell r="E332">
            <v>1</v>
          </cell>
          <cell r="F332" t="str">
            <v>Pracownik Rozliczeń Handlowych</v>
          </cell>
          <cell r="G332" t="str">
            <v>K</v>
          </cell>
          <cell r="H332">
            <v>3900</v>
          </cell>
        </row>
        <row r="333">
          <cell r="C333" t="str">
            <v>RUDZKA</v>
          </cell>
          <cell r="D333" t="str">
            <v xml:space="preserve">KATARZYNA </v>
          </cell>
          <cell r="E333">
            <v>1</v>
          </cell>
          <cell r="F333" t="str">
            <v>Referent III</v>
          </cell>
          <cell r="G333" t="str">
            <v>E</v>
          </cell>
          <cell r="H333">
            <v>1900</v>
          </cell>
        </row>
        <row r="334">
          <cell r="C334" t="str">
            <v xml:space="preserve">RUSEK </v>
          </cell>
          <cell r="D334" t="str">
            <v>GRAŻYNA</v>
          </cell>
          <cell r="E334">
            <v>1</v>
          </cell>
          <cell r="F334" t="str">
            <v>Inżynier Systemu II</v>
          </cell>
          <cell r="G334" t="str">
            <v>L</v>
          </cell>
          <cell r="H334">
            <v>4700</v>
          </cell>
        </row>
        <row r="335">
          <cell r="C335" t="str">
            <v xml:space="preserve">RUSINEK </v>
          </cell>
          <cell r="D335" t="str">
            <v xml:space="preserve">BARBARA </v>
          </cell>
          <cell r="E335">
            <v>1</v>
          </cell>
          <cell r="F335" t="str">
            <v>Inspektor II</v>
          </cell>
          <cell r="G335" t="str">
            <v>H</v>
          </cell>
          <cell r="H335">
            <v>2650</v>
          </cell>
        </row>
        <row r="336">
          <cell r="C336" t="str">
            <v>RUSINOWSKA</v>
          </cell>
          <cell r="D336" t="str">
            <v>GRAŻYNA</v>
          </cell>
          <cell r="E336">
            <v>1</v>
          </cell>
          <cell r="F336" t="str">
            <v>Referent III</v>
          </cell>
          <cell r="G336" t="str">
            <v>E</v>
          </cell>
          <cell r="H336">
            <v>2160</v>
          </cell>
        </row>
        <row r="337">
          <cell r="C337" t="str">
            <v xml:space="preserve">RUTKOWSKA </v>
          </cell>
          <cell r="D337" t="str">
            <v xml:space="preserve">JADWIGA </v>
          </cell>
          <cell r="E337">
            <v>1</v>
          </cell>
          <cell r="F337" t="str">
            <v>Koordynator ds. Inwestycji II</v>
          </cell>
          <cell r="G337" t="str">
            <v>L</v>
          </cell>
          <cell r="H337">
            <v>4900</v>
          </cell>
        </row>
        <row r="338">
          <cell r="C338" t="str">
            <v>RUTKOWSKI A</v>
          </cell>
          <cell r="D338" t="str">
            <v xml:space="preserve">ANDRZEJ </v>
          </cell>
          <cell r="E338">
            <v>1</v>
          </cell>
          <cell r="F338" t="str">
            <v>Analityk Systemowy I</v>
          </cell>
          <cell r="G338" t="str">
            <v>G</v>
          </cell>
          <cell r="H338">
            <v>2600</v>
          </cell>
        </row>
        <row r="339">
          <cell r="C339" t="str">
            <v>RUTKOWSKI L</v>
          </cell>
          <cell r="D339" t="str">
            <v>LESZEK</v>
          </cell>
          <cell r="E339">
            <v>1</v>
          </cell>
          <cell r="F339" t="str">
            <v>Inspektor Utrzymania Urządzeń II</v>
          </cell>
          <cell r="G339" t="str">
            <v>J</v>
          </cell>
          <cell r="H339">
            <v>3700</v>
          </cell>
        </row>
        <row r="340">
          <cell r="C340" t="str">
            <v xml:space="preserve">RUTKOWSKI E </v>
          </cell>
          <cell r="D340" t="str">
            <v>EMIL</v>
          </cell>
          <cell r="E340">
            <v>1</v>
          </cell>
          <cell r="F340" t="str">
            <v>Dyrektor Zadania Inwestycyjnego</v>
          </cell>
          <cell r="G340" t="str">
            <v>N</v>
          </cell>
          <cell r="H340">
            <v>7250</v>
          </cell>
        </row>
        <row r="341">
          <cell r="C341" t="str">
            <v xml:space="preserve">RYBAK </v>
          </cell>
          <cell r="D341" t="str">
            <v>GRAŻYNA</v>
          </cell>
          <cell r="E341">
            <v>1</v>
          </cell>
          <cell r="F341" t="str">
            <v>Kontroler Wydziałowy</v>
          </cell>
          <cell r="G341" t="str">
            <v>K</v>
          </cell>
          <cell r="H341">
            <v>3321</v>
          </cell>
        </row>
        <row r="342">
          <cell r="C342" t="str">
            <v xml:space="preserve">RYBICKA </v>
          </cell>
          <cell r="D342" t="str">
            <v xml:space="preserve">BARBARA </v>
          </cell>
          <cell r="E342">
            <v>1</v>
          </cell>
          <cell r="F342" t="str">
            <v>Prac. Rozliczeń Handlowych III</v>
          </cell>
          <cell r="G342" t="str">
            <v>I</v>
          </cell>
          <cell r="H342">
            <v>3000</v>
          </cell>
        </row>
        <row r="343">
          <cell r="C343" t="str">
            <v xml:space="preserve">RYCHAŁKIEWICZ </v>
          </cell>
          <cell r="D343" t="str">
            <v>JANUSZ</v>
          </cell>
          <cell r="E343">
            <v>1</v>
          </cell>
          <cell r="F343" t="str">
            <v>Inżynier Utrzymania Urządzeń III</v>
          </cell>
          <cell r="G343" t="str">
            <v>M</v>
          </cell>
          <cell r="H343">
            <v>5100</v>
          </cell>
        </row>
        <row r="344">
          <cell r="C344" t="str">
            <v xml:space="preserve">SADŁOWSKI </v>
          </cell>
          <cell r="D344" t="str">
            <v>BARTOSZ</v>
          </cell>
          <cell r="E344">
            <v>1</v>
          </cell>
          <cell r="F344" t="str">
            <v>Inspektor I</v>
          </cell>
          <cell r="G344" t="str">
            <v>F</v>
          </cell>
          <cell r="H344">
            <v>2160</v>
          </cell>
        </row>
        <row r="345">
          <cell r="C345" t="str">
            <v>SADOWSKA</v>
          </cell>
          <cell r="D345" t="str">
            <v xml:space="preserve">AGNIESZKA </v>
          </cell>
          <cell r="E345">
            <v>1</v>
          </cell>
          <cell r="F345" t="str">
            <v>Ekonomista II</v>
          </cell>
          <cell r="G345" t="str">
            <v>L</v>
          </cell>
          <cell r="H345">
            <v>4420</v>
          </cell>
        </row>
        <row r="346">
          <cell r="C346" t="str">
            <v>SAŁACH</v>
          </cell>
          <cell r="D346" t="str">
            <v>TADEUSZ</v>
          </cell>
          <cell r="E346">
            <v>1</v>
          </cell>
          <cell r="F346" t="str">
            <v>Audytor ds. Organizacji i Zarządzania</v>
          </cell>
          <cell r="G346" t="str">
            <v>L</v>
          </cell>
          <cell r="H346">
            <v>4090</v>
          </cell>
        </row>
        <row r="347">
          <cell r="C347" t="str">
            <v>SAMIEC</v>
          </cell>
          <cell r="D347" t="str">
            <v xml:space="preserve">STANISŁAW </v>
          </cell>
          <cell r="E347">
            <v>1</v>
          </cell>
          <cell r="F347" t="str">
            <v>Koordynator ds. Spraw Obronnych</v>
          </cell>
          <cell r="G347" t="str">
            <v>J</v>
          </cell>
          <cell r="H347">
            <v>3272</v>
          </cell>
        </row>
        <row r="348">
          <cell r="C348" t="str">
            <v>SAMIŃSKA</v>
          </cell>
          <cell r="D348" t="str">
            <v xml:space="preserve">BEATA </v>
          </cell>
          <cell r="E348">
            <v>1</v>
          </cell>
          <cell r="F348" t="str">
            <v>Kontroler Wydziałowy</v>
          </cell>
          <cell r="G348" t="str">
            <v>K</v>
          </cell>
          <cell r="H348">
            <v>3512</v>
          </cell>
        </row>
        <row r="349">
          <cell r="C349" t="str">
            <v xml:space="preserve">SARZAŁA </v>
          </cell>
          <cell r="D349" t="str">
            <v xml:space="preserve">ANDRZEJ </v>
          </cell>
          <cell r="E349">
            <v>1</v>
          </cell>
          <cell r="F349" t="str">
            <v>Inspektor Utrzymania Urządzeń I</v>
          </cell>
          <cell r="G349" t="str">
            <v>I</v>
          </cell>
          <cell r="H349">
            <v>2800</v>
          </cell>
        </row>
        <row r="350">
          <cell r="C350" t="str">
            <v xml:space="preserve">SAS </v>
          </cell>
          <cell r="D350" t="str">
            <v>ANNA</v>
          </cell>
          <cell r="E350">
            <v>1</v>
          </cell>
          <cell r="F350" t="str">
            <v>Handlowiec IV</v>
          </cell>
          <cell r="G350" t="str">
            <v>L</v>
          </cell>
          <cell r="H350">
            <v>4740</v>
          </cell>
        </row>
        <row r="351">
          <cell r="C351" t="str">
            <v>SELIGA MAG</v>
          </cell>
          <cell r="D351" t="str">
            <v xml:space="preserve">MAGDALENA </v>
          </cell>
          <cell r="E351">
            <v>1</v>
          </cell>
          <cell r="F351" t="str">
            <v>Stażysta z wyższym wykszt.</v>
          </cell>
          <cell r="G351" t="str">
            <v>G</v>
          </cell>
          <cell r="H351">
            <v>2160</v>
          </cell>
        </row>
        <row r="352">
          <cell r="C352" t="str">
            <v>SELIGA A</v>
          </cell>
          <cell r="D352" t="str">
            <v>ANNA</v>
          </cell>
          <cell r="E352">
            <v>1</v>
          </cell>
          <cell r="F352" t="str">
            <v>Inżynier Systemu II</v>
          </cell>
          <cell r="G352" t="str">
            <v>L</v>
          </cell>
          <cell r="H352">
            <v>4500</v>
          </cell>
        </row>
        <row r="353">
          <cell r="C353" t="str">
            <v>SELIGA MAR</v>
          </cell>
          <cell r="D353" t="str">
            <v>MARCIN</v>
          </cell>
          <cell r="E353">
            <v>1</v>
          </cell>
          <cell r="F353" t="str">
            <v>Dyspozytor Systemu KDM-DIR</v>
          </cell>
          <cell r="G353" t="str">
            <v>M</v>
          </cell>
          <cell r="H353">
            <v>5279</v>
          </cell>
        </row>
        <row r="354">
          <cell r="C354" t="str">
            <v xml:space="preserve">SIERADZKI </v>
          </cell>
          <cell r="D354" t="str">
            <v>SŁAWOMIR</v>
          </cell>
          <cell r="E354">
            <v>1</v>
          </cell>
          <cell r="F354" t="str">
            <v>Inspektor II</v>
          </cell>
          <cell r="G354" t="str">
            <v>H</v>
          </cell>
          <cell r="H354">
            <v>2800</v>
          </cell>
        </row>
        <row r="355">
          <cell r="C355" t="str">
            <v>SIERKA</v>
          </cell>
          <cell r="D355" t="str">
            <v>RAJMUND</v>
          </cell>
          <cell r="E355">
            <v>1</v>
          </cell>
          <cell r="F355" t="str">
            <v>Analityk Systemowy I</v>
          </cell>
          <cell r="G355" t="str">
            <v>G</v>
          </cell>
          <cell r="H355">
            <v>2681</v>
          </cell>
        </row>
        <row r="356">
          <cell r="C356" t="str">
            <v>SIKORSKA AN</v>
          </cell>
          <cell r="D356" t="str">
            <v>ANNA</v>
          </cell>
          <cell r="E356">
            <v>1</v>
          </cell>
          <cell r="F356" t="str">
            <v>Sekretarka II</v>
          </cell>
          <cell r="G356" t="str">
            <v>F</v>
          </cell>
          <cell r="H356">
            <v>2150</v>
          </cell>
        </row>
        <row r="357">
          <cell r="C357" t="str">
            <v>SIKORSKA AG</v>
          </cell>
          <cell r="D357" t="str">
            <v xml:space="preserve">AGATA </v>
          </cell>
          <cell r="E357">
            <v>1</v>
          </cell>
          <cell r="F357" t="str">
            <v>Kier. Działu Rozliczeń Obrotu EE</v>
          </cell>
          <cell r="G357" t="str">
            <v>N</v>
          </cell>
          <cell r="H357">
            <v>6560</v>
          </cell>
        </row>
        <row r="358">
          <cell r="C358" t="str">
            <v xml:space="preserve">SIUDARA </v>
          </cell>
          <cell r="D358" t="str">
            <v>MONIKA</v>
          </cell>
          <cell r="E358">
            <v>1</v>
          </cell>
          <cell r="F358" t="str">
            <v>Inspektor I</v>
          </cell>
          <cell r="G358" t="str">
            <v>F</v>
          </cell>
          <cell r="H358">
            <v>2150</v>
          </cell>
        </row>
        <row r="359">
          <cell r="C359" t="str">
            <v xml:space="preserve">SIWEK </v>
          </cell>
          <cell r="D359" t="str">
            <v>SŁAWOMIR</v>
          </cell>
          <cell r="E359">
            <v>1</v>
          </cell>
          <cell r="F359" t="str">
            <v>Administrator Systemu II</v>
          </cell>
          <cell r="G359" t="str">
            <v>K</v>
          </cell>
          <cell r="H359">
            <v>3600</v>
          </cell>
        </row>
        <row r="360">
          <cell r="C360" t="str">
            <v xml:space="preserve">SKALSKI </v>
          </cell>
          <cell r="D360" t="str">
            <v xml:space="preserve">ANDRZEJ </v>
          </cell>
          <cell r="E360">
            <v>1</v>
          </cell>
          <cell r="F360" t="str">
            <v>Pracownik Ochrony I</v>
          </cell>
          <cell r="G360" t="str">
            <v>C</v>
          </cell>
          <cell r="H360">
            <v>1347</v>
          </cell>
        </row>
        <row r="361">
          <cell r="C361" t="str">
            <v xml:space="preserve">SKIBA J </v>
          </cell>
          <cell r="D361" t="str">
            <v>JAROSŁAW</v>
          </cell>
          <cell r="E361">
            <v>1</v>
          </cell>
          <cell r="F361" t="str">
            <v>Ekonomista I</v>
          </cell>
          <cell r="G361" t="str">
            <v>J</v>
          </cell>
          <cell r="H361">
            <v>3100</v>
          </cell>
        </row>
        <row r="362">
          <cell r="C362" t="str">
            <v xml:space="preserve">SKIBA M </v>
          </cell>
          <cell r="D362" t="str">
            <v xml:space="preserve">MIROSŁAWA </v>
          </cell>
          <cell r="E362">
            <v>1</v>
          </cell>
          <cell r="F362" t="str">
            <v>Redaktor II</v>
          </cell>
          <cell r="G362" t="str">
            <v>K</v>
          </cell>
          <cell r="H362">
            <v>3650</v>
          </cell>
        </row>
        <row r="363">
          <cell r="C363" t="str">
            <v>SKOWROŃSKA</v>
          </cell>
          <cell r="D363" t="str">
            <v xml:space="preserve">ZDZISŁAWA </v>
          </cell>
          <cell r="E363">
            <v>1</v>
          </cell>
          <cell r="F363" t="str">
            <v>Księgowy III</v>
          </cell>
          <cell r="G363" t="str">
            <v>K</v>
          </cell>
          <cell r="H363">
            <v>4000</v>
          </cell>
        </row>
        <row r="364">
          <cell r="C364" t="str">
            <v xml:space="preserve">SKURCZYŃSKI </v>
          </cell>
          <cell r="D364" t="str">
            <v>SŁAWOMIR</v>
          </cell>
          <cell r="E364">
            <v>1</v>
          </cell>
          <cell r="F364" t="str">
            <v>Administrator Systemu II</v>
          </cell>
          <cell r="G364" t="str">
            <v>K</v>
          </cell>
          <cell r="H364">
            <v>3900</v>
          </cell>
        </row>
        <row r="365">
          <cell r="C365" t="str">
            <v>SMOLARCZYK</v>
          </cell>
          <cell r="D365" t="str">
            <v>WALDEMAR</v>
          </cell>
          <cell r="E365">
            <v>1</v>
          </cell>
          <cell r="F365" t="str">
            <v>Inspektor Utrzymania Urządz. II</v>
          </cell>
          <cell r="G365" t="str">
            <v>J</v>
          </cell>
          <cell r="H365">
            <v>3072</v>
          </cell>
        </row>
        <row r="366">
          <cell r="C366" t="str">
            <v>SMOLIK</v>
          </cell>
          <cell r="D366" t="str">
            <v>WITOLD</v>
          </cell>
          <cell r="E366">
            <v>1</v>
          </cell>
          <cell r="F366" t="str">
            <v>Inżynier Systemu I</v>
          </cell>
          <cell r="G366" t="str">
            <v>K</v>
          </cell>
          <cell r="H366">
            <v>3500</v>
          </cell>
        </row>
        <row r="367">
          <cell r="C367" t="str">
            <v xml:space="preserve">SMYKIEWICZ-KORNATKA </v>
          </cell>
          <cell r="D367" t="str">
            <v>ANNA</v>
          </cell>
          <cell r="E367">
            <v>1</v>
          </cell>
          <cell r="F367" t="str">
            <v>Kier. Wydz. Monitorowania Inwestycji</v>
          </cell>
          <cell r="G367" t="str">
            <v>M</v>
          </cell>
          <cell r="H367">
            <v>6700</v>
          </cell>
        </row>
        <row r="368">
          <cell r="C368" t="str">
            <v>SOBAŃSKA</v>
          </cell>
          <cell r="D368" t="str">
            <v>ALICJA</v>
          </cell>
          <cell r="E368">
            <v>1</v>
          </cell>
          <cell r="F368" t="str">
            <v>Inspektor Utrzymania Urządzeń II</v>
          </cell>
          <cell r="G368" t="str">
            <v>J</v>
          </cell>
          <cell r="H368">
            <v>3182</v>
          </cell>
        </row>
        <row r="369">
          <cell r="C369" t="str">
            <v>SOBIEPANEK</v>
          </cell>
          <cell r="D369" t="str">
            <v xml:space="preserve">MAGDALENA </v>
          </cell>
          <cell r="E369">
            <v>1</v>
          </cell>
          <cell r="F369" t="str">
            <v>Ekonomista I</v>
          </cell>
          <cell r="G369" t="str">
            <v>J</v>
          </cell>
          <cell r="H369">
            <v>3500</v>
          </cell>
        </row>
        <row r="370">
          <cell r="C370" t="str">
            <v xml:space="preserve">SOBOCKI </v>
          </cell>
          <cell r="D370" t="str">
            <v xml:space="preserve">RYSZARD </v>
          </cell>
          <cell r="E370">
            <v>1</v>
          </cell>
          <cell r="F370" t="str">
            <v>Inżynier Utrzymania Urządzeń III</v>
          </cell>
          <cell r="G370" t="str">
            <v>M</v>
          </cell>
          <cell r="H370">
            <v>5279</v>
          </cell>
        </row>
        <row r="371">
          <cell r="C371" t="str">
            <v>SOCZEWKA</v>
          </cell>
          <cell r="D371" t="str">
            <v>MACIEJ</v>
          </cell>
          <cell r="E371">
            <v>1</v>
          </cell>
          <cell r="F371" t="str">
            <v>Ekonomista III</v>
          </cell>
          <cell r="G371" t="str">
            <v>M</v>
          </cell>
          <cell r="H371">
            <v>5200</v>
          </cell>
        </row>
        <row r="372">
          <cell r="C372" t="str">
            <v>SOROKA</v>
          </cell>
          <cell r="D372" t="str">
            <v xml:space="preserve">EWA </v>
          </cell>
          <cell r="E372">
            <v>1</v>
          </cell>
          <cell r="F372" t="str">
            <v>Ekonomista I</v>
          </cell>
          <cell r="G372" t="str">
            <v>J</v>
          </cell>
          <cell r="H372">
            <v>3070</v>
          </cell>
        </row>
        <row r="373">
          <cell r="C373" t="str">
            <v>SOSNOWSKA K</v>
          </cell>
          <cell r="D373" t="str">
            <v>KRYSTYNA</v>
          </cell>
          <cell r="E373">
            <v>1</v>
          </cell>
          <cell r="F373" t="str">
            <v>Referent II</v>
          </cell>
          <cell r="G373" t="str">
            <v>C</v>
          </cell>
          <cell r="H373">
            <v>1861</v>
          </cell>
        </row>
        <row r="374">
          <cell r="C374" t="str">
            <v xml:space="preserve">SOSNOWSKA B </v>
          </cell>
          <cell r="D374" t="str">
            <v xml:space="preserve">BEATA </v>
          </cell>
          <cell r="E374">
            <v>1</v>
          </cell>
          <cell r="F374" t="str">
            <v>Sekretarka II</v>
          </cell>
          <cell r="G374" t="str">
            <v>F</v>
          </cell>
          <cell r="H374">
            <v>2762</v>
          </cell>
        </row>
        <row r="375">
          <cell r="C375" t="str">
            <v>STACHOWICZ</v>
          </cell>
          <cell r="D375" t="str">
            <v xml:space="preserve">BEATA </v>
          </cell>
          <cell r="E375">
            <v>1</v>
          </cell>
          <cell r="F375" t="str">
            <v>Księgowy I</v>
          </cell>
          <cell r="G375" t="str">
            <v>G</v>
          </cell>
          <cell r="H375">
            <v>2675</v>
          </cell>
        </row>
        <row r="376">
          <cell r="C376" t="str">
            <v>STANISZEWSKA</v>
          </cell>
          <cell r="D376" t="str">
            <v xml:space="preserve">ZOFIA </v>
          </cell>
          <cell r="E376">
            <v>1</v>
          </cell>
          <cell r="F376" t="str">
            <v>Koordynator ds. Inwestycji I</v>
          </cell>
          <cell r="G376" t="str">
            <v>K</v>
          </cell>
          <cell r="H376">
            <v>3850</v>
          </cell>
        </row>
        <row r="377">
          <cell r="C377" t="str">
            <v>STANISZEWSKI</v>
          </cell>
          <cell r="D377" t="str">
            <v>JANUSZ</v>
          </cell>
          <cell r="E377">
            <v>1</v>
          </cell>
          <cell r="F377" t="str">
            <v>Główny Dyspozytor Systemu KDM-DIR</v>
          </cell>
          <cell r="G377" t="str">
            <v>N</v>
          </cell>
          <cell r="H377">
            <v>6602</v>
          </cell>
        </row>
        <row r="378">
          <cell r="C378" t="str">
            <v>STARZYŃSKI</v>
          </cell>
          <cell r="D378" t="str">
            <v xml:space="preserve">ANDRZEJ </v>
          </cell>
          <cell r="E378">
            <v>1</v>
          </cell>
          <cell r="F378" t="str">
            <v>Administrator Systemu II</v>
          </cell>
          <cell r="G378" t="str">
            <v>K</v>
          </cell>
          <cell r="H378">
            <v>4775</v>
          </cell>
        </row>
        <row r="379">
          <cell r="C379" t="str">
            <v xml:space="preserve">STAWIŃSKA </v>
          </cell>
          <cell r="D379" t="str">
            <v>MONIKA</v>
          </cell>
          <cell r="E379">
            <v>1</v>
          </cell>
          <cell r="F379" t="str">
            <v>Prac. ds. Kadrowych lub Socjalnych I</v>
          </cell>
          <cell r="G379" t="str">
            <v>H</v>
          </cell>
          <cell r="H379">
            <v>2872</v>
          </cell>
        </row>
        <row r="380">
          <cell r="C380" t="str">
            <v xml:space="preserve">STENZEL-DAS </v>
          </cell>
          <cell r="D380" t="str">
            <v xml:space="preserve">AURELIA </v>
          </cell>
          <cell r="E380">
            <v>1</v>
          </cell>
          <cell r="F380" t="str">
            <v>Kontroler Wewnętrzny II</v>
          </cell>
          <cell r="G380" t="str">
            <v>J</v>
          </cell>
          <cell r="H380">
            <v>3471</v>
          </cell>
        </row>
        <row r="381">
          <cell r="C381" t="str">
            <v xml:space="preserve">STĘPNIEWSKI </v>
          </cell>
          <cell r="D381" t="str">
            <v xml:space="preserve">PIOTR </v>
          </cell>
          <cell r="E381">
            <v>1</v>
          </cell>
          <cell r="F381" t="str">
            <v>Teleinformatyk III</v>
          </cell>
          <cell r="G381" t="str">
            <v>L</v>
          </cell>
          <cell r="H381">
            <v>4166</v>
          </cell>
        </row>
        <row r="382">
          <cell r="C382" t="str">
            <v xml:space="preserve">STODOLSKI </v>
          </cell>
          <cell r="D382" t="str">
            <v>ZENON</v>
          </cell>
          <cell r="E382">
            <v>1</v>
          </cell>
          <cell r="F382" t="str">
            <v>Inżynier Utrzymania Urządzeń III</v>
          </cell>
          <cell r="G382" t="str">
            <v>M</v>
          </cell>
          <cell r="H382">
            <v>6470</v>
          </cell>
        </row>
        <row r="383">
          <cell r="C383" t="str">
            <v xml:space="preserve">STROIŃSKA </v>
          </cell>
          <cell r="D383" t="str">
            <v>ANNA</v>
          </cell>
          <cell r="E383">
            <v>1</v>
          </cell>
          <cell r="F383" t="str">
            <v>Inspektor II</v>
          </cell>
          <cell r="G383" t="str">
            <v>H</v>
          </cell>
          <cell r="H383">
            <v>3000</v>
          </cell>
        </row>
        <row r="384">
          <cell r="C384" t="str">
            <v xml:space="preserve">Strojny </v>
          </cell>
          <cell r="D384" t="str">
            <v>PIOTR</v>
          </cell>
          <cell r="E384">
            <v>1</v>
          </cell>
          <cell r="F384" t="str">
            <v>Dyrektor Zadania Inwestycyjnego</v>
          </cell>
          <cell r="G384" t="str">
            <v>N</v>
          </cell>
          <cell r="H384">
            <v>6587</v>
          </cell>
        </row>
        <row r="385">
          <cell r="C385" t="str">
            <v>STRÓJWĄS</v>
          </cell>
          <cell r="D385" t="str">
            <v>MAREK</v>
          </cell>
          <cell r="E385">
            <v>1</v>
          </cell>
          <cell r="F385" t="str">
            <v>Inspektor I</v>
          </cell>
          <cell r="G385" t="str">
            <v>F</v>
          </cell>
          <cell r="H385">
            <v>2600</v>
          </cell>
        </row>
        <row r="386">
          <cell r="C386" t="str">
            <v>STRUŻEWSKA</v>
          </cell>
          <cell r="D386" t="str">
            <v xml:space="preserve">EWA </v>
          </cell>
          <cell r="E386">
            <v>1</v>
          </cell>
          <cell r="F386" t="str">
            <v>Inżynier Utrzymania Urządzeń III</v>
          </cell>
          <cell r="G386" t="str">
            <v>M</v>
          </cell>
          <cell r="H386">
            <v>4998</v>
          </cell>
        </row>
        <row r="387">
          <cell r="C387" t="str">
            <v xml:space="preserve">STRYJEK </v>
          </cell>
          <cell r="D387" t="str">
            <v xml:space="preserve">KATARZYNA </v>
          </cell>
          <cell r="E387">
            <v>1</v>
          </cell>
          <cell r="F387" t="str">
            <v>Sekretarka II</v>
          </cell>
          <cell r="G387" t="str">
            <v>F</v>
          </cell>
          <cell r="H387">
            <v>2442</v>
          </cell>
        </row>
        <row r="388">
          <cell r="C388" t="str">
            <v>STRZAŁECKA</v>
          </cell>
          <cell r="D388" t="str">
            <v>WIESŁAWA</v>
          </cell>
          <cell r="E388">
            <v>1</v>
          </cell>
          <cell r="F388" t="str">
            <v>Inżynier Systemu III</v>
          </cell>
          <cell r="G388" t="str">
            <v>M</v>
          </cell>
          <cell r="H388">
            <v>5000</v>
          </cell>
        </row>
        <row r="389">
          <cell r="C389" t="str">
            <v xml:space="preserve">STRZELBICKI </v>
          </cell>
          <cell r="D389" t="str">
            <v>JERZY</v>
          </cell>
          <cell r="E389">
            <v>1</v>
          </cell>
          <cell r="F389" t="str">
            <v>Inżynier Systemu II</v>
          </cell>
          <cell r="G389" t="str">
            <v>L</v>
          </cell>
          <cell r="H389">
            <v>4534</v>
          </cell>
        </row>
        <row r="390">
          <cell r="C390" t="str">
            <v>SUDZICKA</v>
          </cell>
          <cell r="D390" t="str">
            <v>MAGDALENA</v>
          </cell>
          <cell r="E390">
            <v>1</v>
          </cell>
          <cell r="F390" t="str">
            <v>Sekretarka II</v>
          </cell>
          <cell r="G390" t="str">
            <v>F</v>
          </cell>
          <cell r="H390">
            <v>2200</v>
          </cell>
        </row>
        <row r="391">
          <cell r="C391" t="str">
            <v xml:space="preserve">SUMKA </v>
          </cell>
          <cell r="D391" t="str">
            <v xml:space="preserve">ANDŻELIKA </v>
          </cell>
          <cell r="E391">
            <v>1</v>
          </cell>
          <cell r="F391" t="str">
            <v>Pracownik Rachuby Płac II</v>
          </cell>
          <cell r="G391" t="str">
            <v>G</v>
          </cell>
          <cell r="H391">
            <v>2500</v>
          </cell>
        </row>
        <row r="392">
          <cell r="C392" t="str">
            <v xml:space="preserve">SUSKA D </v>
          </cell>
          <cell r="D392" t="str">
            <v>DOROTA</v>
          </cell>
          <cell r="E392">
            <v>1</v>
          </cell>
          <cell r="F392" t="str">
            <v>Księgowy I</v>
          </cell>
          <cell r="G392" t="str">
            <v>G</v>
          </cell>
          <cell r="H392">
            <v>2465</v>
          </cell>
        </row>
        <row r="393">
          <cell r="C393" t="str">
            <v>SUSKA J</v>
          </cell>
          <cell r="D393" t="str">
            <v xml:space="preserve">JACEK </v>
          </cell>
          <cell r="E393">
            <v>1</v>
          </cell>
          <cell r="F393" t="str">
            <v>Kontroler Wydziałowy</v>
          </cell>
          <cell r="G393" t="str">
            <v>K</v>
          </cell>
          <cell r="H393">
            <v>4150</v>
          </cell>
        </row>
        <row r="394">
          <cell r="C394" t="str">
            <v>SWACZYNA</v>
          </cell>
          <cell r="D394" t="str">
            <v>ELŻBIETA</v>
          </cell>
          <cell r="E394">
            <v>1</v>
          </cell>
          <cell r="F394" t="str">
            <v>Kontroler Wydziałowy</v>
          </cell>
          <cell r="G394" t="str">
            <v>K</v>
          </cell>
          <cell r="H394">
            <v>3650</v>
          </cell>
        </row>
        <row r="395">
          <cell r="C395" t="str">
            <v>SYTA</v>
          </cell>
          <cell r="D395" t="str">
            <v xml:space="preserve">MIROSŁAWA </v>
          </cell>
          <cell r="E395">
            <v>1</v>
          </cell>
          <cell r="F395" t="str">
            <v>Referent III</v>
          </cell>
          <cell r="G395" t="str">
            <v>E</v>
          </cell>
          <cell r="H395">
            <v>2008</v>
          </cell>
        </row>
        <row r="396">
          <cell r="C396" t="str">
            <v>SZAJ</v>
          </cell>
          <cell r="D396" t="str">
            <v>ROBERT</v>
          </cell>
          <cell r="E396">
            <v>0.5</v>
          </cell>
          <cell r="F396" t="str">
            <v>DORADCA ZARZĄDU DS. POLITYKI INFORMACYJNEJ</v>
          </cell>
          <cell r="G396" t="str">
            <v>M</v>
          </cell>
          <cell r="H396">
            <v>3140</v>
          </cell>
        </row>
        <row r="397">
          <cell r="C397" t="str">
            <v>SZCZERBIŃSKA</v>
          </cell>
          <cell r="D397" t="str">
            <v>ELŻBIETA</v>
          </cell>
          <cell r="E397">
            <v>1</v>
          </cell>
          <cell r="F397" t="str">
            <v>Prawnik I</v>
          </cell>
          <cell r="G397" t="str">
            <v>K</v>
          </cell>
          <cell r="H397">
            <v>3900</v>
          </cell>
        </row>
        <row r="398">
          <cell r="C398" t="str">
            <v xml:space="preserve">SZCZYTOWSKA </v>
          </cell>
          <cell r="D398" t="str">
            <v xml:space="preserve">BARBARA </v>
          </cell>
          <cell r="E398">
            <v>1</v>
          </cell>
          <cell r="F398" t="str">
            <v>Sekretarka II</v>
          </cell>
          <cell r="G398" t="str">
            <v>F</v>
          </cell>
          <cell r="H398">
            <v>2150</v>
          </cell>
        </row>
        <row r="399">
          <cell r="C399" t="str">
            <v xml:space="preserve">SZKUP </v>
          </cell>
          <cell r="D399" t="str">
            <v>LEON</v>
          </cell>
          <cell r="E399">
            <v>1</v>
          </cell>
          <cell r="F399" t="str">
            <v>Ekonomista II</v>
          </cell>
          <cell r="G399" t="str">
            <v>L</v>
          </cell>
          <cell r="H399">
            <v>3700</v>
          </cell>
        </row>
        <row r="400">
          <cell r="C400" t="str">
            <v>SZLAGA-KŁOSIŃSKA</v>
          </cell>
          <cell r="D400" t="str">
            <v>TERESA</v>
          </cell>
          <cell r="E400">
            <v>1</v>
          </cell>
          <cell r="F400" t="str">
            <v>Kontroler Wydziałowy</v>
          </cell>
          <cell r="G400" t="str">
            <v>K</v>
          </cell>
          <cell r="H400">
            <v>3707</v>
          </cell>
        </row>
        <row r="401">
          <cell r="C401" t="str">
            <v xml:space="preserve">SZMIGIERA </v>
          </cell>
          <cell r="D401" t="str">
            <v>ELŻBIETA</v>
          </cell>
          <cell r="E401">
            <v>1</v>
          </cell>
          <cell r="F401" t="str">
            <v>Inżynier Utrzymania Urządzeń II</v>
          </cell>
          <cell r="G401" t="str">
            <v>L</v>
          </cell>
          <cell r="H401">
            <v>4697</v>
          </cell>
        </row>
        <row r="402">
          <cell r="C402" t="str">
            <v>SZNAJDER</v>
          </cell>
          <cell r="D402" t="str">
            <v>GRZEGORZ</v>
          </cell>
          <cell r="E402">
            <v>1</v>
          </cell>
          <cell r="F402" t="str">
            <v>Kier. Wydz. Telemechaniki, Regulacji i Pomiarów</v>
          </cell>
          <cell r="G402" t="str">
            <v>N</v>
          </cell>
          <cell r="H402">
            <v>6100</v>
          </cell>
        </row>
        <row r="403">
          <cell r="C403" t="str">
            <v>SZUDEJKO</v>
          </cell>
          <cell r="D403" t="str">
            <v>TOMASZ</v>
          </cell>
          <cell r="E403">
            <v>1</v>
          </cell>
          <cell r="F403" t="str">
            <v>Teleinformatyk IV</v>
          </cell>
          <cell r="G403" t="str">
            <v>M</v>
          </cell>
          <cell r="H403">
            <v>5800</v>
          </cell>
        </row>
        <row r="404">
          <cell r="C404" t="str">
            <v xml:space="preserve">SZWED </v>
          </cell>
          <cell r="D404" t="str">
            <v>CEZARY</v>
          </cell>
          <cell r="E404">
            <v>1</v>
          </cell>
          <cell r="F404" t="str">
            <v>Teleinformatyk IV</v>
          </cell>
          <cell r="G404" t="str">
            <v>M</v>
          </cell>
          <cell r="H404">
            <v>6500</v>
          </cell>
        </row>
        <row r="405">
          <cell r="C405" t="str">
            <v xml:space="preserve">SZWEJKOWSKI </v>
          </cell>
          <cell r="D405" t="str">
            <v>CEZARY</v>
          </cell>
          <cell r="E405">
            <v>1</v>
          </cell>
          <cell r="F405" t="str">
            <v>Teleinformatyk II</v>
          </cell>
          <cell r="G405" t="str">
            <v>K</v>
          </cell>
          <cell r="H405">
            <v>3375</v>
          </cell>
        </row>
        <row r="406">
          <cell r="C406" t="str">
            <v>SZWERBEL</v>
          </cell>
          <cell r="D406" t="str">
            <v>TERESA</v>
          </cell>
          <cell r="E406">
            <v>1</v>
          </cell>
          <cell r="F406" t="str">
            <v>Referent Techniczny</v>
          </cell>
          <cell r="G406" t="str">
            <v>E</v>
          </cell>
          <cell r="H406">
            <v>2093</v>
          </cell>
        </row>
        <row r="407">
          <cell r="C407" t="str">
            <v>SZYCHOWSKI</v>
          </cell>
          <cell r="D407" t="str">
            <v>LECH</v>
          </cell>
          <cell r="E407">
            <v>1</v>
          </cell>
          <cell r="F407" t="str">
            <v>Teleinformatyk I</v>
          </cell>
          <cell r="G407" t="str">
            <v>J</v>
          </cell>
          <cell r="H407">
            <v>4070</v>
          </cell>
        </row>
        <row r="408">
          <cell r="C408" t="str">
            <v xml:space="preserve">SZYMANIAK </v>
          </cell>
          <cell r="D408" t="str">
            <v xml:space="preserve">MAREK </v>
          </cell>
          <cell r="E408">
            <v>1</v>
          </cell>
          <cell r="F408" t="str">
            <v>Inspektor Nadzoru II</v>
          </cell>
          <cell r="G408" t="str">
            <v>K</v>
          </cell>
          <cell r="H408">
            <v>4825</v>
          </cell>
        </row>
        <row r="409">
          <cell r="C409" t="str">
            <v xml:space="preserve">SZYMAŃSKA M </v>
          </cell>
          <cell r="D409" t="str">
            <v>MAŁGORZATA</v>
          </cell>
          <cell r="E409">
            <v>1</v>
          </cell>
          <cell r="F409" t="str">
            <v>Inspektor II</v>
          </cell>
          <cell r="G409" t="str">
            <v>H</v>
          </cell>
          <cell r="H409">
            <v>2650</v>
          </cell>
        </row>
        <row r="410">
          <cell r="C410" t="str">
            <v xml:space="preserve">SZYMAŃSKA K </v>
          </cell>
          <cell r="D410" t="str">
            <v>KRYSTYNA</v>
          </cell>
          <cell r="E410">
            <v>1</v>
          </cell>
          <cell r="F410" t="str">
            <v>Prac. ds. Kadrowych i Socjalnych II</v>
          </cell>
          <cell r="G410" t="str">
            <v>I</v>
          </cell>
          <cell r="H410">
            <v>3791</v>
          </cell>
        </row>
        <row r="411">
          <cell r="C411" t="str">
            <v xml:space="preserve">SZYMAŃSKA E </v>
          </cell>
          <cell r="D411" t="str">
            <v>ELŻBIETA</v>
          </cell>
          <cell r="E411">
            <v>1</v>
          </cell>
          <cell r="F411" t="str">
            <v>Ekonomista I</v>
          </cell>
          <cell r="G411" t="str">
            <v>J</v>
          </cell>
          <cell r="H411">
            <v>3200</v>
          </cell>
        </row>
        <row r="412">
          <cell r="C412" t="str">
            <v>SZYMCZYK</v>
          </cell>
          <cell r="D412" t="str">
            <v>ANDRZEJ</v>
          </cell>
          <cell r="E412">
            <v>1</v>
          </cell>
          <cell r="F412" t="str">
            <v>Analityk Systemowy III</v>
          </cell>
          <cell r="G412" t="str">
            <v>K</v>
          </cell>
          <cell r="H412">
            <v>3950</v>
          </cell>
        </row>
        <row r="413">
          <cell r="C413" t="str">
            <v xml:space="preserve">ŚCIBISZ </v>
          </cell>
          <cell r="D413" t="str">
            <v>ANNA</v>
          </cell>
          <cell r="E413">
            <v>1</v>
          </cell>
          <cell r="F413" t="str">
            <v>Księgowy I</v>
          </cell>
          <cell r="G413" t="str">
            <v>G</v>
          </cell>
          <cell r="H413">
            <v>2495</v>
          </cell>
        </row>
        <row r="414">
          <cell r="C414" t="str">
            <v>ŚLUZEK</v>
          </cell>
          <cell r="D414" t="str">
            <v>WITOLD</v>
          </cell>
          <cell r="E414">
            <v>1</v>
          </cell>
          <cell r="F414" t="str">
            <v>Pracownik Ochrony I</v>
          </cell>
          <cell r="G414" t="str">
            <v>C</v>
          </cell>
          <cell r="H414">
            <v>1390</v>
          </cell>
        </row>
        <row r="415">
          <cell r="C415" t="str">
            <v xml:space="preserve">ŚWIDERSKA </v>
          </cell>
          <cell r="D415" t="str">
            <v xml:space="preserve">AGNIESZKA </v>
          </cell>
          <cell r="E415">
            <v>1</v>
          </cell>
          <cell r="F415" t="str">
            <v>Kontroler Wewnętrzny I</v>
          </cell>
          <cell r="G415" t="str">
            <v>H</v>
          </cell>
          <cell r="H415">
            <v>2875</v>
          </cell>
        </row>
        <row r="416">
          <cell r="C416" t="str">
            <v>ŚWIECZKA</v>
          </cell>
          <cell r="D416" t="str">
            <v>HENRYK</v>
          </cell>
          <cell r="E416">
            <v>1</v>
          </cell>
          <cell r="F416" t="str">
            <v>Pracownik Ochrony I</v>
          </cell>
          <cell r="G416" t="str">
            <v>C</v>
          </cell>
          <cell r="H416">
            <v>1365</v>
          </cell>
        </row>
        <row r="417">
          <cell r="C417" t="str">
            <v>ŚWISŁOWSKA</v>
          </cell>
          <cell r="D417" t="str">
            <v>KRYSTYNA</v>
          </cell>
          <cell r="E417">
            <v>1</v>
          </cell>
          <cell r="F417" t="str">
            <v>Analityk Systemowy II</v>
          </cell>
          <cell r="G417" t="str">
            <v>I</v>
          </cell>
          <cell r="H417">
            <v>3000</v>
          </cell>
        </row>
        <row r="418">
          <cell r="C418" t="str">
            <v>TABAKA</v>
          </cell>
          <cell r="D418" t="str">
            <v xml:space="preserve">ALINA </v>
          </cell>
          <cell r="E418">
            <v>1</v>
          </cell>
          <cell r="F418" t="str">
            <v>Ekonomista I</v>
          </cell>
          <cell r="G418" t="str">
            <v>J</v>
          </cell>
          <cell r="H418">
            <v>3550</v>
          </cell>
        </row>
        <row r="419">
          <cell r="C419" t="str">
            <v xml:space="preserve">TALMA </v>
          </cell>
          <cell r="D419" t="str">
            <v>MONIKA</v>
          </cell>
          <cell r="E419">
            <v>1</v>
          </cell>
          <cell r="F419" t="str">
            <v>Referent III</v>
          </cell>
          <cell r="G419" t="str">
            <v>E</v>
          </cell>
          <cell r="H419">
            <v>1900</v>
          </cell>
        </row>
        <row r="420">
          <cell r="C420" t="str">
            <v>TERKIEWICZ</v>
          </cell>
          <cell r="D420" t="str">
            <v>SŁAWOMIR</v>
          </cell>
          <cell r="E420">
            <v>1</v>
          </cell>
          <cell r="F420" t="str">
            <v>Ekonomista II</v>
          </cell>
          <cell r="G420" t="str">
            <v>L</v>
          </cell>
          <cell r="H420">
            <v>4500</v>
          </cell>
        </row>
        <row r="421">
          <cell r="C421" t="str">
            <v>TILZEN</v>
          </cell>
          <cell r="D421" t="str">
            <v>SŁAWOMIR</v>
          </cell>
          <cell r="E421">
            <v>1</v>
          </cell>
          <cell r="F421" t="str">
            <v>Analityk Systemowy I</v>
          </cell>
          <cell r="G421" t="str">
            <v>G</v>
          </cell>
          <cell r="H421">
            <v>2801</v>
          </cell>
        </row>
        <row r="422">
          <cell r="C422" t="str">
            <v>TIMOFIEJUK</v>
          </cell>
          <cell r="D422" t="str">
            <v>WITOLD</v>
          </cell>
          <cell r="E422">
            <v>1</v>
          </cell>
          <cell r="F422" t="str">
            <v>Analityk Systemowy III</v>
          </cell>
          <cell r="G422" t="str">
            <v>K</v>
          </cell>
          <cell r="H422">
            <v>4000</v>
          </cell>
        </row>
        <row r="423">
          <cell r="C423" t="str">
            <v>TOKARSKI P</v>
          </cell>
          <cell r="D423" t="str">
            <v>PIOTR</v>
          </cell>
          <cell r="E423">
            <v>1</v>
          </cell>
          <cell r="F423" t="str">
            <v>Analityk Systemowy I</v>
          </cell>
          <cell r="G423" t="str">
            <v>G</v>
          </cell>
          <cell r="H423">
            <v>2700</v>
          </cell>
        </row>
        <row r="424">
          <cell r="C424" t="str">
            <v>TOKARSKI K</v>
          </cell>
          <cell r="D424" t="str">
            <v>KRZYSZTOF</v>
          </cell>
          <cell r="E424">
            <v>1</v>
          </cell>
          <cell r="F424" t="str">
            <v>Analityk Systemowy IV</v>
          </cell>
          <cell r="G424" t="str">
            <v>L</v>
          </cell>
          <cell r="H424">
            <v>4800</v>
          </cell>
        </row>
        <row r="425">
          <cell r="C425" t="str">
            <v xml:space="preserve">TOMASZEWSKA </v>
          </cell>
          <cell r="D425" t="str">
            <v xml:space="preserve">IWONA </v>
          </cell>
          <cell r="E425">
            <v>1</v>
          </cell>
          <cell r="F425" t="str">
            <v>Księgowy I</v>
          </cell>
          <cell r="G425" t="str">
            <v>G</v>
          </cell>
          <cell r="H425">
            <v>2495</v>
          </cell>
        </row>
        <row r="426">
          <cell r="C426" t="str">
            <v xml:space="preserve">TONISZEWSKI </v>
          </cell>
          <cell r="D426" t="str">
            <v xml:space="preserve">ARTUR </v>
          </cell>
          <cell r="E426">
            <v>1</v>
          </cell>
          <cell r="F426" t="str">
            <v>Inżynier Systemu II</v>
          </cell>
          <cell r="G426" t="str">
            <v>L</v>
          </cell>
          <cell r="H426">
            <v>4300</v>
          </cell>
        </row>
        <row r="427">
          <cell r="C427" t="str">
            <v>TOPOLSKA</v>
          </cell>
          <cell r="D427" t="str">
            <v>ELŻBIETA</v>
          </cell>
          <cell r="E427">
            <v>1</v>
          </cell>
          <cell r="F427" t="str">
            <v>Pracownik Rachuby Płac II</v>
          </cell>
          <cell r="G427" t="str">
            <v>G</v>
          </cell>
          <cell r="H427">
            <v>3169</v>
          </cell>
        </row>
        <row r="428">
          <cell r="C428" t="str">
            <v xml:space="preserve">TRACZYK </v>
          </cell>
          <cell r="D428" t="str">
            <v>MAŁGORZATA</v>
          </cell>
          <cell r="E428">
            <v>1</v>
          </cell>
          <cell r="F428" t="str">
            <v>Koordynator ds. ochrony środow.</v>
          </cell>
          <cell r="G428" t="str">
            <v>J</v>
          </cell>
          <cell r="H428">
            <v>3233</v>
          </cell>
        </row>
        <row r="429">
          <cell r="C429" t="str">
            <v xml:space="preserve">TRĘBSKI </v>
          </cell>
          <cell r="D429" t="str">
            <v>ROBERT</v>
          </cell>
          <cell r="E429">
            <v>1</v>
          </cell>
          <cell r="F429" t="str">
            <v>Inżynier Systemu III</v>
          </cell>
          <cell r="G429" t="str">
            <v>M</v>
          </cell>
          <cell r="H429">
            <v>5000</v>
          </cell>
        </row>
        <row r="430">
          <cell r="C430" t="str">
            <v xml:space="preserve">TROJANOWSKA </v>
          </cell>
          <cell r="D430" t="str">
            <v xml:space="preserve">HANNA </v>
          </cell>
          <cell r="E430">
            <v>1</v>
          </cell>
          <cell r="F430" t="str">
            <v>Koordynator ds. Strategii Firmy II</v>
          </cell>
          <cell r="G430" t="str">
            <v>N</v>
          </cell>
          <cell r="H430">
            <v>6900</v>
          </cell>
        </row>
        <row r="431">
          <cell r="C431" t="str">
            <v xml:space="preserve">TRZCIONKA </v>
          </cell>
          <cell r="D431" t="str">
            <v>AGNIESZKA</v>
          </cell>
          <cell r="E431">
            <v>1</v>
          </cell>
          <cell r="F431" t="str">
            <v>Referent III</v>
          </cell>
          <cell r="G431" t="str">
            <v>E</v>
          </cell>
          <cell r="H431">
            <v>1800</v>
          </cell>
        </row>
        <row r="432">
          <cell r="C432" t="str">
            <v xml:space="preserve">TYMOREK </v>
          </cell>
          <cell r="D432" t="str">
            <v xml:space="preserve">ANDRZEJ </v>
          </cell>
          <cell r="E432">
            <v>1</v>
          </cell>
          <cell r="F432" t="str">
            <v>Kierownik Wydziału Opłat i Taryf</v>
          </cell>
          <cell r="G432" t="str">
            <v>N</v>
          </cell>
          <cell r="H432">
            <v>6000</v>
          </cell>
        </row>
        <row r="433">
          <cell r="C433" t="str">
            <v>TYMOSZYK</v>
          </cell>
          <cell r="D433" t="str">
            <v>TOMASZ</v>
          </cell>
          <cell r="E433">
            <v>1</v>
          </cell>
          <cell r="F433" t="str">
            <v>Analityk Systemowy I</v>
          </cell>
          <cell r="G433" t="str">
            <v>G</v>
          </cell>
          <cell r="H433">
            <v>2600</v>
          </cell>
        </row>
        <row r="434">
          <cell r="C434" t="str">
            <v>UCHAŃSKA</v>
          </cell>
          <cell r="D434" t="str">
            <v>ANNA</v>
          </cell>
          <cell r="E434">
            <v>1</v>
          </cell>
          <cell r="F434" t="str">
            <v>Asystent Zarządu II</v>
          </cell>
          <cell r="G434" t="str">
            <v>I</v>
          </cell>
          <cell r="H434">
            <v>3150</v>
          </cell>
        </row>
        <row r="435">
          <cell r="C435" t="str">
            <v xml:space="preserve">UCIŃSKA </v>
          </cell>
          <cell r="D435" t="str">
            <v>JULITA</v>
          </cell>
          <cell r="E435">
            <v>1</v>
          </cell>
          <cell r="F435" t="str">
            <v>Handlowiec IV</v>
          </cell>
          <cell r="G435" t="str">
            <v>L</v>
          </cell>
          <cell r="H435">
            <v>4200</v>
          </cell>
        </row>
        <row r="436">
          <cell r="C436" t="str">
            <v xml:space="preserve">USS </v>
          </cell>
          <cell r="D436" t="str">
            <v>MICHAŁ</v>
          </cell>
          <cell r="E436">
            <v>1</v>
          </cell>
          <cell r="F436" t="str">
            <v>Inspektor I</v>
          </cell>
          <cell r="G436" t="str">
            <v>F</v>
          </cell>
          <cell r="H436">
            <v>2500</v>
          </cell>
        </row>
        <row r="437">
          <cell r="C437" t="str">
            <v>WALIJEWSKI</v>
          </cell>
          <cell r="D437" t="str">
            <v>RADOSŁAW</v>
          </cell>
          <cell r="E437">
            <v>1</v>
          </cell>
          <cell r="F437" t="str">
            <v>Koordynator Obszaru Zarządzania i Nadzoru Właścicielskiego</v>
          </cell>
          <cell r="G437" t="str">
            <v>M</v>
          </cell>
          <cell r="H437">
            <v>5428</v>
          </cell>
        </row>
        <row r="438">
          <cell r="C438" t="str">
            <v>WARDZIŃSKI</v>
          </cell>
          <cell r="D438" t="str">
            <v>SŁAWOMIR</v>
          </cell>
          <cell r="E438">
            <v>1</v>
          </cell>
          <cell r="F438" t="str">
            <v>Główny Dyspozytor Systemu KDM-DIR</v>
          </cell>
          <cell r="G438" t="str">
            <v>N</v>
          </cell>
          <cell r="H438">
            <v>6472</v>
          </cell>
        </row>
        <row r="439">
          <cell r="C439" t="str">
            <v>WARZYWODA R</v>
          </cell>
          <cell r="D439" t="str">
            <v>REMIGIUSZ</v>
          </cell>
          <cell r="E439">
            <v>1</v>
          </cell>
          <cell r="F439" t="str">
            <v>Handlowiec I</v>
          </cell>
          <cell r="G439" t="str">
            <v>E</v>
          </cell>
          <cell r="H439">
            <v>2566</v>
          </cell>
        </row>
        <row r="440">
          <cell r="C440" t="str">
            <v xml:space="preserve">WARZYWODA G </v>
          </cell>
          <cell r="D440" t="str">
            <v xml:space="preserve">GRAŻYNA </v>
          </cell>
          <cell r="E440">
            <v>1</v>
          </cell>
          <cell r="F440" t="str">
            <v>Inspektor II</v>
          </cell>
          <cell r="G440" t="str">
            <v>H</v>
          </cell>
          <cell r="H440">
            <v>2675</v>
          </cell>
        </row>
        <row r="441">
          <cell r="C441" t="str">
            <v>WASILEWSKA</v>
          </cell>
          <cell r="D441" t="str">
            <v xml:space="preserve">JOLANTA </v>
          </cell>
          <cell r="E441">
            <v>1</v>
          </cell>
          <cell r="F441" t="str">
            <v>Księgowy I</v>
          </cell>
          <cell r="G441" t="str">
            <v>G</v>
          </cell>
          <cell r="H441">
            <v>2555</v>
          </cell>
        </row>
        <row r="442">
          <cell r="C442" t="str">
            <v xml:space="preserve">WASILUK-HASSA </v>
          </cell>
          <cell r="D442" t="str">
            <v xml:space="preserve">MAGDALENA </v>
          </cell>
          <cell r="E442">
            <v>1</v>
          </cell>
          <cell r="F442" t="str">
            <v>Kierownik Obszaru Zadaniowego</v>
          </cell>
          <cell r="G442" t="str">
            <v>O</v>
          </cell>
          <cell r="H442">
            <v>7500</v>
          </cell>
        </row>
        <row r="443">
          <cell r="C443" t="str">
            <v>WASZCZUK</v>
          </cell>
          <cell r="D443" t="str">
            <v>ELŻBIETA</v>
          </cell>
          <cell r="E443">
            <v>1</v>
          </cell>
          <cell r="F443" t="str">
            <v>Ekonomista III</v>
          </cell>
          <cell r="G443" t="str">
            <v>M</v>
          </cell>
          <cell r="H443">
            <v>6100</v>
          </cell>
        </row>
        <row r="444">
          <cell r="C444" t="str">
            <v>WAWRZYSZCZUK</v>
          </cell>
          <cell r="D444" t="str">
            <v xml:space="preserve">MAREK </v>
          </cell>
          <cell r="E444">
            <v>1</v>
          </cell>
          <cell r="F444" t="str">
            <v>Analityk Systemowy III</v>
          </cell>
          <cell r="G444" t="str">
            <v>K</v>
          </cell>
          <cell r="H444">
            <v>4000</v>
          </cell>
        </row>
        <row r="445">
          <cell r="C445" t="str">
            <v>WDOWIARSKA</v>
          </cell>
          <cell r="D445" t="str">
            <v>ELŻBIETA</v>
          </cell>
          <cell r="E445">
            <v>1</v>
          </cell>
          <cell r="F445" t="str">
            <v>Redaktor II</v>
          </cell>
          <cell r="G445" t="str">
            <v>K</v>
          </cell>
          <cell r="H445">
            <v>3416</v>
          </cell>
        </row>
        <row r="446">
          <cell r="C446" t="str">
            <v xml:space="preserve">WEGNEROWSKA </v>
          </cell>
          <cell r="D446" t="str">
            <v>REGINA</v>
          </cell>
          <cell r="E446">
            <v>1</v>
          </cell>
          <cell r="F446" t="str">
            <v>Kierownik Działu Informacji i Promocji</v>
          </cell>
          <cell r="G446" t="str">
            <v>L</v>
          </cell>
          <cell r="H446">
            <v>5232</v>
          </cell>
        </row>
        <row r="447">
          <cell r="C447" t="str">
            <v>WĘGLIŃSKI M</v>
          </cell>
          <cell r="D447" t="str">
            <v>MIROSŁAW</v>
          </cell>
          <cell r="E447">
            <v>0.6</v>
          </cell>
          <cell r="F447" t="str">
            <v>Teleinformatyk I</v>
          </cell>
          <cell r="G447" t="str">
            <v>J</v>
          </cell>
          <cell r="H447">
            <v>2033</v>
          </cell>
        </row>
        <row r="448">
          <cell r="C448" t="str">
            <v xml:space="preserve">WICHOWSKI </v>
          </cell>
          <cell r="D448" t="str">
            <v xml:space="preserve">PIOTR </v>
          </cell>
          <cell r="E448">
            <v>1</v>
          </cell>
          <cell r="F448" t="str">
            <v>Inżynier Systemu II</v>
          </cell>
          <cell r="G448" t="str">
            <v>L</v>
          </cell>
          <cell r="H448">
            <v>4500</v>
          </cell>
        </row>
        <row r="449">
          <cell r="C449" t="str">
            <v xml:space="preserve">WIECZOREK </v>
          </cell>
          <cell r="D449" t="str">
            <v xml:space="preserve">JACEK </v>
          </cell>
          <cell r="E449">
            <v>1</v>
          </cell>
          <cell r="F449" t="str">
            <v>Ekonomista III</v>
          </cell>
          <cell r="G449" t="str">
            <v>M</v>
          </cell>
          <cell r="H449">
            <v>5450</v>
          </cell>
        </row>
        <row r="450">
          <cell r="C450" t="str">
            <v xml:space="preserve">WIĘCŁAWIK </v>
          </cell>
          <cell r="D450" t="str">
            <v>MARCIN</v>
          </cell>
          <cell r="E450">
            <v>1</v>
          </cell>
          <cell r="F450" t="str">
            <v>Inspektor Utrzymania Urządzeń I</v>
          </cell>
          <cell r="G450" t="str">
            <v>I</v>
          </cell>
          <cell r="H450">
            <v>2903</v>
          </cell>
        </row>
        <row r="451">
          <cell r="C451" t="str">
            <v xml:space="preserve">WINIARSKI </v>
          </cell>
          <cell r="D451" t="str">
            <v>LESŁAW</v>
          </cell>
          <cell r="E451">
            <v>1</v>
          </cell>
          <cell r="F451" t="str">
            <v>Kierownik Wydziału Eksploatacji</v>
          </cell>
          <cell r="G451" t="str">
            <v>N</v>
          </cell>
          <cell r="H451">
            <v>6628</v>
          </cell>
        </row>
        <row r="452">
          <cell r="C452" t="str">
            <v>WIŚNIEWSKA E</v>
          </cell>
          <cell r="D452" t="str">
            <v xml:space="preserve">EWA </v>
          </cell>
          <cell r="E452">
            <v>1</v>
          </cell>
          <cell r="F452" t="str">
            <v>Referent II</v>
          </cell>
          <cell r="G452" t="str">
            <v>C</v>
          </cell>
          <cell r="H452">
            <v>1686</v>
          </cell>
        </row>
        <row r="453">
          <cell r="C453" t="str">
            <v>WIŚNIEWSKA M</v>
          </cell>
          <cell r="D453" t="str">
            <v>MAŁGORZATA</v>
          </cell>
          <cell r="E453">
            <v>1</v>
          </cell>
          <cell r="F453" t="str">
            <v>Inspektor I</v>
          </cell>
          <cell r="G453" t="str">
            <v>F</v>
          </cell>
          <cell r="H453">
            <v>2278</v>
          </cell>
        </row>
        <row r="454">
          <cell r="C454" t="str">
            <v>WIŚNIEWSKI</v>
          </cell>
          <cell r="D454" t="str">
            <v xml:space="preserve">ARTUR </v>
          </cell>
          <cell r="E454">
            <v>1</v>
          </cell>
          <cell r="F454" t="str">
            <v>Teleinformatyk II</v>
          </cell>
          <cell r="G454" t="str">
            <v>K</v>
          </cell>
          <cell r="H454">
            <v>3977</v>
          </cell>
        </row>
        <row r="455">
          <cell r="C455" t="str">
            <v>WŁODARCZYK TAD</v>
          </cell>
          <cell r="D455" t="str">
            <v>TADEUSZ</v>
          </cell>
          <cell r="E455">
            <v>1</v>
          </cell>
          <cell r="F455" t="str">
            <v>Inspektor II</v>
          </cell>
          <cell r="G455" t="str">
            <v>H</v>
          </cell>
          <cell r="H455">
            <v>2650</v>
          </cell>
        </row>
        <row r="456">
          <cell r="C456" t="str">
            <v>WŁODARCZYK TOM</v>
          </cell>
          <cell r="D456" t="str">
            <v>TOMASZ</v>
          </cell>
          <cell r="E456">
            <v>1</v>
          </cell>
          <cell r="F456" t="str">
            <v>Kierownik Wydziału Obsługi Klienta</v>
          </cell>
          <cell r="G456" t="str">
            <v>N</v>
          </cell>
          <cell r="H456">
            <v>6500</v>
          </cell>
        </row>
        <row r="457">
          <cell r="C457" t="str">
            <v xml:space="preserve">WOJAS </v>
          </cell>
          <cell r="D457" t="str">
            <v>JAROSŁAW</v>
          </cell>
          <cell r="E457">
            <v>1</v>
          </cell>
          <cell r="F457" t="str">
            <v>Główny Dyspozytor Systemu KDM-DIR</v>
          </cell>
          <cell r="G457" t="str">
            <v>N</v>
          </cell>
          <cell r="H457">
            <v>6516</v>
          </cell>
        </row>
        <row r="458">
          <cell r="C458" t="str">
            <v xml:space="preserve">WOJCIECHOWSKI R </v>
          </cell>
          <cell r="D458" t="str">
            <v xml:space="preserve">RYSZARD </v>
          </cell>
          <cell r="E458">
            <v>1</v>
          </cell>
          <cell r="F458" t="str">
            <v>Pracownik Ochrony I</v>
          </cell>
          <cell r="G458" t="str">
            <v>C</v>
          </cell>
          <cell r="H458">
            <v>1699</v>
          </cell>
        </row>
        <row r="459">
          <cell r="C459" t="str">
            <v xml:space="preserve">WOJCIECHOWSKI G </v>
          </cell>
          <cell r="D459" t="str">
            <v>GRZEGORZ</v>
          </cell>
          <cell r="E459">
            <v>1</v>
          </cell>
          <cell r="F459" t="str">
            <v>Teleinformatyk II</v>
          </cell>
          <cell r="G459" t="str">
            <v>K</v>
          </cell>
          <cell r="H459">
            <v>3980</v>
          </cell>
        </row>
        <row r="460">
          <cell r="C460" t="str">
            <v>WOJCIECHOWSKI W</v>
          </cell>
          <cell r="D460" t="str">
            <v>WALDEMAR</v>
          </cell>
          <cell r="E460">
            <v>1</v>
          </cell>
          <cell r="F460" t="str">
            <v>Dyspozytor Systemu KDM-DIR</v>
          </cell>
          <cell r="G460" t="str">
            <v>M</v>
          </cell>
          <cell r="H460">
            <v>4300</v>
          </cell>
        </row>
        <row r="461">
          <cell r="C461" t="str">
            <v>WOJDAT</v>
          </cell>
          <cell r="D461" t="str">
            <v xml:space="preserve">BARBARA </v>
          </cell>
          <cell r="E461">
            <v>1</v>
          </cell>
          <cell r="F461" t="str">
            <v>Kier. Działu Finansowego</v>
          </cell>
          <cell r="G461" t="str">
            <v>M</v>
          </cell>
          <cell r="H461">
            <v>6221</v>
          </cell>
        </row>
        <row r="462">
          <cell r="C462" t="str">
            <v>WOJTASIK</v>
          </cell>
          <cell r="D462" t="str">
            <v>DOROTA</v>
          </cell>
          <cell r="E462">
            <v>1</v>
          </cell>
          <cell r="F462" t="str">
            <v>Inspektor I</v>
          </cell>
          <cell r="G462" t="str">
            <v>F</v>
          </cell>
          <cell r="H462">
            <v>2742</v>
          </cell>
        </row>
        <row r="463">
          <cell r="C463" t="str">
            <v>WOLAŃSKA</v>
          </cell>
          <cell r="D463" t="str">
            <v>MAŁGORZATA</v>
          </cell>
          <cell r="E463">
            <v>1</v>
          </cell>
          <cell r="F463" t="str">
            <v>Sekretarka II</v>
          </cell>
          <cell r="G463" t="str">
            <v>F</v>
          </cell>
          <cell r="H463">
            <v>2395</v>
          </cell>
        </row>
        <row r="464">
          <cell r="C464" t="str">
            <v xml:space="preserve">WOLFRAM-JAROSZYŃSKA </v>
          </cell>
          <cell r="D464" t="str">
            <v xml:space="preserve">JADWIGA </v>
          </cell>
          <cell r="E464">
            <v>1</v>
          </cell>
          <cell r="F464" t="str">
            <v>Sekretarka III</v>
          </cell>
          <cell r="G464" t="str">
            <v>G</v>
          </cell>
          <cell r="H464">
            <v>3500</v>
          </cell>
        </row>
        <row r="465">
          <cell r="C465" t="str">
            <v>WOŁOWSKA</v>
          </cell>
          <cell r="D465" t="str">
            <v>RENATA</v>
          </cell>
          <cell r="E465">
            <v>0.875</v>
          </cell>
          <cell r="F465" t="str">
            <v>Sekretarka II</v>
          </cell>
          <cell r="G465" t="str">
            <v>F</v>
          </cell>
          <cell r="H465">
            <v>1881</v>
          </cell>
        </row>
        <row r="466">
          <cell r="C466" t="str">
            <v xml:space="preserve">WOŹNIAK </v>
          </cell>
          <cell r="D466" t="str">
            <v xml:space="preserve">KAROL </v>
          </cell>
          <cell r="E466">
            <v>1</v>
          </cell>
          <cell r="F466" t="str">
            <v>Inspektor Techniczny</v>
          </cell>
          <cell r="G466" t="str">
            <v>H</v>
          </cell>
          <cell r="H466">
            <v>2791</v>
          </cell>
        </row>
        <row r="467">
          <cell r="C467" t="str">
            <v>WÓJCIK</v>
          </cell>
          <cell r="D467" t="str">
            <v>MAŁGORZATA</v>
          </cell>
          <cell r="E467">
            <v>1</v>
          </cell>
          <cell r="F467" t="str">
            <v>Analityk Marketingowy II</v>
          </cell>
          <cell r="G467" t="str">
            <v>L</v>
          </cell>
          <cell r="H467">
            <v>4280</v>
          </cell>
        </row>
        <row r="468">
          <cell r="C468" t="str">
            <v>WÓJTOWICZ M</v>
          </cell>
          <cell r="D468" t="str">
            <v>MARZENA</v>
          </cell>
          <cell r="E468">
            <v>1</v>
          </cell>
          <cell r="F468" t="str">
            <v>Sekretarka II</v>
          </cell>
          <cell r="G468" t="str">
            <v>F</v>
          </cell>
          <cell r="H468">
            <v>2150</v>
          </cell>
        </row>
        <row r="469">
          <cell r="C469" t="str">
            <v xml:space="preserve">WÓJTOWICZ J </v>
          </cell>
          <cell r="D469" t="str">
            <v>JERZY</v>
          </cell>
          <cell r="E469">
            <v>1</v>
          </cell>
          <cell r="F469" t="str">
            <v>Inżynier Systemu I</v>
          </cell>
          <cell r="G469" t="str">
            <v>K</v>
          </cell>
          <cell r="H469">
            <v>4150</v>
          </cell>
        </row>
        <row r="470">
          <cell r="C470" t="str">
            <v>WRONKO</v>
          </cell>
          <cell r="D470" t="str">
            <v>MACIEJ</v>
          </cell>
          <cell r="E470">
            <v>1</v>
          </cell>
          <cell r="F470" t="str">
            <v>Ekonomista III</v>
          </cell>
          <cell r="G470" t="str">
            <v>M</v>
          </cell>
          <cell r="H470">
            <v>6993</v>
          </cell>
        </row>
        <row r="471">
          <cell r="C471" t="str">
            <v>WRZESIŃSKI</v>
          </cell>
          <cell r="D471" t="str">
            <v>TADEUSZ</v>
          </cell>
          <cell r="E471">
            <v>1</v>
          </cell>
          <cell r="F471" t="str">
            <v>Dyrektora Zadania Inwestycyjnego</v>
          </cell>
          <cell r="G471" t="str">
            <v>N</v>
          </cell>
          <cell r="H471">
            <v>6500</v>
          </cell>
        </row>
        <row r="472">
          <cell r="C472" t="str">
            <v>WYSOKIŃSKI</v>
          </cell>
          <cell r="D472" t="str">
            <v xml:space="preserve">ANDRZEJ </v>
          </cell>
          <cell r="E472">
            <v>1</v>
          </cell>
          <cell r="F472" t="str">
            <v>Inżynier Systemu II</v>
          </cell>
          <cell r="G472" t="str">
            <v>L</v>
          </cell>
          <cell r="H472">
            <v>5232</v>
          </cell>
        </row>
        <row r="473">
          <cell r="C473" t="str">
            <v xml:space="preserve">WYSZOMIRSKA </v>
          </cell>
          <cell r="D473" t="str">
            <v xml:space="preserve">GRAŻYNA </v>
          </cell>
          <cell r="E473">
            <v>1</v>
          </cell>
          <cell r="F473" t="str">
            <v>Inspektor Utrzymania Urządzeń I</v>
          </cell>
          <cell r="G473" t="str">
            <v>I</v>
          </cell>
          <cell r="H473">
            <v>2750</v>
          </cell>
        </row>
        <row r="474">
          <cell r="C474" t="str">
            <v>ZABAWSKA</v>
          </cell>
          <cell r="D474" t="str">
            <v xml:space="preserve">EWA </v>
          </cell>
          <cell r="E474">
            <v>1</v>
          </cell>
          <cell r="F474" t="str">
            <v>Kierownik Wydz. Rozwoju Systemów Pomiarowo-Rozliczeniowych</v>
          </cell>
          <cell r="G474" t="str">
            <v>M</v>
          </cell>
          <cell r="H474">
            <v>6200</v>
          </cell>
        </row>
        <row r="475">
          <cell r="C475" t="str">
            <v xml:space="preserve">ZAJĘCKA </v>
          </cell>
          <cell r="D475" t="str">
            <v xml:space="preserve">HANNA </v>
          </cell>
          <cell r="E475">
            <v>1</v>
          </cell>
          <cell r="F475" t="str">
            <v>Księgowy IV</v>
          </cell>
          <cell r="G475" t="str">
            <v>L</v>
          </cell>
          <cell r="H475">
            <v>5581</v>
          </cell>
        </row>
        <row r="476">
          <cell r="C476" t="str">
            <v>ZALEWSKI</v>
          </cell>
          <cell r="D476" t="str">
            <v>MICHAŁ</v>
          </cell>
          <cell r="E476">
            <v>1</v>
          </cell>
          <cell r="F476" t="str">
            <v>Ekonomista I</v>
          </cell>
          <cell r="G476" t="str">
            <v>J</v>
          </cell>
          <cell r="H476">
            <v>2650</v>
          </cell>
        </row>
        <row r="477">
          <cell r="C477" t="str">
            <v>ZARĘBSKA</v>
          </cell>
          <cell r="D477" t="str">
            <v>LUCYNA</v>
          </cell>
          <cell r="E477">
            <v>1</v>
          </cell>
          <cell r="F477" t="str">
            <v>Teleinformatyk III</v>
          </cell>
          <cell r="G477" t="str">
            <v>L</v>
          </cell>
          <cell r="H477">
            <v>4585</v>
          </cell>
        </row>
        <row r="478">
          <cell r="C478" t="str">
            <v>ZIMMER</v>
          </cell>
          <cell r="D478" t="str">
            <v>STEFAN</v>
          </cell>
          <cell r="E478">
            <v>1</v>
          </cell>
          <cell r="F478" t="str">
            <v>Koordynator ds. Strategii Firmy I</v>
          </cell>
          <cell r="G478" t="str">
            <v>M</v>
          </cell>
          <cell r="H478">
            <v>5560</v>
          </cell>
        </row>
        <row r="479">
          <cell r="C479" t="str">
            <v>ZIÓŁKOWSKA</v>
          </cell>
          <cell r="D479" t="str">
            <v xml:space="preserve">MARLENA </v>
          </cell>
          <cell r="E479">
            <v>1</v>
          </cell>
          <cell r="F479" t="str">
            <v>Pracownik Księgowości II</v>
          </cell>
          <cell r="G479" t="str">
            <v>E</v>
          </cell>
          <cell r="H479">
            <v>2035</v>
          </cell>
        </row>
        <row r="480">
          <cell r="C480" t="str">
            <v>ZORSKI</v>
          </cell>
          <cell r="D480" t="str">
            <v>ZBIGNIEW</v>
          </cell>
          <cell r="E480">
            <v>1</v>
          </cell>
          <cell r="F480" t="str">
            <v>Inżynier Systemu II</v>
          </cell>
          <cell r="G480" t="str">
            <v>L</v>
          </cell>
          <cell r="H480">
            <v>4058</v>
          </cell>
        </row>
        <row r="481">
          <cell r="C481" t="str">
            <v>ZWĘGLIŃSKA</v>
          </cell>
          <cell r="D481" t="str">
            <v>IWONA</v>
          </cell>
          <cell r="E481">
            <v>1</v>
          </cell>
          <cell r="F481" t="str">
            <v>Sekretarka II</v>
          </cell>
          <cell r="G481" t="str">
            <v>F</v>
          </cell>
          <cell r="H481">
            <v>2204</v>
          </cell>
        </row>
        <row r="482">
          <cell r="C482" t="str">
            <v xml:space="preserve">ZWIĄZEK </v>
          </cell>
          <cell r="D482" t="str">
            <v>EMILIA</v>
          </cell>
          <cell r="E482">
            <v>1</v>
          </cell>
          <cell r="F482" t="str">
            <v>Finansista II</v>
          </cell>
          <cell r="G482" t="str">
            <v>L</v>
          </cell>
          <cell r="H482">
            <v>4350</v>
          </cell>
        </row>
        <row r="483">
          <cell r="C483" t="str">
            <v xml:space="preserve">ZWIERZCHOWSKI </v>
          </cell>
          <cell r="D483" t="str">
            <v>ARKADIUSZ</v>
          </cell>
          <cell r="E483">
            <v>1</v>
          </cell>
          <cell r="F483" t="str">
            <v>Handlowiec I</v>
          </cell>
          <cell r="G483" t="str">
            <v>E</v>
          </cell>
          <cell r="H483">
            <v>2300</v>
          </cell>
        </row>
        <row r="484">
          <cell r="C484" t="str">
            <v xml:space="preserve">ZWOLIŃSKI </v>
          </cell>
          <cell r="D484" t="str">
            <v xml:space="preserve">JACEK </v>
          </cell>
          <cell r="E484">
            <v>1</v>
          </cell>
          <cell r="F484" t="str">
            <v>Teleinformatyk IV</v>
          </cell>
          <cell r="G484" t="str">
            <v>M</v>
          </cell>
          <cell r="H484">
            <v>5350</v>
          </cell>
        </row>
        <row r="485">
          <cell r="C485" t="str">
            <v>ZYCH</v>
          </cell>
          <cell r="D485" t="str">
            <v>EDYTA</v>
          </cell>
          <cell r="E485">
            <v>1</v>
          </cell>
          <cell r="F485" t="str">
            <v>Sekretarka II</v>
          </cell>
          <cell r="G485" t="str">
            <v>F</v>
          </cell>
          <cell r="H485">
            <v>2150</v>
          </cell>
        </row>
        <row r="486">
          <cell r="C486" t="str">
            <v xml:space="preserve">Żółtowski </v>
          </cell>
          <cell r="D486" t="str">
            <v xml:space="preserve">KAZIMIERZ </v>
          </cell>
          <cell r="E486">
            <v>1</v>
          </cell>
          <cell r="F486" t="str">
            <v>GŁÓWNY SPECJALISTA BHP</v>
          </cell>
          <cell r="G486" t="str">
            <v>L</v>
          </cell>
          <cell r="H486">
            <v>5112</v>
          </cell>
        </row>
        <row r="487">
          <cell r="C487" t="str">
            <v>ŻÓRAWSKA</v>
          </cell>
          <cell r="D487" t="str">
            <v>GRAŻYNA</v>
          </cell>
          <cell r="E487">
            <v>1</v>
          </cell>
          <cell r="F487" t="str">
            <v>Kierownik Działu Spraw Pracowniczych</v>
          </cell>
          <cell r="G487" t="str">
            <v>N</v>
          </cell>
          <cell r="H487">
            <v>6770</v>
          </cell>
        </row>
        <row r="488">
          <cell r="C488" t="str">
            <v>ŻUKOWSKA</v>
          </cell>
          <cell r="D488" t="str">
            <v>CELINA</v>
          </cell>
          <cell r="E488">
            <v>1</v>
          </cell>
          <cell r="F488" t="str">
            <v>Ekonomista II</v>
          </cell>
          <cell r="G488" t="str">
            <v>L</v>
          </cell>
          <cell r="H488">
            <v>3950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iS, koszty rodz.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OMA"/>
      <sheetName val="OMA-EWSA"/>
      <sheetName val="var1"/>
      <sheetName val="var2"/>
      <sheetName val="idx"/>
      <sheetName val="varEW"/>
      <sheetName val="varSI"/>
      <sheetName val="varZE"/>
      <sheetName val="varKA"/>
      <sheetName val="varWO"/>
      <sheetName val="varPR"/>
      <sheetName val="EW_w02"/>
      <sheetName val="SI_w02"/>
      <sheetName val="ZE_w02"/>
      <sheetName val="PR_w02"/>
      <sheetName val="KA_w02"/>
      <sheetName val="WO_w02"/>
      <sheetName val="EW_w03"/>
      <sheetName val="SI_w03"/>
      <sheetName val="ZE_w03"/>
      <sheetName val="PR_w03"/>
      <sheetName val="KA_w03"/>
      <sheetName val="WO_w03"/>
      <sheetName val="EW_w04"/>
      <sheetName val="SI_w04"/>
      <sheetName val="ZE_w04"/>
      <sheetName val="KA_w04"/>
      <sheetName val="WO_w04"/>
      <sheetName val="pr_w04"/>
      <sheetName val="EW_w05"/>
      <sheetName val="SI_w05"/>
      <sheetName val="ZE_w05"/>
      <sheetName val="KA_w05"/>
      <sheetName val="WO_w05"/>
      <sheetName val="pr_w05"/>
      <sheetName val="__bp4__"/>
      <sheetName val="EW_bp4"/>
      <sheetName val="SI_bp4"/>
      <sheetName val="ZE_bp4"/>
      <sheetName val="KA_bp4"/>
      <sheetName val="WO_bp4"/>
      <sheetName val="PR_bp4"/>
      <sheetName val="EW_bp5"/>
      <sheetName val="SI_bp5"/>
      <sheetName val="ZE_bp5"/>
      <sheetName val="KA_bp5"/>
      <sheetName val="WO_bp5"/>
      <sheetName val="PR_bp5"/>
      <sheetName val="EW_bp6"/>
      <sheetName val="SI_bp6"/>
      <sheetName val="ZE_bp6"/>
      <sheetName val="KA_bp6"/>
      <sheetName val="WO_bp6"/>
      <sheetName val="PR_bp6"/>
      <sheetName val="EW_bp7"/>
      <sheetName val="SI_bp7"/>
      <sheetName val="ZE_bp7"/>
      <sheetName val="KA_bp7"/>
      <sheetName val="WO_bp7"/>
      <sheetName val="PR_bp7"/>
      <sheetName val="EW_b5"/>
      <sheetName val="SI_b5"/>
      <sheetName val="ZE_b5"/>
      <sheetName val="KA_b5"/>
      <sheetName val="WO_b5"/>
      <sheetName val="pr_b5"/>
      <sheetName val="EW_p5_3"/>
      <sheetName val="SI_p5_3"/>
      <sheetName val="ZE_p5_3"/>
      <sheetName val="KA_p5_3"/>
      <sheetName val="WO_p5_3"/>
      <sheetName val="pr_p5_3"/>
      <sheetName val="EW_p5_4"/>
      <sheetName val="SI_p5_4"/>
      <sheetName val="ZE_p5_4"/>
      <sheetName val="KA_p5_4"/>
      <sheetName val="WO_p5_4"/>
      <sheetName val="pr_p5_4"/>
      <sheetName val="EW_p5_5"/>
      <sheetName val="SI_p5_5"/>
      <sheetName val="ZE_p5_5"/>
      <sheetName val="KA_p5_5"/>
      <sheetName val="WO_p5_5"/>
      <sheetName val="pr_p5_5"/>
      <sheetName val="EW_p5_6"/>
      <sheetName val="SI_p5_6"/>
      <sheetName val="ZE_p5_6"/>
      <sheetName val="KA_p5_6"/>
      <sheetName val="WO_p5_6"/>
      <sheetName val="pr_p5_6"/>
      <sheetName val="EW_p5_33"/>
      <sheetName val="SI_p5_33"/>
      <sheetName val="ZE_p5_33"/>
      <sheetName val="KA_p5_33"/>
      <sheetName val="WO_p5_33"/>
      <sheetName val="pr_p5_33"/>
      <sheetName val="Jedn.k.zmienne"/>
      <sheetName val="Wskaźniki produkcyjne"/>
      <sheetName val="Prod. i sprzed. - tech."/>
      <sheetName val="Prod. i sprzed. - ekonom."/>
      <sheetName val="Prod. i sprzed. - łączny"/>
      <sheetName val="Marże"/>
      <sheetName val="Odchylenia"/>
      <sheetName val="Sprzedaż-lata pop."/>
      <sheetName val="Prognoza marży miesiąca"/>
      <sheetName val="Paliwo2"/>
      <sheetName val="Arkusz1"/>
      <sheetName val="WK"/>
      <sheetName val="WK-wsk.jedn."/>
      <sheetName val="WK-prod.,paliwa"/>
      <sheetName val="Arkusz2"/>
      <sheetName val="EW_p5_7"/>
      <sheetName val="SI_p5_7"/>
      <sheetName val="ZE_p5_7"/>
      <sheetName val="KA_p5_7"/>
      <sheetName val="WO_p5_7"/>
      <sheetName val="pr_p5_7"/>
      <sheetName val="EW_p5_8"/>
      <sheetName val="SI_p5_8"/>
      <sheetName val="ZE_p5_8"/>
      <sheetName val="KA_p5_8"/>
      <sheetName val="WO_p5_8"/>
      <sheetName val="pr_p5_8"/>
      <sheetName val="listy"/>
      <sheetName val="KONS"/>
      <sheetName val="Do_OMA"/>
      <sheetName val="Jedn_k_zmienne"/>
      <sheetName val="Wskaźniki_produkcyjne"/>
      <sheetName val="Prod__i_sprzed__-_tech_"/>
      <sheetName val="Prod__i_sprzed__-_ekonom_"/>
      <sheetName val="Prod__i_sprzed__-_łączny"/>
      <sheetName val="Sprzedaż-lata_pop_"/>
      <sheetName val="Prognoza_marży_miesiąca"/>
      <sheetName val="WK-wsk_jedn_"/>
      <sheetName val="WK-prod_,paliwa"/>
      <sheetName val="Analizy_2005_01"/>
      <sheetName val="Do_OMA1"/>
      <sheetName val="Jedn_k_zmienne1"/>
      <sheetName val="Wskaźniki_produkcyjne1"/>
      <sheetName val="Prod__i_sprzed__-_tech_1"/>
      <sheetName val="Prod__i_sprzed__-_ekonom_1"/>
      <sheetName val="Prod__i_sprzed__-_łączny1"/>
      <sheetName val="Sprzedaż-lata_pop_1"/>
      <sheetName val="Prognoza_marży_miesiąca1"/>
      <sheetName val="WK-wsk_jedn_1"/>
      <sheetName val="WK-prod_,paliwa1"/>
      <sheetName val="Do_OMA3"/>
      <sheetName val="Jedn_k_zmienne2"/>
      <sheetName val="Wskaźniki_produkcyjne2"/>
      <sheetName val="Prod__i_sprzed__-_tech_2"/>
      <sheetName val="Prod__i_sprzed__-_ekonom_2"/>
      <sheetName val="Prod__i_sprzed__-_łączny2"/>
      <sheetName val="Sprzedaż-lata_pop_2"/>
      <sheetName val="Prognoza_marży_miesiąca2"/>
      <sheetName val="WK-wsk_jedn_2"/>
      <sheetName val="WK-prod_,paliwa2"/>
      <sheetName val="Do_OMA2"/>
      <sheetName val="Do_OMA4"/>
      <sheetName val="Jedn_k_zmienne3"/>
      <sheetName val="Wskaźniki_produkcyjne3"/>
      <sheetName val="Prod__i_sprzed__-_tech_3"/>
      <sheetName val="Prod__i_sprzed__-_ekonom_3"/>
      <sheetName val="Prod__i_sprzed__-_łączny3"/>
      <sheetName val="Sprzedaż-lata_pop_3"/>
      <sheetName val="Prognoza_marży_miesiąca3"/>
      <sheetName val="WK-wsk_jedn_3"/>
      <sheetName val="WK-prod_,paliwa3"/>
      <sheetName val="SAP_FC"/>
      <sheetName val="Do_OMA5"/>
      <sheetName val="Jedn_k_zmienne4"/>
      <sheetName val="Wskaźniki_produkcyjne4"/>
      <sheetName val="Prod__i_sprzed__-_tech_4"/>
      <sheetName val="Prod__i_sprzed__-_ekonom_4"/>
      <sheetName val="Prod__i_sprzed__-_łączny4"/>
      <sheetName val="Sprzedaż-lata_pop_4"/>
      <sheetName val="Prognoza_marży_miesiąca4"/>
      <sheetName val="WK-wsk_jedn_4"/>
      <sheetName val="WK-prod_,paliwa4"/>
      <sheetName val="Do_OMA6"/>
      <sheetName val="Jedn_k_zmienne5"/>
      <sheetName val="Wskaźniki_produkcyjne5"/>
      <sheetName val="Prod__i_sprzed__-_tech_5"/>
      <sheetName val="Prod__i_sprzed__-_ekonom_5"/>
      <sheetName val="Prod__i_sprzed__-_łączny5"/>
      <sheetName val="Sprzedaż-lata_pop_5"/>
      <sheetName val="Prognoza_marży_miesiąca5"/>
      <sheetName val="WK-wsk_jedn_5"/>
      <sheetName val="WK-prod_,paliwa5"/>
      <sheetName val="Do_OMA7"/>
      <sheetName val="Jedn_k_zmienne6"/>
      <sheetName val="Wskaźniki_produkcyjne6"/>
      <sheetName val="Prod__i_sprzed__-_tech_6"/>
      <sheetName val="Prod__i_sprzed__-_ekonom_6"/>
      <sheetName val="Prod__i_sprzed__-_łączny6"/>
      <sheetName val="Sprzedaż-lata_pop_6"/>
      <sheetName val="Prognoza_marży_miesiąca6"/>
      <sheetName val="WK-wsk_jedn_6"/>
      <sheetName val="WK-prod_,paliwa6"/>
      <sheetName val="Do_OMA8"/>
      <sheetName val="Jedn_k_zmienne7"/>
      <sheetName val="Wskaźniki_produkcyjne7"/>
      <sheetName val="Prod__i_sprzed__-_tech_7"/>
      <sheetName val="Prod__i_sprzed__-_ekonom_7"/>
      <sheetName val="Prod__i_sprzed__-_łączny7"/>
      <sheetName val="Sprzedaż-lata_pop_7"/>
      <sheetName val="Prognoza_marży_miesiąca7"/>
      <sheetName val="WK-wsk_jedn_7"/>
      <sheetName val="WK-prod_,paliwa7"/>
      <sheetName val="Słowniki"/>
      <sheetName val="cbt 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J2">
            <v>6</v>
          </cell>
        </row>
        <row r="3">
          <cell r="K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Arkusz2"/>
      <sheetName val="Arkusz3"/>
      <sheetName val="SI_w05"/>
      <sheetName val="ZE_w05"/>
      <sheetName val="KA_w05"/>
      <sheetName val="idx"/>
      <sheetName val="Do OMA"/>
      <sheetName val="OMA-EWSA"/>
      <sheetName val="var1"/>
      <sheetName val="var2"/>
      <sheetName val="varEW"/>
      <sheetName val="varSI"/>
      <sheetName val="varZE"/>
      <sheetName val="varKA"/>
      <sheetName val="varWO"/>
      <sheetName val="varPR"/>
      <sheetName val="EW_bp6"/>
      <sheetName val="SI_bp6"/>
      <sheetName val="ZE_bp6"/>
      <sheetName val="KA_bp6"/>
      <sheetName val="WO_bp6"/>
      <sheetName val="PR_bp6"/>
      <sheetName val="EW_b6"/>
      <sheetName val="EW(bezPR)_b6"/>
      <sheetName val="SI_b6"/>
      <sheetName val="ZE_b6"/>
      <sheetName val="KA_b6"/>
      <sheetName val="WO_b6"/>
      <sheetName val="PR_b6"/>
      <sheetName val="EW_w06"/>
      <sheetName val="EW(bezPR)_w06"/>
      <sheetName val="SI_w06"/>
      <sheetName val="ZE_w06"/>
      <sheetName val="KA_w06"/>
      <sheetName val="WO_w06"/>
      <sheetName val="PR_w06"/>
      <sheetName val="EW_w02"/>
      <sheetName val="SI_w02"/>
      <sheetName val="ZE_w02"/>
      <sheetName val="PR_w02"/>
      <sheetName val="KA_w02"/>
      <sheetName val="WO_w02"/>
      <sheetName val="EW_w03"/>
      <sheetName val="SI_w03"/>
      <sheetName val="ZE_w03"/>
      <sheetName val="PR_w03"/>
      <sheetName val="KA_w03"/>
      <sheetName val="WO_w03"/>
      <sheetName val="EW_w04"/>
      <sheetName val="SI_w04"/>
      <sheetName val="ZE_w04"/>
      <sheetName val="KA_w04"/>
      <sheetName val="WO_w04"/>
      <sheetName val="pr_w04"/>
      <sheetName val="EW_w05"/>
      <sheetName val="EW(bezPR)_w05"/>
      <sheetName val="WO_w05"/>
      <sheetName val="pr_w05"/>
      <sheetName val="EW_bp5"/>
      <sheetName val="SI_bp5"/>
      <sheetName val="ZE_bp5"/>
      <sheetName val="KA_bp5"/>
      <sheetName val="WO_bp5"/>
      <sheetName val="PR_bp5"/>
      <sheetName val="EW_b5"/>
      <sheetName val="SI_b5"/>
      <sheetName val="ZE_b5"/>
      <sheetName val="KA_b5"/>
      <sheetName val="WO_b5"/>
      <sheetName val="pr_b5"/>
      <sheetName val="EW_b5_kor"/>
      <sheetName val="SI_b5_kor"/>
      <sheetName val="ZE_b5_kor"/>
      <sheetName val="KA_b5_kor"/>
      <sheetName val="WO_b5_kor"/>
      <sheetName val="pr_b5_kor"/>
      <sheetName val="EW_p5_9_2"/>
      <sheetName val="SI_p5_9_2"/>
      <sheetName val="ZE_p5_9_2"/>
      <sheetName val="KA_p5_9_2"/>
      <sheetName val="WO_p5_9_2"/>
      <sheetName val="pr_p5_9_2"/>
      <sheetName val="EW_p5_11"/>
      <sheetName val="SI_p5_11"/>
      <sheetName val="ZE_p5_11"/>
      <sheetName val="KA_p5_11"/>
      <sheetName val="WO_p5_11"/>
      <sheetName val="pr_p5_11"/>
      <sheetName val="EW_p5_12"/>
      <sheetName val="SI_p5_12"/>
      <sheetName val="ZE_p5_12"/>
      <sheetName val="KA_p5_12"/>
      <sheetName val="WO_p5_12"/>
      <sheetName val="pr_p5_12"/>
      <sheetName val="Jedn.k.zmienne"/>
      <sheetName val="Wskaźniki produkcyjne"/>
      <sheetName val="Prod. i sprzed. - tech."/>
      <sheetName val="Prod. i sprzed. - ekonom."/>
      <sheetName val="Prod. i sprzed. - łączny"/>
      <sheetName val="Marże"/>
      <sheetName val="Odchylenia"/>
      <sheetName val="Sprzedaż-lata pop."/>
      <sheetName val="Prognoza marży miesiąca"/>
      <sheetName val="Paliwo2"/>
      <sheetName val="WK"/>
      <sheetName val="WK-wsk.jedn."/>
      <sheetName val="WK-prod.,paliwa"/>
      <sheetName val="Do_OMA"/>
      <sheetName val="Jedn_k_zmienne"/>
      <sheetName val="Wskaźniki_produkcyjne"/>
      <sheetName val="Prod__i_sprzed__-_tech_"/>
      <sheetName val="Prod__i_sprzed__-_ekonom_"/>
      <sheetName val="Prod__i_sprzed__-_łączny"/>
      <sheetName val="Sprzedaż-lata_pop_"/>
      <sheetName val="Prognoza_marży_miesiąca"/>
      <sheetName val="WK-wsk_jedn_"/>
      <sheetName val="WK-prod_,paliwa"/>
      <sheetName val="OBR01"/>
      <sheetName val="DATA2002"/>
      <sheetName val="Do_OMA1"/>
      <sheetName val="Jedn_k_zmienne1"/>
      <sheetName val="Wskaźniki_produkcyjne1"/>
      <sheetName val="Prod__i_sprzed__-_tech_1"/>
      <sheetName val="Prod__i_sprzed__-_ekonom_1"/>
      <sheetName val="Prod__i_sprzed__-_łączny1"/>
      <sheetName val="Sprzedaż-lata_pop_1"/>
      <sheetName val="Prognoza_marży_miesiąca1"/>
      <sheetName val="WK-wsk_jedn_1"/>
      <sheetName val="WK-prod_,paliwa1"/>
      <sheetName val="Do_OMA2"/>
      <sheetName val="Do_OMA3"/>
      <sheetName val="Jedn_k_zmienne2"/>
      <sheetName val="Wskaźniki_produkcyjne2"/>
      <sheetName val="Prod__i_sprzed__-_tech_2"/>
      <sheetName val="Prod__i_sprzed__-_ekonom_2"/>
      <sheetName val="Prod__i_sprzed__-_łączny2"/>
      <sheetName val="Sprzedaż-lata_pop_2"/>
      <sheetName val="Prognoza_marży_miesiąca2"/>
      <sheetName val="WK-wsk_jedn_2"/>
      <sheetName val="WK-prod_,paliwa2"/>
      <sheetName val="INNE"/>
      <sheetName val="Do_OMA4"/>
      <sheetName val="Jedn_k_zmienne3"/>
      <sheetName val="Wskaźniki_produkcyjne3"/>
      <sheetName val="Prod__i_sprzed__-_tech_3"/>
      <sheetName val="Prod__i_sprzed__-_ekonom_3"/>
      <sheetName val="Prod__i_sprzed__-_łączny3"/>
      <sheetName val="Sprzedaż-lata_pop_3"/>
      <sheetName val="Prognoza_marży_miesiąca3"/>
      <sheetName val="WK-wsk_jedn_3"/>
      <sheetName val="WK-prod_,paliwa3"/>
      <sheetName val="Stopień wykonania"/>
      <sheetName val="Do_OMA5"/>
      <sheetName val="Jedn_k_zmienne4"/>
      <sheetName val="Wskaźniki_produkcyjne4"/>
      <sheetName val="Prod__i_sprzed__-_tech_4"/>
      <sheetName val="Prod__i_sprzed__-_ekonom_4"/>
      <sheetName val="Prod__i_sprzed__-_łączny4"/>
      <sheetName val="Sprzedaż-lata_pop_4"/>
      <sheetName val="Prognoza_marży_miesiąca4"/>
      <sheetName val="WK-wsk_jedn_4"/>
      <sheetName val="WK-prod_,paliwa4"/>
      <sheetName val="Stopień_wykonania"/>
      <sheetName val="Do_OMA6"/>
      <sheetName val="Jedn_k_zmienne5"/>
      <sheetName val="Wskaźniki_produkcyjne5"/>
      <sheetName val="Prod__i_sprzed__-_tech_5"/>
      <sheetName val="Prod__i_sprzed__-_ekonom_5"/>
      <sheetName val="Prod__i_sprzed__-_łączny5"/>
      <sheetName val="Sprzedaż-lata_pop_5"/>
      <sheetName val="Prognoza_marży_miesiąca5"/>
      <sheetName val="WK-wsk_jedn_5"/>
      <sheetName val="WK-prod_,paliwa5"/>
      <sheetName val="Stopień_wykonania1"/>
      <sheetName val="Do_OMA7"/>
      <sheetName val="Jedn_k_zmienne6"/>
      <sheetName val="Wskaźniki_produkcyjne6"/>
      <sheetName val="Prod__i_sprzed__-_tech_6"/>
      <sheetName val="Prod__i_sprzed__-_ekonom_6"/>
      <sheetName val="Prod__i_sprzed__-_łączny6"/>
      <sheetName val="Sprzedaż-lata_pop_6"/>
      <sheetName val="Prognoza_marży_miesiąca6"/>
      <sheetName val="WK-wsk_jedn_6"/>
      <sheetName val="WK-prod_,paliwa6"/>
      <sheetName val="Stopień_wykonania2"/>
      <sheetName val="Do_OMA8"/>
      <sheetName val="Jedn_k_zmienne7"/>
      <sheetName val="Wskaźniki_produkcyjne7"/>
      <sheetName val="Prod__i_sprzed__-_tech_7"/>
      <sheetName val="Prod__i_sprzed__-_ekonom_7"/>
      <sheetName val="Prod__i_sprzed__-_łączny7"/>
      <sheetName val="Sprzedaż-lata_pop_7"/>
      <sheetName val="Prognoza_marży_miesiąca7"/>
      <sheetName val="WK-wsk_jedn_7"/>
      <sheetName val="WK-prod_,paliwa7"/>
      <sheetName val="Stopień_wykonania3"/>
      <sheetName val="Kontakty"/>
      <sheetName val=""/>
      <sheetName val="harmonog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"/>
      <sheetName val="OBR01"/>
      <sheetName val="OBR02"/>
      <sheetName val="Spr01"/>
      <sheetName val="DEF_TAX"/>
      <sheetName val="Aktywa"/>
      <sheetName val="Pasywa"/>
      <sheetName val="RZiS"/>
      <sheetName val="CF"/>
      <sheetName val="Kap"/>
      <sheetName val="DATA2002"/>
      <sheetName val="Items 4,5,6"/>
      <sheetName val="Nota1.1"/>
      <sheetName val="Nota1.5 1.7"/>
      <sheetName val="Nota1.8 1.9"/>
      <sheetName val="Nota1.10"/>
      <sheetName val="Nota 1.11 1.12"/>
      <sheetName val="Nota2.1 2.3"/>
      <sheetName val="INC_TAX"/>
      <sheetName val="Nota2.5"/>
      <sheetName val="Nota 4.1"/>
      <sheetName val="Nota 6.1"/>
      <sheetName val="ATC Working paper 2002"/>
      <sheetName val="Items_4,5,6"/>
      <sheetName val="Nota1_1"/>
      <sheetName val="Nota1_5_1_7"/>
      <sheetName val="Nota1_8_1_9"/>
      <sheetName val="Nota1_10"/>
      <sheetName val="Nota_1_11_1_12"/>
      <sheetName val="Nota2_1_2_3"/>
      <sheetName val="Nota2_5"/>
      <sheetName val="Nota_4_1"/>
      <sheetName val="Nota_6_1"/>
      <sheetName val="ATC_Working_paper_2002"/>
      <sheetName val="Items_4,5,61"/>
      <sheetName val="Nota1_11"/>
      <sheetName val="Nota1_5_1_71"/>
      <sheetName val="Nota1_8_1_91"/>
      <sheetName val="Nota1_101"/>
      <sheetName val="Nota_1_11_1_121"/>
      <sheetName val="Nota2_1_2_31"/>
      <sheetName val="Nota2_51"/>
      <sheetName val="Nota_4_11"/>
      <sheetName val="Nota_6_11"/>
      <sheetName val="ATC_Working_paper_20021"/>
      <sheetName val="ZE_w05"/>
      <sheetName val="DBIL"/>
      <sheetName val="DRZIS"/>
      <sheetName val="KOSZTY"/>
      <sheetName val="DROZR"/>
      <sheetName val="F-1, F-2, F-3 (YE2012)"/>
      <sheetName val="Items_4,5,62"/>
      <sheetName val="Nota1_12"/>
      <sheetName val="Nota1_5_1_72"/>
      <sheetName val="Nota1_8_1_92"/>
      <sheetName val="Nota1_102"/>
      <sheetName val="Nota_1_11_1_122"/>
      <sheetName val="Nota2_1_2_32"/>
      <sheetName val="Nota2_52"/>
      <sheetName val="Nota_4_12"/>
      <sheetName val="Nota_6_12"/>
      <sheetName val="ATC_Working_paper_20022"/>
      <sheetName val="F-1,_F-2,_F-3_(YE2012)"/>
      <sheetName val="lista"/>
      <sheetName val="Items_4,5,63"/>
      <sheetName val="Nota1_13"/>
      <sheetName val="Nota1_5_1_73"/>
      <sheetName val="Nota1_8_1_93"/>
      <sheetName val="Nota1_103"/>
      <sheetName val="Nota_1_11_1_123"/>
      <sheetName val="Nota2_1_2_33"/>
      <sheetName val="Nota2_53"/>
      <sheetName val="Nota_4_13"/>
      <sheetName val="Nota_6_13"/>
      <sheetName val="ATC_Working_paper_20023"/>
      <sheetName val="F-1,_F-2,_F-3_(YE2012)1"/>
      <sheetName val="Items_4,5,64"/>
      <sheetName val="Nota1_14"/>
      <sheetName val="Nota1_5_1_74"/>
      <sheetName val="Nota1_8_1_94"/>
      <sheetName val="Nota1_104"/>
      <sheetName val="Nota_1_11_1_124"/>
      <sheetName val="Nota2_1_2_34"/>
      <sheetName val="Nota2_54"/>
      <sheetName val="Nota_4_14"/>
      <sheetName val="Nota_6_14"/>
      <sheetName val="ATC_Working_paper_20024"/>
      <sheetName val="F-1,_F-2,_F-3_(YE2012)2"/>
      <sheetName val="Items_4,5,65"/>
      <sheetName val="Nota1_15"/>
      <sheetName val="Nota1_5_1_75"/>
      <sheetName val="Nota1_8_1_95"/>
      <sheetName val="Nota1_105"/>
      <sheetName val="Nota_1_11_1_125"/>
      <sheetName val="Nota2_1_2_35"/>
      <sheetName val="Nota2_55"/>
      <sheetName val="Nota_4_15"/>
      <sheetName val="Nota_6_15"/>
      <sheetName val="ATC_Working_paper_20025"/>
      <sheetName val="F-1,_F-2,_F-3_(YE2012)3"/>
      <sheetName val="Items_4,5,66"/>
      <sheetName val="Nota1_16"/>
      <sheetName val="Nota1_5_1_76"/>
      <sheetName val="Nota1_8_1_96"/>
      <sheetName val="Nota1_106"/>
      <sheetName val="Nota_1_11_1_126"/>
      <sheetName val="Nota2_1_2_36"/>
      <sheetName val="Nota2_56"/>
      <sheetName val="Nota_4_16"/>
      <sheetName val="Nota_6_16"/>
      <sheetName val="ATC_Working_paper_20026"/>
      <sheetName val="F-1,_F-2,_F-3_(YE2012)4"/>
      <sheetName val="Items_4,5,67"/>
      <sheetName val="Nota1_17"/>
      <sheetName val="Nota1_5_1_77"/>
      <sheetName val="Nota1_8_1_97"/>
      <sheetName val="Nota1_107"/>
      <sheetName val="Nota_1_11_1_127"/>
      <sheetName val="Nota2_1_2_37"/>
      <sheetName val="Nota2_57"/>
      <sheetName val="Nota_4_17"/>
      <sheetName val="Nota_6_17"/>
      <sheetName val="ATC_Working_paper_20027"/>
      <sheetName val="F-1,_F-2,_F-3_(YE2012)5"/>
      <sheetName val="wykonanie_2009"/>
      <sheetName val="Arkusz2"/>
    </sheetNames>
    <sheetDataSet>
      <sheetData sheetId="0" refreshError="1">
        <row r="2">
          <cell r="D2">
            <v>13041.67</v>
          </cell>
        </row>
      </sheetData>
      <sheetData sheetId="1" refreshError="1">
        <row r="25">
          <cell r="S25">
            <v>21396466.93</v>
          </cell>
        </row>
        <row r="26">
          <cell r="S26">
            <v>50305.01</v>
          </cell>
        </row>
        <row r="27">
          <cell r="S27">
            <v>9622.4699999999993</v>
          </cell>
        </row>
        <row r="43">
          <cell r="S43">
            <v>394300.34</v>
          </cell>
        </row>
        <row r="48">
          <cell r="S48">
            <v>5671.71</v>
          </cell>
        </row>
        <row r="50">
          <cell r="S50">
            <v>21345.48</v>
          </cell>
        </row>
        <row r="52">
          <cell r="S52">
            <v>0</v>
          </cell>
        </row>
        <row r="55">
          <cell r="S55">
            <v>903858.12</v>
          </cell>
        </row>
        <row r="80">
          <cell r="Q80">
            <v>14329473.789999999</v>
          </cell>
        </row>
        <row r="89">
          <cell r="Q89">
            <v>749986.11</v>
          </cell>
        </row>
        <row r="93">
          <cell r="Q93">
            <v>104.49</v>
          </cell>
        </row>
        <row r="94">
          <cell r="Q94">
            <v>0</v>
          </cell>
        </row>
        <row r="95">
          <cell r="Q95">
            <v>735.91</v>
          </cell>
        </row>
        <row r="96">
          <cell r="Q96">
            <v>63388.73</v>
          </cell>
        </row>
        <row r="102">
          <cell r="Q102">
            <v>515772.54</v>
          </cell>
        </row>
        <row r="105">
          <cell r="Q105">
            <v>10270.1</v>
          </cell>
        </row>
        <row r="110">
          <cell r="Q110">
            <v>134047.22</v>
          </cell>
        </row>
        <row r="111">
          <cell r="Q111">
            <v>55522.23</v>
          </cell>
        </row>
        <row r="117">
          <cell r="Q117">
            <v>21434.5</v>
          </cell>
        </row>
        <row r="118">
          <cell r="Q118">
            <v>181428.42</v>
          </cell>
        </row>
        <row r="134">
          <cell r="Q134">
            <v>743529.23</v>
          </cell>
        </row>
        <row r="140">
          <cell r="Q140">
            <v>2180388.52</v>
          </cell>
        </row>
        <row r="143">
          <cell r="Q143">
            <v>311926.46000000002</v>
          </cell>
        </row>
        <row r="147">
          <cell r="Q147">
            <v>191989.18</v>
          </cell>
        </row>
        <row r="151">
          <cell r="Q151">
            <v>141881.51</v>
          </cell>
        </row>
        <row r="154">
          <cell r="Q154">
            <v>40145.21</v>
          </cell>
        </row>
        <row r="163">
          <cell r="Q163">
            <v>80667.83</v>
          </cell>
        </row>
        <row r="166">
          <cell r="Q166">
            <v>228722.13</v>
          </cell>
        </row>
        <row r="174">
          <cell r="Q174">
            <v>113093.9</v>
          </cell>
        </row>
        <row r="177">
          <cell r="Q177">
            <v>99968.97</v>
          </cell>
          <cell r="S177">
            <v>0</v>
          </cell>
        </row>
        <row r="181">
          <cell r="Q181">
            <v>39487.47</v>
          </cell>
        </row>
        <row r="200">
          <cell r="Q200">
            <v>832905.89</v>
          </cell>
        </row>
        <row r="222">
          <cell r="Q222">
            <v>125581.33</v>
          </cell>
        </row>
        <row r="226">
          <cell r="Q226">
            <v>344420.64</v>
          </cell>
        </row>
        <row r="231">
          <cell r="Q231">
            <v>2876.41</v>
          </cell>
        </row>
        <row r="238">
          <cell r="Q238">
            <v>18581.21</v>
          </cell>
        </row>
        <row r="239">
          <cell r="Q239">
            <v>72000</v>
          </cell>
        </row>
        <row r="244">
          <cell r="Q244">
            <v>2095146.37</v>
          </cell>
        </row>
        <row r="249">
          <cell r="Q249">
            <v>81571.240000000005</v>
          </cell>
        </row>
        <row r="252">
          <cell r="Q252">
            <v>65640.88</v>
          </cell>
        </row>
        <row r="257">
          <cell r="Q257">
            <v>54311.01</v>
          </cell>
        </row>
        <row r="260">
          <cell r="Q260">
            <v>252435.39</v>
          </cell>
        </row>
        <row r="271">
          <cell r="Q271">
            <v>47607.15</v>
          </cell>
        </row>
        <row r="274">
          <cell r="Q274">
            <v>189082.73</v>
          </cell>
        </row>
        <row r="281">
          <cell r="Q281">
            <v>6616398.1299999999</v>
          </cell>
        </row>
        <row r="286">
          <cell r="Q286">
            <v>1031.49</v>
          </cell>
        </row>
        <row r="287">
          <cell r="Q287">
            <v>816766.55</v>
          </cell>
        </row>
        <row r="288">
          <cell r="S288">
            <v>11283.54</v>
          </cell>
        </row>
        <row r="300">
          <cell r="Q300">
            <v>7889135.0700000003</v>
          </cell>
        </row>
        <row r="311">
          <cell r="Q311">
            <v>5563.34</v>
          </cell>
          <cell r="S311">
            <v>0</v>
          </cell>
        </row>
        <row r="334">
          <cell r="Q334">
            <v>473556.84</v>
          </cell>
        </row>
        <row r="339">
          <cell r="Q339">
            <v>31121.63</v>
          </cell>
        </row>
        <row r="342">
          <cell r="S342">
            <v>35000</v>
          </cell>
        </row>
        <row r="344">
          <cell r="S344">
            <v>2730270.65</v>
          </cell>
        </row>
        <row r="345">
          <cell r="S345">
            <v>28855.5</v>
          </cell>
        </row>
        <row r="347">
          <cell r="S347">
            <v>12466.69</v>
          </cell>
        </row>
        <row r="349">
          <cell r="Q349">
            <v>8652</v>
          </cell>
        </row>
        <row r="351">
          <cell r="Q351">
            <v>594019</v>
          </cell>
        </row>
        <row r="364">
          <cell r="S364">
            <v>1577450.35</v>
          </cell>
        </row>
        <row r="372">
          <cell r="S372">
            <v>688158.55</v>
          </cell>
        </row>
        <row r="398">
          <cell r="S398">
            <v>11997860.59</v>
          </cell>
        </row>
        <row r="401">
          <cell r="Q401">
            <v>0</v>
          </cell>
          <cell r="S401">
            <v>30254.6</v>
          </cell>
        </row>
        <row r="406">
          <cell r="Q406">
            <v>1878.44</v>
          </cell>
        </row>
        <row r="411">
          <cell r="Q411">
            <v>0</v>
          </cell>
          <cell r="S411">
            <v>45679.15</v>
          </cell>
        </row>
        <row r="413">
          <cell r="Q413">
            <v>154078.51</v>
          </cell>
          <cell r="S413">
            <v>0</v>
          </cell>
        </row>
        <row r="414">
          <cell r="S414">
            <v>1661.2</v>
          </cell>
        </row>
        <row r="442">
          <cell r="Q442">
            <v>29449.54</v>
          </cell>
          <cell r="S442">
            <v>0</v>
          </cell>
        </row>
        <row r="443">
          <cell r="Q443">
            <v>126290.6</v>
          </cell>
          <cell r="S443">
            <v>0</v>
          </cell>
        </row>
        <row r="444">
          <cell r="S444">
            <v>8253.1</v>
          </cell>
        </row>
        <row r="492">
          <cell r="Q492">
            <v>56272.18</v>
          </cell>
        </row>
        <row r="511">
          <cell r="S511">
            <v>28192.76</v>
          </cell>
        </row>
        <row r="526">
          <cell r="S526">
            <v>327362.52</v>
          </cell>
        </row>
        <row r="537">
          <cell r="S537">
            <v>52265.46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A3" t="str">
            <v>Suma: _BZ</v>
          </cell>
        </row>
        <row r="4">
          <cell r="A4" t="str">
            <v>REPITEM</v>
          </cell>
          <cell r="B4" t="str">
            <v>TYP</v>
          </cell>
          <cell r="C4" t="str">
            <v>REPNAME</v>
          </cell>
          <cell r="D4" t="str">
            <v>Suma</v>
          </cell>
        </row>
        <row r="5">
          <cell r="A5">
            <v>0</v>
          </cell>
          <cell r="B5">
            <v>0</v>
          </cell>
          <cell r="D5">
            <v>0</v>
          </cell>
        </row>
        <row r="6">
          <cell r="B6">
            <v>1</v>
          </cell>
          <cell r="D6">
            <v>-1.4551915228366852E-11</v>
          </cell>
        </row>
        <row r="7">
          <cell r="A7">
            <v>114000</v>
          </cell>
          <cell r="B7">
            <v>0</v>
          </cell>
          <cell r="C7" t="str">
            <v>Przychody netto ze sprzedaży towarów i m</v>
          </cell>
          <cell r="D7">
            <v>-22899356.010000002</v>
          </cell>
        </row>
        <row r="8">
          <cell r="A8">
            <v>121000</v>
          </cell>
          <cell r="B8">
            <v>0</v>
          </cell>
          <cell r="C8" t="str">
            <v>Amortyzacja</v>
          </cell>
          <cell r="D8">
            <v>256694.32</v>
          </cell>
        </row>
        <row r="9">
          <cell r="A9">
            <v>122000</v>
          </cell>
          <cell r="B9">
            <v>0</v>
          </cell>
          <cell r="C9" t="str">
            <v>Zużycie materiałów i energii</v>
          </cell>
          <cell r="D9">
            <v>872945.41</v>
          </cell>
        </row>
        <row r="10">
          <cell r="A10">
            <v>123000</v>
          </cell>
          <cell r="B10">
            <v>0</v>
          </cell>
          <cell r="C10" t="str">
            <v xml:space="preserve"> Usługi obce</v>
          </cell>
          <cell r="D10">
            <v>3407928.4</v>
          </cell>
        </row>
        <row r="11">
          <cell r="A11">
            <v>124000</v>
          </cell>
          <cell r="B11">
            <v>0</v>
          </cell>
          <cell r="C11" t="str">
            <v>Podatki i opłaty</v>
          </cell>
          <cell r="D11">
            <v>102299.84</v>
          </cell>
        </row>
        <row r="12">
          <cell r="A12">
            <v>125000</v>
          </cell>
          <cell r="B12">
            <v>0</v>
          </cell>
          <cell r="C12" t="str">
            <v>Wynagrodzenia</v>
          </cell>
          <cell r="D12">
            <v>2298408.29</v>
          </cell>
        </row>
        <row r="13">
          <cell r="A13">
            <v>126000</v>
          </cell>
          <cell r="B13">
            <v>0</v>
          </cell>
          <cell r="C13" t="str">
            <v xml:space="preserve"> Ubezpieczenia społeczne i inne świadcze</v>
          </cell>
          <cell r="D13">
            <v>442438.33</v>
          </cell>
        </row>
        <row r="14">
          <cell r="A14">
            <v>127000</v>
          </cell>
          <cell r="B14">
            <v>0</v>
          </cell>
          <cell r="C14" t="str">
            <v xml:space="preserve"> Pozostałe koszty rodzajowe</v>
          </cell>
          <cell r="D14">
            <v>339896.09</v>
          </cell>
        </row>
        <row r="15">
          <cell r="A15">
            <v>128000</v>
          </cell>
          <cell r="B15">
            <v>0</v>
          </cell>
          <cell r="C15" t="str">
            <v>Wartość sprzedanych towarów i materiałów</v>
          </cell>
          <cell r="D15">
            <v>15687698.760000002</v>
          </cell>
        </row>
        <row r="16">
          <cell r="A16">
            <v>131000</v>
          </cell>
          <cell r="B16">
            <v>0</v>
          </cell>
          <cell r="C16" t="str">
            <v>Zysk ze zbycia niefin. aktywów trwałych</v>
          </cell>
          <cell r="D16">
            <v>-20000</v>
          </cell>
        </row>
        <row r="17">
          <cell r="A17">
            <v>133000</v>
          </cell>
          <cell r="B17">
            <v>0</v>
          </cell>
          <cell r="C17" t="str">
            <v>Inne przychody operacyjne</v>
          </cell>
          <cell r="D17">
            <v>-271715.11</v>
          </cell>
        </row>
        <row r="18">
          <cell r="A18">
            <v>143000</v>
          </cell>
          <cell r="B18">
            <v>0</v>
          </cell>
          <cell r="C18" t="str">
            <v xml:space="preserve"> Inne koszty operacyjne</v>
          </cell>
          <cell r="D18">
            <v>929710.24</v>
          </cell>
        </row>
        <row r="19">
          <cell r="A19">
            <v>152000</v>
          </cell>
          <cell r="B19">
            <v>0</v>
          </cell>
          <cell r="C19" t="str">
            <v xml:space="preserve"> Odsetki, w tym:</v>
          </cell>
          <cell r="D19">
            <v>-30841.82</v>
          </cell>
        </row>
        <row r="20">
          <cell r="A20">
            <v>155000</v>
          </cell>
          <cell r="B20">
            <v>0</v>
          </cell>
          <cell r="C20" t="str">
            <v>Inne przychody finansowe</v>
          </cell>
          <cell r="D20">
            <v>424306.53</v>
          </cell>
        </row>
        <row r="21">
          <cell r="A21">
            <v>161000</v>
          </cell>
          <cell r="B21">
            <v>0</v>
          </cell>
          <cell r="C21" t="str">
            <v>Odsetki</v>
          </cell>
          <cell r="D21">
            <v>102100.61</v>
          </cell>
        </row>
        <row r="22">
          <cell r="A22">
            <v>163000</v>
          </cell>
          <cell r="B22">
            <v>0</v>
          </cell>
          <cell r="C22" t="str">
            <v xml:space="preserve"> Inne koszty finansowe</v>
          </cell>
          <cell r="D22">
            <v>1257508.82</v>
          </cell>
        </row>
        <row r="23">
          <cell r="A23">
            <v>171000</v>
          </cell>
          <cell r="B23">
            <v>0</v>
          </cell>
          <cell r="C23" t="str">
            <v>Zyski nadzwyczajne</v>
          </cell>
          <cell r="D23">
            <v>0</v>
          </cell>
        </row>
        <row r="24">
          <cell r="A24">
            <v>172000</v>
          </cell>
          <cell r="B24">
            <v>0</v>
          </cell>
          <cell r="C24" t="str">
            <v xml:space="preserve"> Straty nadzwyczajne</v>
          </cell>
          <cell r="D24">
            <v>0</v>
          </cell>
        </row>
        <row r="25">
          <cell r="A25">
            <v>180000</v>
          </cell>
          <cell r="B25">
            <v>0</v>
          </cell>
          <cell r="C25" t="str">
            <v>Podatek dochodowy</v>
          </cell>
          <cell r="D25">
            <v>0</v>
          </cell>
        </row>
        <row r="26">
          <cell r="A26">
            <v>190000</v>
          </cell>
          <cell r="B26">
            <v>0</v>
          </cell>
          <cell r="C26" t="str">
            <v>Pozostałe obowiązkowe zmniejszenia zysku</v>
          </cell>
          <cell r="D26">
            <v>-617410.69999999995</v>
          </cell>
        </row>
        <row r="27">
          <cell r="A27">
            <v>211300</v>
          </cell>
          <cell r="B27">
            <v>1</v>
          </cell>
          <cell r="C27" t="str">
            <v xml:space="preserve"> Inne wartości niematerialne i prawne</v>
          </cell>
          <cell r="D27">
            <v>1838.2700000000186</v>
          </cell>
        </row>
        <row r="28">
          <cell r="A28">
            <v>212110</v>
          </cell>
          <cell r="B28">
            <v>1</v>
          </cell>
          <cell r="C28" t="str">
            <v xml:space="preserve"> grunty</v>
          </cell>
          <cell r="D28">
            <v>72000</v>
          </cell>
        </row>
        <row r="29">
          <cell r="A29">
            <v>212120</v>
          </cell>
          <cell r="B29">
            <v>1</v>
          </cell>
          <cell r="C29" t="str">
            <v xml:space="preserve"> budynki</v>
          </cell>
          <cell r="D29">
            <v>2036096.77</v>
          </cell>
        </row>
        <row r="30">
          <cell r="A30">
            <v>212130</v>
          </cell>
          <cell r="B30">
            <v>1</v>
          </cell>
          <cell r="C30" t="str">
            <v xml:space="preserve"> urządzenia techniczne i maszyny</v>
          </cell>
          <cell r="D30">
            <v>147460.79</v>
          </cell>
        </row>
        <row r="31">
          <cell r="A31">
            <v>212140</v>
          </cell>
          <cell r="B31">
            <v>1</v>
          </cell>
          <cell r="C31" t="str">
            <v xml:space="preserve"> środki transportu</v>
          </cell>
          <cell r="D31">
            <v>368812.76</v>
          </cell>
        </row>
        <row r="32">
          <cell r="A32">
            <v>212150</v>
          </cell>
          <cell r="B32">
            <v>1</v>
          </cell>
          <cell r="C32" t="str">
            <v xml:space="preserve"> inne środki trwałe</v>
          </cell>
          <cell r="D32">
            <v>47468.97</v>
          </cell>
        </row>
        <row r="33">
          <cell r="A33">
            <v>212200</v>
          </cell>
          <cell r="B33">
            <v>1</v>
          </cell>
          <cell r="C33" t="str">
            <v xml:space="preserve"> Środki trwałe w budowie</v>
          </cell>
          <cell r="D33">
            <v>0</v>
          </cell>
        </row>
        <row r="34">
          <cell r="A34">
            <v>215100</v>
          </cell>
          <cell r="B34">
            <v>1</v>
          </cell>
          <cell r="C34" t="str">
            <v xml:space="preserve"> Aktywa z tytułu odroczonego podatku doc</v>
          </cell>
          <cell r="D34">
            <v>623727.63</v>
          </cell>
        </row>
        <row r="35">
          <cell r="A35">
            <v>221100</v>
          </cell>
          <cell r="B35">
            <v>1</v>
          </cell>
          <cell r="C35" t="str">
            <v xml:space="preserve"> Materiały</v>
          </cell>
          <cell r="D35">
            <v>1157549.6100000001</v>
          </cell>
        </row>
        <row r="36">
          <cell r="A36">
            <v>221400</v>
          </cell>
          <cell r="B36">
            <v>1</v>
          </cell>
          <cell r="C36" t="str">
            <v xml:space="preserve"> Towary</v>
          </cell>
          <cell r="D36">
            <v>5500974.2299999995</v>
          </cell>
        </row>
        <row r="37">
          <cell r="A37">
            <v>222111</v>
          </cell>
          <cell r="B37">
            <v>1</v>
          </cell>
          <cell r="C37" t="str">
            <v>Kr. należności od powiązanych do 12 mies</v>
          </cell>
          <cell r="D37">
            <v>40830.82</v>
          </cell>
        </row>
        <row r="38">
          <cell r="A38">
            <v>222211</v>
          </cell>
          <cell r="B38">
            <v>1</v>
          </cell>
          <cell r="C38" t="str">
            <v>Kr. należności od obcych do 12 miesięcy</v>
          </cell>
          <cell r="D38">
            <v>5754281.9800000004</v>
          </cell>
        </row>
        <row r="39">
          <cell r="A39">
            <v>222220</v>
          </cell>
          <cell r="B39">
            <v>1</v>
          </cell>
          <cell r="C39" t="str">
            <v>Kr. należności  z tytułu podatków,ceł, u</v>
          </cell>
          <cell r="D39">
            <v>431946.63</v>
          </cell>
        </row>
        <row r="40">
          <cell r="A40">
            <v>222230</v>
          </cell>
          <cell r="B40">
            <v>1</v>
          </cell>
          <cell r="C40" t="str">
            <v>Kr. należności od obcych - inne</v>
          </cell>
          <cell r="D40">
            <v>58661.09</v>
          </cell>
        </row>
        <row r="41">
          <cell r="A41">
            <v>223131</v>
          </cell>
          <cell r="B41">
            <v>1</v>
          </cell>
          <cell r="C41" t="str">
            <v>środki pieniężne w kasie i na rachunkach</v>
          </cell>
          <cell r="D41">
            <v>803453.15</v>
          </cell>
        </row>
        <row r="42">
          <cell r="A42">
            <v>224000</v>
          </cell>
          <cell r="B42">
            <v>1</v>
          </cell>
          <cell r="C42" t="str">
            <v>Krótkoterminowe rozliczenia międzyokreso</v>
          </cell>
          <cell r="D42">
            <v>106013.68</v>
          </cell>
        </row>
        <row r="43">
          <cell r="A43">
            <v>311000</v>
          </cell>
          <cell r="B43">
            <v>1</v>
          </cell>
          <cell r="C43" t="str">
            <v>Kapitał podstawowy</v>
          </cell>
          <cell r="D43">
            <v>-35000</v>
          </cell>
        </row>
        <row r="44">
          <cell r="A44">
            <v>314000</v>
          </cell>
          <cell r="B44">
            <v>1</v>
          </cell>
          <cell r="C44" t="str">
            <v>Kapitał zapasowy</v>
          </cell>
          <cell r="D44">
            <v>-3586180.03</v>
          </cell>
        </row>
        <row r="45">
          <cell r="A45">
            <v>315000</v>
          </cell>
          <cell r="B45">
            <v>1</v>
          </cell>
          <cell r="C45" t="str">
            <v>Zapasowy z wyceny</v>
          </cell>
          <cell r="D45">
            <v>-12099.99</v>
          </cell>
        </row>
        <row r="46">
          <cell r="A46">
            <v>317000</v>
          </cell>
          <cell r="B46">
            <v>1</v>
          </cell>
          <cell r="C46" t="str">
            <v>Nierozliczony wynik</v>
          </cell>
          <cell r="D46">
            <v>-851235.46</v>
          </cell>
        </row>
        <row r="47">
          <cell r="A47">
            <v>321100</v>
          </cell>
          <cell r="B47">
            <v>1</v>
          </cell>
          <cell r="C47" t="str">
            <v>Rezerwa na odroczony</v>
          </cell>
          <cell r="D47">
            <v>-6316.93</v>
          </cell>
        </row>
        <row r="48">
          <cell r="A48">
            <v>322100</v>
          </cell>
          <cell r="B48">
            <v>1</v>
          </cell>
          <cell r="C48" t="str">
            <v xml:space="preserve"> Dł. zobowiązania wobec afiliantów</v>
          </cell>
          <cell r="D48">
            <v>-587476.37</v>
          </cell>
        </row>
        <row r="49">
          <cell r="A49">
            <v>322240</v>
          </cell>
          <cell r="B49">
            <v>1</v>
          </cell>
          <cell r="C49" t="str">
            <v xml:space="preserve"> Dł. zobowiązania inne</v>
          </cell>
          <cell r="D49">
            <v>-41520.5</v>
          </cell>
        </row>
        <row r="50">
          <cell r="A50">
            <v>323111</v>
          </cell>
          <cell r="B50">
            <v>1</v>
          </cell>
          <cell r="C50" t="str">
            <v>Kr. zobowiazania do 12m z tyt. dostaw od</v>
          </cell>
          <cell r="D50">
            <v>-12657471.529999997</v>
          </cell>
        </row>
        <row r="51">
          <cell r="A51">
            <v>323120</v>
          </cell>
          <cell r="B51">
            <v>1</v>
          </cell>
          <cell r="C51" t="str">
            <v>Kr. Zobowiazania  od afiliantów inne</v>
          </cell>
          <cell r="D51">
            <v>-549043.32999999996</v>
          </cell>
        </row>
        <row r="52">
          <cell r="A52">
            <v>323241</v>
          </cell>
          <cell r="B52">
            <v>1</v>
          </cell>
          <cell r="C52" t="str">
            <v>Kr. zobowiazania do 12m z tyt. dostaw od</v>
          </cell>
          <cell r="D52">
            <v>-412623.82</v>
          </cell>
        </row>
        <row r="53">
          <cell r="A53">
            <v>323270</v>
          </cell>
          <cell r="B53">
            <v>1</v>
          </cell>
          <cell r="C53" t="str">
            <v>Kr. zobowiazania z ty pod. ceł. ubezp</v>
          </cell>
          <cell r="D53">
            <v>-94416.79</v>
          </cell>
        </row>
        <row r="54">
          <cell r="A54">
            <v>323280</v>
          </cell>
          <cell r="B54">
            <v>1</v>
          </cell>
          <cell r="C54" t="str">
            <v>Kr. zobowiazania z tyt. Wynagrodzeń</v>
          </cell>
          <cell r="D54">
            <v>-51904.01</v>
          </cell>
        </row>
        <row r="55">
          <cell r="A55">
            <v>323290</v>
          </cell>
          <cell r="B55">
            <v>1</v>
          </cell>
          <cell r="C55" t="str">
            <v>Kr. zobowiazania inne</v>
          </cell>
          <cell r="D55">
            <v>-14837.87</v>
          </cell>
        </row>
        <row r="56">
          <cell r="A56">
            <v>323300</v>
          </cell>
          <cell r="B56">
            <v>1</v>
          </cell>
          <cell r="C56" t="str">
            <v>Fundusze specjalne</v>
          </cell>
          <cell r="D56">
            <v>-68211.41</v>
          </cell>
        </row>
        <row r="57">
          <cell r="A57">
            <v>324220</v>
          </cell>
          <cell r="B57">
            <v>1</v>
          </cell>
          <cell r="C57" t="str">
            <v>RMK - krótkoterminowe</v>
          </cell>
          <cell r="D57">
            <v>-465390.34</v>
          </cell>
        </row>
        <row r="58">
          <cell r="A58">
            <v>400000</v>
          </cell>
          <cell r="B58">
            <v>0</v>
          </cell>
          <cell r="C58" t="str">
            <v>NWL</v>
          </cell>
          <cell r="D58">
            <v>0</v>
          </cell>
        </row>
        <row r="59">
          <cell r="B59">
            <v>1</v>
          </cell>
          <cell r="C59" t="str">
            <v>NWL</v>
          </cell>
          <cell r="D59">
            <v>0</v>
          </cell>
        </row>
        <row r="60">
          <cell r="A60">
            <v>500000</v>
          </cell>
          <cell r="B60">
            <v>0</v>
          </cell>
          <cell r="C60" t="str">
            <v>EMPTY</v>
          </cell>
          <cell r="D60">
            <v>0</v>
          </cell>
        </row>
        <row r="61">
          <cell r="B61">
            <v>1</v>
          </cell>
          <cell r="C61" t="str">
            <v>EMPTY</v>
          </cell>
          <cell r="D61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y"/>
      <sheetName val="dane"/>
      <sheetName val="def"/>
      <sheetName val="lista"/>
      <sheetName val="a"/>
      <sheetName val="b"/>
      <sheetName val="c"/>
      <sheetName val="ZE_w05"/>
      <sheetName val="idx"/>
      <sheetName val="INNE"/>
      <sheetName val="OBR01"/>
      <sheetName val="DATA2002"/>
      <sheetName val="zakup z MEC_tylko pw 2010"/>
      <sheetName val="en. el.zakup z MEC_plan 11"/>
      <sheetName val="G105DIS2"/>
      <sheetName val="dodatkowa"/>
      <sheetName val="03 2003"/>
      <sheetName val="PBC-VCON009A"/>
      <sheetName val="zakup_z_MEC_tylko_pw_2010"/>
      <sheetName val="en__el_zakup_z_MEC_plan_11"/>
      <sheetName val="03_2003"/>
      <sheetName val="zakup_z_MEC_tylko_pw_20101"/>
      <sheetName val="en__el_zakup_z_MEC_plan_111"/>
      <sheetName val="03_20031"/>
      <sheetName val="Stopień wykonania"/>
      <sheetName val="zakup_z_MEC_tylko_pw_20102"/>
      <sheetName val="en__el_zakup_z_MEC_plan_112"/>
      <sheetName val="03_20032"/>
      <sheetName val="Stopień_wykonania"/>
      <sheetName val="zakup_z_MEC_tylko_pw_20103"/>
      <sheetName val="en__el_zakup_z_MEC_plan_113"/>
      <sheetName val="03_20033"/>
      <sheetName val="Stopień_wykonania1"/>
      <sheetName val="zakup_z_MEC_tylko_pw_20104"/>
      <sheetName val="en__el_zakup_z_MEC_plan_114"/>
      <sheetName val="03_20034"/>
      <sheetName val="Stopień_wykonania2"/>
      <sheetName val="zakup_z_MEC_tylko_pw_20105"/>
      <sheetName val="en__el_zakup_z_MEC_plan_115"/>
      <sheetName val="03_20035"/>
      <sheetName val="Stopień_wykonania3"/>
      <sheetName val="Krótkoterminow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5">
          <cell r="A45">
            <v>2</v>
          </cell>
        </row>
        <row r="46">
          <cell r="A46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nePodst"/>
      <sheetName val="CTRL"/>
      <sheetName val="PTYT"/>
      <sheetName val="PRZIS przekrój"/>
      <sheetName val="PCP - WYD"/>
      <sheetName val="PCP - WYTW"/>
      <sheetName val="PCP - SOH"/>
      <sheetName val="PCP - SSD"/>
      <sheetName val="PCP - OSD"/>
      <sheetName val="PCP - Centrala"/>
      <sheetName val="PBIL przekrój"/>
      <sheetName val="PRODZ przekrój"/>
      <sheetName val="--"/>
      <sheetName val="PRZIS"/>
      <sheetName val="PBIL"/>
      <sheetName val="PKOS"/>
      <sheetName val="PRODZ"/>
      <sheetName val="PRZIS - WYD"/>
      <sheetName val="PRZIS - WYTW"/>
      <sheetName val="PRZIS - SOH"/>
      <sheetName val="PRZIS - SSD"/>
      <sheetName val="PRZIS - OSD"/>
      <sheetName val="TYT"/>
      <sheetName val="SPIS"/>
      <sheetName val="RZIS"/>
      <sheetName val="RZIS - WYD"/>
      <sheetName val="RZIS - WYTW"/>
      <sheetName val="RZIS - SOH"/>
      <sheetName val="RZIS - SSD"/>
      <sheetName val="RZIS - OSD"/>
      <sheetName val="CP - WYD"/>
      <sheetName val="CP - WYTW"/>
      <sheetName val="CP - SOH"/>
      <sheetName val="CP - SSD"/>
      <sheetName val="CP - OSD"/>
      <sheetName val="CP - Centrala"/>
      <sheetName val="CP - PDZ"/>
      <sheetName val="KOM"/>
      <sheetName val="PZS"/>
      <sheetName val="RODZ"/>
      <sheetName val="KOSP"/>
      <sheetName val="KOS"/>
      <sheetName val="BIL"/>
      <sheetName val="CF"/>
      <sheetName val="ROZR"/>
      <sheetName val="KALK"/>
      <sheetName val="-"/>
      <sheetName val="DRZIS"/>
      <sheetName val="DCF"/>
      <sheetName val="DROZR"/>
      <sheetName val="DBIL"/>
      <sheetName val="KOSZTY"/>
      <sheetName val="PRZYCH"/>
      <sheetName val="OPS"/>
      <sheetName val="KONS"/>
      <sheetName val="listy"/>
      <sheetName val="WSAD-WYD"/>
      <sheetName val="WSAD - WYTWEE"/>
      <sheetName val="WSAD - WYTWEC"/>
      <sheetName val="WSAD - SOH"/>
      <sheetName val="WSAD - SSD"/>
      <sheetName val="WSAD - OSD"/>
      <sheetName val="uwagi"/>
      <sheetName val="SSD portfel sprzedaży"/>
      <sheetName val="SSD portfel zakupów"/>
      <sheetName val="SSD klienci spoza PGE"/>
      <sheetName val="SSD liczba odbiorców"/>
      <sheetName val="Arkusz1"/>
      <sheetName val="amort_ZP_24"/>
      <sheetName val="KONS (2)"/>
      <sheetName val="GWW BOT KWBB"/>
      <sheetName val="Parametry"/>
      <sheetName val="Nota 26.1-2"/>
      <sheetName val="B.2. Eliminacje -pasywa"/>
      <sheetName val="B.1. Eliminacje - aktywa"/>
      <sheetName val="B.3. udziały i akcje"/>
      <sheetName val="A"/>
      <sheetName val="lista"/>
      <sheetName val="Tytuł"/>
      <sheetName val="PRZIS_przekrój"/>
      <sheetName val="PCP_-_WYD"/>
      <sheetName val="PCP_-_WYTW"/>
      <sheetName val="PCP_-_SOH"/>
      <sheetName val="PCP_-_SSD"/>
      <sheetName val="PCP_-_OSD"/>
      <sheetName val="PCP_-_Centrala"/>
      <sheetName val="PBIL_przekrój"/>
      <sheetName val="PRODZ_przekrój"/>
      <sheetName val="PRZIS_-_WYD"/>
      <sheetName val="PRZIS_-_WYTW"/>
      <sheetName val="PRZIS_-_SOH"/>
      <sheetName val="PRZIS_-_SSD"/>
      <sheetName val="PRZIS_-_OSD"/>
      <sheetName val="RZIS_-_WYD"/>
      <sheetName val="RZIS_-_WYTW"/>
      <sheetName val="RZIS_-_SOH"/>
      <sheetName val="RZIS_-_SSD"/>
      <sheetName val="RZIS_-_OSD"/>
      <sheetName val="CP_-_WYD"/>
      <sheetName val="CP_-_WYTW"/>
      <sheetName val="CP_-_SOH"/>
      <sheetName val="CP_-_SSD"/>
      <sheetName val="CP_-_OSD"/>
      <sheetName val="CP_-_Centrala"/>
      <sheetName val="CP_-_PDZ"/>
      <sheetName val="WSAD_-_WYTWEE"/>
      <sheetName val="WSAD_-_WYTWEC"/>
      <sheetName val="WSAD_-_SOH"/>
      <sheetName val="WSAD_-_SSD"/>
      <sheetName val="WSAD_-_OSD"/>
      <sheetName val="SSD_portfel_sprzedaży"/>
      <sheetName val="SSD_portfel_zakupów"/>
      <sheetName val="SSD_klienci_spoza_PGE"/>
      <sheetName val="SSD_liczba_odbiorców"/>
      <sheetName val="KONS_(2)"/>
      <sheetName val="GWW_BOT_KWBB"/>
      <sheetName val="Nota_26_1-2"/>
      <sheetName val="B_2__Eliminacje_-pasywa"/>
      <sheetName val="B_1__Eliminacje_-_aktywa"/>
      <sheetName val="B_3__udziały_i_akcje"/>
      <sheetName val="bazy"/>
      <sheetName val="Nota 26.7 Aktywa"/>
      <sheetName val="BS"/>
      <sheetName val="Nota 14.1 i 2"/>
      <sheetName val="KOREKTY"/>
      <sheetName val="SUMA GRA"/>
      <sheetName val="SUMA GRB"/>
      <sheetName val="Nota 31"/>
      <sheetName val=" Pakiet MSSF 05 2011 .xlsx"/>
      <sheetName val="idx"/>
      <sheetName val="30.06.2011 PAR_MSSF  "/>
      <sheetName val="ZE_w05"/>
      <sheetName val="OBR01"/>
      <sheetName val="DATA2002"/>
      <sheetName val="PRZIS_przekrój1"/>
      <sheetName val="PCP_-_WYD1"/>
      <sheetName val="PCP_-_WYTW1"/>
      <sheetName val="PCP_-_SOH1"/>
      <sheetName val="PCP_-_SSD1"/>
      <sheetName val="PCP_-_OSD1"/>
      <sheetName val="PCP_-_Centrala1"/>
      <sheetName val="PBIL_przekrój1"/>
      <sheetName val="PRODZ_przekrój1"/>
      <sheetName val="PRZIS_-_WYD1"/>
      <sheetName val="PRZIS_-_WYTW1"/>
      <sheetName val="PRZIS_-_SOH1"/>
      <sheetName val="PRZIS_-_SSD1"/>
      <sheetName val="PRZIS_-_OSD1"/>
      <sheetName val="RZIS_-_WYD1"/>
      <sheetName val="RZIS_-_WYTW1"/>
      <sheetName val="RZIS_-_SOH1"/>
      <sheetName val="RZIS_-_SSD1"/>
      <sheetName val="RZIS_-_OSD1"/>
      <sheetName val="CP_-_WYD1"/>
      <sheetName val="CP_-_WYTW1"/>
      <sheetName val="CP_-_SOH1"/>
      <sheetName val="CP_-_SSD1"/>
      <sheetName val="CP_-_OSD1"/>
      <sheetName val="CP_-_Centrala1"/>
      <sheetName val="CP_-_PDZ1"/>
      <sheetName val="WSAD_-_WYTWEE1"/>
      <sheetName val="WSAD_-_WYTWEC1"/>
      <sheetName val="WSAD_-_SOH1"/>
      <sheetName val="WSAD_-_SSD1"/>
      <sheetName val="WSAD_-_OSD1"/>
      <sheetName val="SSD_portfel_sprzedaży1"/>
      <sheetName val="SSD_portfel_zakupów1"/>
      <sheetName val="SSD_klienci_spoza_PGE1"/>
      <sheetName val="SSD_liczba_odbiorców1"/>
      <sheetName val="KONS_(2)1"/>
      <sheetName val="GWW_BOT_KWBB1"/>
      <sheetName val="Nota_26_1-21"/>
      <sheetName val="B_2__Eliminacje_-pasywa1"/>
      <sheetName val="B_1__Eliminacje_-_aktywa1"/>
      <sheetName val="B_3__udziały_i_akcje1"/>
      <sheetName val="Nota_26_7_Aktywa"/>
      <sheetName val="Nota_14_1_i_2"/>
      <sheetName val="SUMA_GRA"/>
      <sheetName val="SUMA_GRB"/>
      <sheetName val="Nota_31"/>
      <sheetName val="_Pakiet_MSSF_05_2011__xlsx"/>
      <sheetName val="30_06_2011_PAR_MSSF__"/>
      <sheetName val="INNE"/>
      <sheetName val="Ster"/>
      <sheetName val="PRZIS_przekrój2"/>
      <sheetName val="PCP_-_WYD2"/>
      <sheetName val="PCP_-_WYTW2"/>
      <sheetName val="PCP_-_SOH2"/>
      <sheetName val="PCP_-_SSD2"/>
      <sheetName val="PCP_-_OSD2"/>
      <sheetName val="PCP_-_Centrala2"/>
      <sheetName val="PBIL_przekrój2"/>
      <sheetName val="PRODZ_przekrój2"/>
      <sheetName val="PRZIS_-_WYD2"/>
      <sheetName val="PRZIS_-_WYTW2"/>
      <sheetName val="PRZIS_-_SOH2"/>
      <sheetName val="PRZIS_-_SSD2"/>
      <sheetName val="PRZIS_-_OSD2"/>
      <sheetName val="RZIS_-_WYD2"/>
      <sheetName val="RZIS_-_WYTW2"/>
      <sheetName val="RZIS_-_SOH2"/>
      <sheetName val="RZIS_-_SSD2"/>
      <sheetName val="RZIS_-_OSD2"/>
      <sheetName val="CP_-_WYD2"/>
      <sheetName val="CP_-_WYTW2"/>
      <sheetName val="CP_-_SOH2"/>
      <sheetName val="CP_-_SSD2"/>
      <sheetName val="CP_-_OSD2"/>
      <sheetName val="CP_-_Centrala2"/>
      <sheetName val="CP_-_PDZ2"/>
      <sheetName val="WSAD_-_WYTWEE2"/>
      <sheetName val="WSAD_-_WYTWEC2"/>
      <sheetName val="WSAD_-_SOH2"/>
      <sheetName val="WSAD_-_SSD2"/>
      <sheetName val="WSAD_-_OSD2"/>
      <sheetName val="SSD_portfel_sprzedaży2"/>
      <sheetName val="SSD_portfel_zakupów2"/>
      <sheetName val="SSD_klienci_spoza_PGE2"/>
      <sheetName val="SSD_liczba_odbiorców2"/>
      <sheetName val="KONS_(2)2"/>
      <sheetName val="GWW_BOT_KWBB2"/>
      <sheetName val="Nota_26_1-22"/>
      <sheetName val="B_2__Eliminacje_-pasywa2"/>
      <sheetName val="B_1__Eliminacje_-_aktywa2"/>
      <sheetName val="B_3__udziały_i_akcje2"/>
      <sheetName val="Nota_26_7_Aktywa1"/>
      <sheetName val="Nota_14_1_i_21"/>
      <sheetName val="SUMA_GRA1"/>
      <sheetName val="SUMA_GRB1"/>
      <sheetName val="Nota_311"/>
      <sheetName val="_Pakiet_MSSF_05_2011__xlsx1"/>
      <sheetName val="30_06_2011_PAR_MSSF__1"/>
      <sheetName val="PRZIS_przekrój3"/>
      <sheetName val="PRZIS_przekrój4"/>
      <sheetName val="PRZIS_przekrój5"/>
      <sheetName val="PRZIS_przekrój6"/>
      <sheetName val="PRZIS_przekrój7"/>
      <sheetName val="PCP_-_WYD3"/>
      <sheetName val="PCP_-_WYTW3"/>
      <sheetName val="PCP_-_SOH3"/>
      <sheetName val="PCP_-_SSD3"/>
      <sheetName val="PCP_-_OSD3"/>
      <sheetName val="PCP_-_Centrala3"/>
      <sheetName val="PBIL_przekrój3"/>
      <sheetName val="PRODZ_przekrój3"/>
      <sheetName val="PRZIS_-_WYD3"/>
      <sheetName val="PRZIS_-_WYTW3"/>
      <sheetName val="PRZIS_-_SOH3"/>
      <sheetName val="PRZIS_-_SSD3"/>
      <sheetName val="PRZIS_-_OSD3"/>
      <sheetName val="RZIS_-_WYD3"/>
      <sheetName val="RZIS_-_WYTW3"/>
      <sheetName val="RZIS_-_SOH3"/>
      <sheetName val="RZIS_-_SSD3"/>
      <sheetName val="RZIS_-_OSD3"/>
      <sheetName val="CP_-_WYD3"/>
      <sheetName val="CP_-_WYTW3"/>
      <sheetName val="CP_-_SOH3"/>
      <sheetName val="CP_-_SSD3"/>
      <sheetName val="CP_-_OSD3"/>
      <sheetName val="CP_-_Centrala3"/>
      <sheetName val="CP_-_PDZ3"/>
      <sheetName val="WSAD_-_WYTWEE3"/>
      <sheetName val="WSAD_-_WYTWEC3"/>
      <sheetName val="WSAD_-_SOH3"/>
      <sheetName val="WSAD_-_SSD3"/>
      <sheetName val="WSAD_-_OSD3"/>
      <sheetName val="SSD_portfel_sprzedaży3"/>
      <sheetName val="SSD_portfel_zakupów3"/>
      <sheetName val="SSD_klienci_spoza_PGE3"/>
      <sheetName val="SSD_liczba_odbiorców3"/>
      <sheetName val="KONS_(2)3"/>
      <sheetName val="GWW_BOT_KWBB3"/>
      <sheetName val="Nota_26_1-23"/>
      <sheetName val="B_2__Eliminacje_-pasywa3"/>
      <sheetName val="B_1__Eliminacje_-_aktywa3"/>
      <sheetName val="B_3__udziały_i_akcje3"/>
      <sheetName val="Nota_26_7_Aktywa2"/>
      <sheetName val="Nota_14_1_i_22"/>
      <sheetName val="SUMA_GRA2"/>
      <sheetName val="SUMA_GRB2"/>
      <sheetName val="Nota_312"/>
      <sheetName val="_Pakiet_MSSF_05_2011__xlsx2"/>
      <sheetName val="30_06_2011_PAR_MSSF__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44">
          <cell r="EZ44">
            <v>0</v>
          </cell>
        </row>
      </sheetData>
      <sheetData sheetId="48" refreshError="1"/>
      <sheetData sheetId="49">
        <row r="11">
          <cell r="E11">
            <v>118063</v>
          </cell>
        </row>
      </sheetData>
      <sheetData sheetId="50">
        <row r="14">
          <cell r="EZ14">
            <v>0</v>
          </cell>
        </row>
      </sheetData>
      <sheetData sheetId="51">
        <row r="434">
          <cell r="GS434">
            <v>0</v>
          </cell>
        </row>
      </sheetData>
      <sheetData sheetId="52"/>
      <sheetData sheetId="53" refreshError="1"/>
      <sheetData sheetId="54"/>
      <sheetData sheetId="55" refreshError="1">
        <row r="1">
          <cell r="A1" t="str">
            <v>Lista1</v>
          </cell>
          <cell r="B1" t="str">
            <v>Lista 2 (zależna od 1)</v>
          </cell>
          <cell r="D1" t="str">
            <v>Lista 3 (zależna od 2)</v>
          </cell>
          <cell r="G1" t="str">
            <v>Lista 4</v>
          </cell>
          <cell r="H1" t="str">
            <v>Lista 5 (zależna od 4)</v>
          </cell>
          <cell r="J1" t="str">
            <v>Lista 6 (zależna od 5)</v>
          </cell>
          <cell r="M1" t="str">
            <v>Lista7</v>
          </cell>
          <cell r="N1" t="str">
            <v>Lista8 (zależna od 7)</v>
          </cell>
          <cell r="Q1" t="str">
            <v>Lista9</v>
          </cell>
          <cell r="R1" t="str">
            <v>Lista10 (zależna od 9)</v>
          </cell>
          <cell r="T1" t="str">
            <v>Lista 11 (zależna od 10)</v>
          </cell>
        </row>
        <row r="2">
          <cell r="A2" t="str">
            <v>Amortyzacja</v>
          </cell>
          <cell r="B2" t="str">
            <v>Amortyzacja</v>
          </cell>
          <cell r="D2" t="str">
            <v>Amortyzacja</v>
          </cell>
          <cell r="G2" t="str">
            <v>Przychody z wydobycia (WYDOBYCIE)</v>
          </cell>
          <cell r="H2" t="str">
            <v>Przychody z wydobycia (WYDOBYCIE)</v>
          </cell>
          <cell r="J2" t="str">
            <v xml:space="preserve">Przychody ze sprzedaży węgla brunatnego </v>
          </cell>
          <cell r="M2" t="str">
            <v>III. Należności długoterminowe</v>
          </cell>
          <cell r="N2" t="str">
            <v>III. Należności długoterminowe</v>
          </cell>
          <cell r="Q2" t="str">
            <v>A. Przepływ środków z działalności operacyjnej</v>
          </cell>
          <cell r="R2" t="str">
            <v>A. Przepływ środków z działalności operacyjnej</v>
          </cell>
          <cell r="T2" t="str">
            <v xml:space="preserve">      1. Amortyzacja (wartość dodatnia)</v>
          </cell>
        </row>
        <row r="3">
          <cell r="A3" t="str">
            <v>Koszty osobowe</v>
          </cell>
          <cell r="B3" t="str">
            <v>Koszty osobowe</v>
          </cell>
          <cell r="D3" t="str">
            <v>Szkolenia</v>
          </cell>
          <cell r="G3" t="str">
            <v>Przychody ze sprzedaży energii elektrycznej (WYTWÓRCY)</v>
          </cell>
          <cell r="H3" t="str">
            <v>Przychody ze sprzedaży energii elektrycznej (WYTWÓRCY)</v>
          </cell>
          <cell r="J3" t="str">
            <v>Sprzedaż energii i mocy elektrycznej do PGE</v>
          </cell>
          <cell r="M3" t="str">
            <v>IV. Inwestycje długoterminowe</v>
          </cell>
          <cell r="N3" t="str">
            <v>IV. Inwestycje długoterminowe</v>
          </cell>
          <cell r="Q3" t="str">
            <v>B. Przepływ środków z działalności inwestycyjnej</v>
          </cell>
          <cell r="R3" t="str">
            <v>A. Przepływ środków z działalności operacyjnej</v>
          </cell>
          <cell r="T3" t="str">
            <v xml:space="preserve">      2. Zmiana stanu zapasów (wartość dodatnia lub ujemna)</v>
          </cell>
        </row>
        <row r="4">
          <cell r="A4" t="str">
            <v>Koszty reprezentacji i reklamy</v>
          </cell>
          <cell r="B4" t="str">
            <v>Koszty osobowe</v>
          </cell>
          <cell r="D4" t="str">
            <v>Ubezpieczenia społeczne i świadczenia</v>
          </cell>
          <cell r="G4" t="str">
            <v>Przychody ze sprzedaży energii elektrycznej (SOH)</v>
          </cell>
          <cell r="H4" t="str">
            <v>Przychody ze sprzedaży energii elektrycznej (WYTWÓRCY)</v>
          </cell>
          <cell r="J4" t="str">
            <v>Sprzedaż energii i mocy elektrycznej do PGE</v>
          </cell>
          <cell r="M4" t="str">
            <v>I. Zapasy</v>
          </cell>
          <cell r="N4" t="str">
            <v>I. Zapasy</v>
          </cell>
          <cell r="Q4" t="str">
            <v>C. Przepływ środków z działalności finansowej</v>
          </cell>
          <cell r="R4" t="str">
            <v>A. Przepływ środków z działalności operacyjnej</v>
          </cell>
          <cell r="T4" t="str">
            <v xml:space="preserve">      3. Zmiana stanu należności (wartość dodatnia lub ujemna)</v>
          </cell>
        </row>
        <row r="5">
          <cell r="A5" t="str">
            <v>Koszty zakupu  RUS i pozostałych usług operatorskich</v>
          </cell>
          <cell r="B5" t="str">
            <v>Koszty osobowe</v>
          </cell>
          <cell r="D5" t="str">
            <v>Wynagrodzenia</v>
          </cell>
          <cell r="G5" t="str">
            <v>Przychody ze sprzedaży energii elektrycznej (SSD)</v>
          </cell>
          <cell r="H5" t="str">
            <v>Przychody ze sprzedaży energii elektrycznej (WYTWÓRCY)</v>
          </cell>
          <cell r="J5" t="str">
            <v>Sprzedaż energii i mocy elektrycznej do PGE</v>
          </cell>
          <cell r="M5" t="str">
            <v>II. Należności z tytułu dostaw i usług wobec jednostek powiązanych</v>
          </cell>
          <cell r="N5" t="str">
            <v>I. Zapasy</v>
          </cell>
          <cell r="R5" t="str">
            <v>A. Przepływ środków z działalności operacyjnej</v>
          </cell>
          <cell r="T5" t="str">
            <v xml:space="preserve">      4. Zmiana stanu zob.krótkoterm. i funduszy specjalnych (wartość dodatnia lub ujemna)</v>
          </cell>
        </row>
        <row r="6">
          <cell r="A6" t="str">
            <v>Koszty zakupu  uprawnień do emisji CO2</v>
          </cell>
          <cell r="B6" t="str">
            <v>Koszty reprezentacji i reklamy</v>
          </cell>
          <cell r="D6" t="str">
            <v>Koszty połączenia Polska - Szwecja</v>
          </cell>
          <cell r="G6" t="str">
            <v>Przychody z dystrybucji (OSD)</v>
          </cell>
          <cell r="H6" t="str">
            <v>Przychody ze sprzedaży energii elektrycznej (WYTWÓRCY)</v>
          </cell>
          <cell r="J6" t="str">
            <v>Sprzedaż energii i mocy elektrycznej poza PGE</v>
          </cell>
          <cell r="M6" t="str">
            <v>III. Należności z tytułu dostaw i usług wobec jednostek pozostałych</v>
          </cell>
          <cell r="N6" t="str">
            <v>II. Należności z tytułu dostaw i usług wobec jednostek powiązanych</v>
          </cell>
          <cell r="R6" t="str">
            <v>A. Przepływ środków z działalności operacyjnej</v>
          </cell>
          <cell r="T6" t="str">
            <v xml:space="preserve">      5. Pozostałe (wartość dodatnia lub ujemna)</v>
          </cell>
        </row>
        <row r="7">
          <cell r="A7" t="str">
            <v>Podatki i opłaty</v>
          </cell>
          <cell r="B7" t="str">
            <v>Koszty reprezentacji i reklamy</v>
          </cell>
          <cell r="D7" t="str">
            <v>Sponsoring</v>
          </cell>
          <cell r="G7" t="str">
            <v>PRZYCHODY INNE</v>
          </cell>
          <cell r="H7" t="str">
            <v>Przychody ze sprzedaży energii elektrycznej (WYTWÓRCY)</v>
          </cell>
          <cell r="J7" t="str">
            <v>Sprzedaż energii elektrycznej na Rynek bilansujący (WYTW)</v>
          </cell>
          <cell r="M7" t="str">
            <v>IV. Należności krótkoterminowe pozostałe</v>
          </cell>
          <cell r="N7" t="str">
            <v>III. Należności z tytułu dostaw i usług wobec jednostek pozostałych</v>
          </cell>
          <cell r="R7" t="str">
            <v>A. Przepływ środków z działalności operacyjnej</v>
          </cell>
          <cell r="T7" t="str">
            <v xml:space="preserve">   III. Środki pieniężne z działalności operacyjnej</v>
          </cell>
        </row>
        <row r="8">
          <cell r="A8" t="str">
            <v>Podróże służbowe</v>
          </cell>
          <cell r="B8" t="str">
            <v>Koszty zakupu  RUS i pozostałych usług operatorskich</v>
          </cell>
          <cell r="D8" t="str">
            <v>Pozostałe</v>
          </cell>
          <cell r="G8" t="str">
            <v>Pozostałe przychody operacyjne</v>
          </cell>
          <cell r="H8" t="str">
            <v>Przychody ze sprzedaży energii elektrycznej (WYTWÓRCY)</v>
          </cell>
          <cell r="J8" t="str">
            <v>Sprzedaż energii elektrycznej odbiorcom finalnym</v>
          </cell>
          <cell r="M8" t="str">
            <v>V.  Inwestycje krótkoterminowe</v>
          </cell>
          <cell r="N8" t="str">
            <v>IV. Należności krótkoterminowe pozostałe</v>
          </cell>
          <cell r="R8" t="str">
            <v>B. Przepływ środków z działalności inwestycyjnej</v>
          </cell>
          <cell r="T8" t="str">
            <v>I. Wpływy z działalności inwestycyjnej</v>
          </cell>
        </row>
        <row r="9">
          <cell r="A9" t="str">
            <v>Pozostałe koszty</v>
          </cell>
          <cell r="B9" t="str">
            <v>Koszty zakupu  RUS i pozostałych usług operatorskich</v>
          </cell>
          <cell r="D9" t="str">
            <v>RUS - PGE</v>
          </cell>
          <cell r="G9" t="str">
            <v>Przychody finansowe</v>
          </cell>
          <cell r="H9" t="str">
            <v>Przychody ze sprzedaży energii elektrycznej (SOH)</v>
          </cell>
          <cell r="J9" t="str">
            <v>Regulacyjne usługi systemowe i inne przychody od OSP (WYTW)</v>
          </cell>
          <cell r="M9" t="str">
            <v>II. Zobowiązania długoterminowe</v>
          </cell>
          <cell r="N9" t="str">
            <v>V.  Inwestycje krótkoterminowe</v>
          </cell>
          <cell r="R9" t="str">
            <v>B. Przepływ środków z działalności inwestycyjnej</v>
          </cell>
          <cell r="T9" t="str">
            <v>II. Wydatki z działalności inwestycyjnej</v>
          </cell>
        </row>
        <row r="10">
          <cell r="A10" t="str">
            <v>Ubezpieczenia</v>
          </cell>
          <cell r="B10" t="str">
            <v>Koszty zakupu  uprawnień do emisji CO2</v>
          </cell>
          <cell r="D10" t="str">
            <v>RUS - poza PGE</v>
          </cell>
          <cell r="H10" t="str">
            <v>Przychody ze sprzedaży energii elektrycznej (SOH)</v>
          </cell>
          <cell r="J10" t="str">
            <v>Rekompensaty z tytułu rozwiązania KDT</v>
          </cell>
          <cell r="M10" t="str">
            <v xml:space="preserve">III. Zobowiązania krótkoterminowe </v>
          </cell>
          <cell r="N10" t="str">
            <v>V.  Inwestycje krótkoterminowe</v>
          </cell>
          <cell r="R10" t="str">
            <v>C. Przepływ środków z działalności finansowej</v>
          </cell>
          <cell r="T10" t="str">
            <v>II. Wydatki z działalności inwestycyjnej</v>
          </cell>
        </row>
        <row r="11">
          <cell r="A11" t="str">
            <v>Usługi obce</v>
          </cell>
          <cell r="B11" t="str">
            <v>Koszty zakupu  uprawnień do emisji CO2</v>
          </cell>
          <cell r="D11" t="str">
            <v>CO2 - PGE</v>
          </cell>
          <cell r="H11" t="str">
            <v>Przychody ze sprzedaży energii elektrycznej (SOH)</v>
          </cell>
          <cell r="J11" t="str">
            <v>Sprzedaż energii elektrycznej do PGE</v>
          </cell>
          <cell r="N11" t="str">
            <v>V.  Inwestycje krótkoterminowe</v>
          </cell>
          <cell r="R11" t="str">
            <v>C. Przepływ środków z działalności finansowej</v>
          </cell>
          <cell r="T11" t="str">
            <v>II. Wydatki z działalności inwestycyjnej</v>
          </cell>
        </row>
        <row r="12">
          <cell r="A12" t="str">
            <v>Zużycie energii</v>
          </cell>
          <cell r="B12" t="str">
            <v>Podatki i opłaty</v>
          </cell>
          <cell r="D12" t="str">
            <v>CO2 - poza PGE</v>
          </cell>
          <cell r="H12" t="str">
            <v>Przychody ze sprzedaży energii elektrycznej (SOH)</v>
          </cell>
          <cell r="J12" t="str">
            <v>Sprzedaż energii elektrycznej do PGE</v>
          </cell>
          <cell r="N12" t="str">
            <v>II. Zobowiązania długoterminowe</v>
          </cell>
          <cell r="T12" t="str">
            <v>I. Wpływy z działalności finansowej</v>
          </cell>
        </row>
        <row r="13">
          <cell r="A13" t="str">
            <v>Zużycie materiałów</v>
          </cell>
          <cell r="B13" t="str">
            <v>Podatki i opłaty</v>
          </cell>
          <cell r="D13" t="str">
            <v>Opłaty dla OSP</v>
          </cell>
          <cell r="H13" t="str">
            <v>Przychody ze sprzedaży energii elektrycznej (SOH)</v>
          </cell>
          <cell r="J13" t="str">
            <v>Sprzedaż energii elektrycznej do PGE</v>
          </cell>
          <cell r="N13" t="str">
            <v>II. Zobowiązania długoterminowe</v>
          </cell>
          <cell r="T13" t="str">
            <v>I. Wpływy z działalności finansowej</v>
          </cell>
        </row>
        <row r="14">
          <cell r="A14" t="str">
            <v>Koszty (WYD)</v>
          </cell>
          <cell r="B14" t="str">
            <v>Podatki i opłaty</v>
          </cell>
          <cell r="D14" t="str">
            <v>Opłaty przesyłowe (linie 110 kV)</v>
          </cell>
          <cell r="H14" t="str">
            <v>Przychody ze sprzedaży energii elektrycznej (SOH)</v>
          </cell>
          <cell r="J14" t="str">
            <v>Sprzedaż energii elektrycznej do PGE</v>
          </cell>
          <cell r="N14" t="str">
            <v xml:space="preserve">III. Zobowiązania krótkoterminowe </v>
          </cell>
          <cell r="T14" t="str">
            <v>I. Wpływy z działalności finansowej</v>
          </cell>
        </row>
        <row r="15">
          <cell r="A15" t="str">
            <v>Koszty (WYTW)</v>
          </cell>
          <cell r="B15" t="str">
            <v>Podatki i opłaty</v>
          </cell>
          <cell r="D15" t="str">
            <v>Opłata rozliczeniowa</v>
          </cell>
          <cell r="H15" t="str">
            <v>Przychody ze sprzedaży energii elektrycznej (SOH)</v>
          </cell>
          <cell r="J15" t="str">
            <v>Sprzedaż energii elektrycznej do PGE</v>
          </cell>
          <cell r="N15" t="str">
            <v xml:space="preserve">III. Zobowiązania krótkoterminowe </v>
          </cell>
          <cell r="T15" t="str">
            <v>II. Wydatki z działalności finansowej</v>
          </cell>
        </row>
        <row r="16">
          <cell r="A16" t="str">
            <v>Koszty (SOH)</v>
          </cell>
          <cell r="B16" t="str">
            <v>Podatki i opłaty</v>
          </cell>
          <cell r="D16" t="str">
            <v>Opłaty tranzytowe w obrocie zagranicznym</v>
          </cell>
          <cell r="H16" t="str">
            <v>Przychody ze sprzedaży energii elektrycznej (SOH)</v>
          </cell>
          <cell r="J16" t="str">
            <v>Sprzedaż energii elektrycznej do PGE</v>
          </cell>
          <cell r="N16" t="str">
            <v xml:space="preserve">III. Zobowiązania krótkoterminowe </v>
          </cell>
          <cell r="T16" t="str">
            <v>II. Wydatki z działalności finansowej</v>
          </cell>
        </row>
        <row r="17">
          <cell r="A17" t="str">
            <v>Koszty (SSD)</v>
          </cell>
          <cell r="B17" t="str">
            <v>Podatki i opłaty</v>
          </cell>
          <cell r="D17" t="str">
            <v>Opłata eksploatacyjna złoża</v>
          </cell>
          <cell r="H17" t="str">
            <v>Przychody ze sprzedaży energii elektrycznej (SOH)</v>
          </cell>
          <cell r="J17" t="str">
            <v>Sprzedaż energii elektrycznej do PGE</v>
          </cell>
          <cell r="T17" t="str">
            <v>II. Wydatki z działalności finansowej</v>
          </cell>
        </row>
        <row r="18">
          <cell r="A18" t="str">
            <v>Pozostałe koszty operacyjne</v>
          </cell>
          <cell r="B18" t="str">
            <v>Podatki i opłaty</v>
          </cell>
          <cell r="D18" t="str">
            <v>Opłaty koncesyjne</v>
          </cell>
          <cell r="H18" t="str">
            <v>Przychody ze sprzedaży energii elektrycznej (SOH)</v>
          </cell>
          <cell r="J18" t="str">
            <v>Sprzedaż energii elektrycznej do PGE</v>
          </cell>
        </row>
        <row r="19">
          <cell r="A19" t="str">
            <v>Koszty finansowe</v>
          </cell>
          <cell r="B19" t="str">
            <v>Podróże służbowe</v>
          </cell>
          <cell r="D19" t="str">
            <v>Opłaty za korzyst. ze środ., w tym:</v>
          </cell>
          <cell r="H19" t="str">
            <v>Przychody ze sprzedaży energii elektrycznej (SOH)</v>
          </cell>
          <cell r="J19" t="str">
            <v>Sprzedaż energii elektrycznej do PGE</v>
          </cell>
        </row>
        <row r="20">
          <cell r="B20" t="str">
            <v>Pozostałe koszty</v>
          </cell>
          <cell r="D20" t="str">
            <v>Podatek akcyzowy</v>
          </cell>
          <cell r="H20" t="str">
            <v>Przychody ze sprzedaży energii elektrycznej (SSD)</v>
          </cell>
          <cell r="J20" t="str">
            <v>Sprzedaż energii do spółek PGE (Grupa bilansująca)</v>
          </cell>
        </row>
        <row r="21">
          <cell r="B21" t="str">
            <v>Pozostałe koszty</v>
          </cell>
          <cell r="D21" t="str">
            <v>Podatek od nieruchomości</v>
          </cell>
          <cell r="H21" t="str">
            <v>Przychody ze sprzedaży energii elektrycznej (SSD)</v>
          </cell>
          <cell r="J21" t="str">
            <v>Sprzedaż energii elektrycznej do OF</v>
          </cell>
        </row>
        <row r="22">
          <cell r="B22" t="str">
            <v>Ubezpieczenia</v>
          </cell>
          <cell r="D22" t="str">
            <v>Pozostałe podatki i opłaty</v>
          </cell>
          <cell r="H22" t="str">
            <v>Przychody ze sprzedaży energii elektrycznej (SSD)</v>
          </cell>
          <cell r="J22" t="str">
            <v>Sprzedaż paliw w PGE</v>
          </cell>
        </row>
        <row r="23">
          <cell r="B23" t="str">
            <v>Ubezpieczenia</v>
          </cell>
          <cell r="D23" t="str">
            <v>VAT</v>
          </cell>
          <cell r="H23" t="str">
            <v>Przychody ze sprzedaży energii elektrycznej (SSD)</v>
          </cell>
          <cell r="J23" t="str">
            <v>Sprzedaż paliw w PGE</v>
          </cell>
        </row>
        <row r="24">
          <cell r="B24" t="str">
            <v>Usługi obce</v>
          </cell>
          <cell r="D24" t="str">
            <v>Podróże służbowe</v>
          </cell>
          <cell r="H24" t="str">
            <v>Przychody ze sprzedaży energii elektrycznej (SSD)</v>
          </cell>
          <cell r="J24" t="str">
            <v>Sprzedaż paliw w PGE</v>
          </cell>
        </row>
        <row r="25">
          <cell r="B25" t="str">
            <v>Usługi obce</v>
          </cell>
          <cell r="D25" t="str">
            <v>Pozostałe koszty</v>
          </cell>
          <cell r="H25" t="str">
            <v>Przychody ze sprzedaży energii elektrycznej (SSD)</v>
          </cell>
          <cell r="J25" t="str">
            <v>Sprzedaż paliw poza PGE</v>
          </cell>
        </row>
        <row r="26">
          <cell r="B26" t="str">
            <v>Usługi obce</v>
          </cell>
          <cell r="D26" t="str">
            <v>w tym: Fundusz Likwidacji Zakładu Górniczego (kopalnie)</v>
          </cell>
          <cell r="H26" t="str">
            <v>Przychody ze sprzedaży energii elektrycznej (SSD)</v>
          </cell>
          <cell r="J26" t="str">
            <v>Sprzedaż paliw poza PGE</v>
          </cell>
        </row>
        <row r="27">
          <cell r="B27" t="str">
            <v>Usługi obce</v>
          </cell>
          <cell r="D27" t="str">
            <v>Prowizje handlowe</v>
          </cell>
          <cell r="H27" t="str">
            <v>Przychody ze sprzedaży energii elektrycznej (SSD)</v>
          </cell>
          <cell r="J27" t="str">
            <v>Sprzedaż paliw poza PGE</v>
          </cell>
        </row>
        <row r="28">
          <cell r="B28" t="str">
            <v>Usługi obce</v>
          </cell>
          <cell r="D28" t="str">
            <v>Prowizje handlowe</v>
          </cell>
          <cell r="H28" t="str">
            <v>Przychody ze sprzedaży energii elektrycznej (SSD)</v>
          </cell>
          <cell r="J28" t="str">
            <v>Rynek bilansujący</v>
          </cell>
        </row>
        <row r="29">
          <cell r="B29" t="str">
            <v>Usługi obce</v>
          </cell>
          <cell r="D29" t="str">
            <v>Rekultywacja bieżąca realizowana przez wykonawców obcych</v>
          </cell>
          <cell r="H29" t="str">
            <v>Przychody ze sprzedaży energii elektrycznej (SSD)</v>
          </cell>
          <cell r="J29" t="str">
            <v>Obrót międzynarodowy (SPRZEDAŻ)</v>
          </cell>
        </row>
        <row r="30">
          <cell r="B30" t="str">
            <v>Usługi obce</v>
          </cell>
          <cell r="D30" t="str">
            <v>Pozostałe usługi obce</v>
          </cell>
          <cell r="H30" t="str">
            <v>Przychody z dystrybucji (OSD)</v>
          </cell>
          <cell r="J30" t="str">
            <v>Wymiana międzysystemowa (SPRZEDAŻ)</v>
          </cell>
        </row>
        <row r="31">
          <cell r="B31" t="str">
            <v>Usługi obce</v>
          </cell>
          <cell r="D31" t="str">
            <v>Koszty rezerwowania zdolności przesyłowych</v>
          </cell>
          <cell r="H31" t="str">
            <v>Przychody z dystrybucji (OSD)</v>
          </cell>
          <cell r="J31" t="str">
            <v>Wymiana międzysystemowa (SPRZEDAŻ)</v>
          </cell>
        </row>
        <row r="32">
          <cell r="B32" t="str">
            <v>Usługi obce</v>
          </cell>
          <cell r="D32" t="str">
            <v>Koszty rezerwowania zdolności przesyłowych</v>
          </cell>
          <cell r="H32" t="str">
            <v>Przychody z dystrybucji (OSD)</v>
          </cell>
          <cell r="J32" t="str">
            <v>Regulacyjne usługi systemowe i inne przychody od OSP (SOH)</v>
          </cell>
        </row>
        <row r="33">
          <cell r="B33" t="str">
            <v>Usługi obce</v>
          </cell>
          <cell r="D33" t="str">
            <v>Ubezpieczenia majątkowe</v>
          </cell>
          <cell r="H33" t="str">
            <v>Przychody z dystrybucji (OSD)</v>
          </cell>
          <cell r="J33" t="str">
            <v>Sprzedaż energii elektrycznej pozostała</v>
          </cell>
        </row>
        <row r="34">
          <cell r="B34" t="str">
            <v>Usługi obce</v>
          </cell>
          <cell r="D34" t="str">
            <v>Ubezpieczenia pozostałe</v>
          </cell>
          <cell r="H34" t="str">
            <v>Przychody z dystrybucji (OSD)</v>
          </cell>
          <cell r="J34" t="str">
            <v>Pozostałe przychody</v>
          </cell>
        </row>
        <row r="35">
          <cell r="B35" t="str">
            <v>Usługi obce</v>
          </cell>
          <cell r="D35" t="str">
            <v>Czynsze i dzierżawy</v>
          </cell>
          <cell r="H35" t="str">
            <v>Przychody z dystrybucji (OSD)</v>
          </cell>
          <cell r="J35" t="str">
            <v>Sprzedaż energii do OF</v>
          </cell>
        </row>
        <row r="36">
          <cell r="B36" t="str">
            <v>Usługi obce</v>
          </cell>
          <cell r="D36" t="str">
            <v>Usługi doradcze</v>
          </cell>
          <cell r="H36" t="str">
            <v>Przychody z dystrybucji (OSD)</v>
          </cell>
          <cell r="J36" t="str">
            <v>Sprzedaż energii do OF</v>
          </cell>
        </row>
        <row r="37">
          <cell r="B37" t="str">
            <v>Usługi obce</v>
          </cell>
          <cell r="D37" t="str">
            <v>Usługi informatyczne</v>
          </cell>
          <cell r="H37" t="str">
            <v>Przychody z dystrybucji (OSD)</v>
          </cell>
          <cell r="J37" t="str">
            <v>Sprzedaż energii do OF</v>
          </cell>
        </row>
        <row r="38">
          <cell r="B38" t="str">
            <v>Usługi obce</v>
          </cell>
          <cell r="D38" t="str">
            <v>Usługi obce remonty i eksploatacja</v>
          </cell>
          <cell r="H38" t="str">
            <v>Przychody z dystrybucji (OSD)</v>
          </cell>
          <cell r="J38" t="str">
            <v>Sprzedaż energii do OF</v>
          </cell>
        </row>
        <row r="39">
          <cell r="B39" t="str">
            <v>Usługi obce</v>
          </cell>
          <cell r="D39" t="str">
            <v>Usługi OHT</v>
          </cell>
          <cell r="H39" t="str">
            <v>PRZYCHODY INNE</v>
          </cell>
          <cell r="J39" t="str">
            <v>Sprzedaż energii do OF</v>
          </cell>
        </row>
        <row r="40">
          <cell r="B40" t="str">
            <v>Usługi obce</v>
          </cell>
          <cell r="D40" t="str">
            <v>Usługi serwisowe</v>
          </cell>
          <cell r="H40" t="str">
            <v>PRZYCHODY INNE</v>
          </cell>
          <cell r="J40" t="str">
            <v>Sprzedaż energii do PGE-ELECTRA (Grupa bilansująca)</v>
          </cell>
        </row>
        <row r="41">
          <cell r="B41" t="str">
            <v>Usługi obce</v>
          </cell>
          <cell r="D41" t="str">
            <v>Usługi serwisowe</v>
          </cell>
          <cell r="H41" t="str">
            <v>PRZYCHODY INNE</v>
          </cell>
          <cell r="J41" t="str">
            <v>Sprzedaż energii na odsprzedaż do PGE</v>
          </cell>
        </row>
        <row r="42">
          <cell r="B42" t="str">
            <v>Zużycie energii</v>
          </cell>
          <cell r="D42" t="str">
            <v>Usługi telekomunikacyjne</v>
          </cell>
          <cell r="H42" t="str">
            <v>PRZYCHODY INNE</v>
          </cell>
          <cell r="J42" t="str">
            <v>Sprzedaż energii na straty do OSD (PGE)</v>
          </cell>
        </row>
        <row r="43">
          <cell r="B43" t="str">
            <v>Zużycie energii</v>
          </cell>
          <cell r="H43" t="str">
            <v>PRZYCHODY INNE</v>
          </cell>
          <cell r="J43" t="str">
            <v>Sprzedaż energii na straty do OSD (poza PGE)</v>
          </cell>
        </row>
        <row r="44">
          <cell r="B44" t="str">
            <v>Zużycie energii</v>
          </cell>
          <cell r="H44" t="str">
            <v>PRZYCHODY INNE</v>
          </cell>
          <cell r="J44" t="str">
            <v xml:space="preserve">Pozostałe przychody ze sprzedaży energii elektrycznej </v>
          </cell>
        </row>
        <row r="45">
          <cell r="B45" t="str">
            <v>Zużycie energii</v>
          </cell>
          <cell r="D45" t="str">
            <v>Usługi transportowe</v>
          </cell>
          <cell r="H45" t="str">
            <v>PRZYCHODY INNE</v>
          </cell>
          <cell r="J45" t="str">
            <v>Sprzedaż energii elektrycznej na Rynek bilansujący (SSD)</v>
          </cell>
        </row>
        <row r="46">
          <cell r="B46" t="str">
            <v>Zużycie energii</v>
          </cell>
          <cell r="D46" t="str">
            <v>Usługi transportowe</v>
          </cell>
          <cell r="H46" t="str">
            <v>PRZYCHODY INNE</v>
          </cell>
          <cell r="J46" t="str">
            <v>Przychody z tytułu opłaty abonamentowej (OSD)</v>
          </cell>
        </row>
        <row r="47">
          <cell r="B47" t="str">
            <v>Zużycie materiałów</v>
          </cell>
          <cell r="D47" t="str">
            <v>Usługi transportowe</v>
          </cell>
          <cell r="H47" t="str">
            <v>PRZYCHODY INNE</v>
          </cell>
          <cell r="J47" t="str">
            <v>Przychody z tytułu opłaty abonamentowej (OSD)</v>
          </cell>
        </row>
        <row r="48">
          <cell r="B48" t="str">
            <v>Zużycie materiałów</v>
          </cell>
          <cell r="D48" t="str">
            <v>Usługi transportowe</v>
          </cell>
          <cell r="H48" t="str">
            <v>Pozostałe przychody operacyjne</v>
          </cell>
          <cell r="J48" t="str">
            <v>Przychody z tytułu opłaty abonamentowej (OSD)</v>
          </cell>
        </row>
        <row r="49">
          <cell r="B49" t="str">
            <v>Zużycie materiałów</v>
          </cell>
          <cell r="D49" t="str">
            <v>Usługi transportowe</v>
          </cell>
          <cell r="H49" t="str">
            <v>Pozostałe przychody operacyjne</v>
          </cell>
          <cell r="J49" t="str">
            <v>Przychody z tytułu opłaty abonamentowej (OSD)</v>
          </cell>
        </row>
        <row r="50">
          <cell r="B50" t="str">
            <v>Zużycie materiałów</v>
          </cell>
          <cell r="D50" t="str">
            <v>Zakup energii na pompowanie (ESP)</v>
          </cell>
          <cell r="H50" t="str">
            <v>Pozostałe przychody operacyjne</v>
          </cell>
          <cell r="J50" t="str">
            <v>Sprzedaż usług dystrybucyjnych (umowa kompleksowa)</v>
          </cell>
        </row>
        <row r="51">
          <cell r="B51" t="str">
            <v>Zużycie materiałów</v>
          </cell>
          <cell r="D51" t="str">
            <v>Zakup energii na potrzeby własne</v>
          </cell>
          <cell r="H51" t="str">
            <v>Przychody finansowe</v>
          </cell>
          <cell r="J51" t="str">
            <v>Wymiana na SN i NN</v>
          </cell>
        </row>
        <row r="52">
          <cell r="B52" t="str">
            <v>Zużycie materiałów</v>
          </cell>
          <cell r="D52" t="str">
            <v>Zużycie energii na potrzeby produkcyjne</v>
          </cell>
          <cell r="H52" t="str">
            <v>Przychody finansowe</v>
          </cell>
          <cell r="J52" t="str">
            <v>Wymiana na SN i NN</v>
          </cell>
        </row>
        <row r="53">
          <cell r="B53" t="str">
            <v>Pozostałe koszty operacyjne</v>
          </cell>
          <cell r="D53" t="str">
            <v>Zużycie energii pozostałe</v>
          </cell>
          <cell r="H53" t="str">
            <v>Przychody finansowe</v>
          </cell>
          <cell r="J53" t="str">
            <v>Przychody z usługi dystrybucyjnej</v>
          </cell>
        </row>
        <row r="54">
          <cell r="B54" t="str">
            <v>Pozostałe koszty operacyjne</v>
          </cell>
          <cell r="D54" t="str">
            <v>Zakup energii na pokrycie różnicy bilansowej (OSD)</v>
          </cell>
          <cell r="H54" t="str">
            <v>Przychody finansowe</v>
          </cell>
          <cell r="J54" t="str">
            <v>Przychody z usługi dystrybucyjnej</v>
          </cell>
        </row>
        <row r="55">
          <cell r="B55" t="str">
            <v>Pozostałe koszty operacyjne</v>
          </cell>
          <cell r="D55" t="str">
            <v xml:space="preserve">Chemikalia </v>
          </cell>
          <cell r="H55" t="str">
            <v>Przychody finansowe</v>
          </cell>
          <cell r="J55" t="str">
            <v>Przychody z usługi dystrybucyjnej</v>
          </cell>
        </row>
        <row r="56">
          <cell r="B56" t="str">
            <v>Koszty finansowe</v>
          </cell>
          <cell r="D56" t="str">
            <v>Koszty paliwa produkcyjnego</v>
          </cell>
          <cell r="J56" t="str">
            <v>Przychody z usługi dystrybucyjnej</v>
          </cell>
        </row>
        <row r="57">
          <cell r="B57" t="str">
            <v>Koszty finansowe</v>
          </cell>
          <cell r="D57" t="str">
            <v>Koszty paliwa produkcyjnego</v>
          </cell>
          <cell r="J57" t="str">
            <v>Doszacowanie sprzedaży</v>
          </cell>
        </row>
        <row r="58">
          <cell r="B58" t="str">
            <v>Koszty finansowe</v>
          </cell>
          <cell r="D58" t="str">
            <v>Koszty paliwa produkcyjnego</v>
          </cell>
          <cell r="J58" t="str">
            <v>Przychody z tytułu opłaty przyłączeniowej</v>
          </cell>
        </row>
        <row r="59">
          <cell r="B59" t="str">
            <v>Koszty finansowe</v>
          </cell>
          <cell r="D59" t="str">
            <v>Koszty paliwa produkcyjnego</v>
          </cell>
          <cell r="J59" t="str">
            <v>Przychody z tytułu opłaty abonamentowej</v>
          </cell>
        </row>
        <row r="60">
          <cell r="B60" t="str">
            <v>Koszty (WYD)</v>
          </cell>
          <cell r="D60" t="str">
            <v>Koszty paliwa produkcyjnego</v>
          </cell>
          <cell r="J60" t="str">
            <v>Przychody z tytułu opłaty abonamentowej</v>
          </cell>
        </row>
        <row r="61">
          <cell r="B61" t="str">
            <v>Koszty (WYTW)</v>
          </cell>
          <cell r="D61" t="str">
            <v>Sorbent</v>
          </cell>
          <cell r="J61" t="str">
            <v>Przychody z tytułu opłaty abonamentowej</v>
          </cell>
        </row>
        <row r="62">
          <cell r="B62" t="str">
            <v>Koszty (WYTW)</v>
          </cell>
          <cell r="D62" t="str">
            <v>Zużycie materiałów inwestycyjnych</v>
          </cell>
          <cell r="J62" t="str">
            <v>Przychody z tytułu opłaty abonamentowej</v>
          </cell>
        </row>
        <row r="63">
          <cell r="B63" t="str">
            <v>Koszty (SOH)</v>
          </cell>
          <cell r="D63" t="str">
            <v>Zużycie materiałów pozostałych</v>
          </cell>
          <cell r="J63" t="str">
            <v>Sprzedaż usług tranzytowych (PGE)</v>
          </cell>
        </row>
        <row r="64">
          <cell r="B64" t="str">
            <v>Koszty (SOH)</v>
          </cell>
          <cell r="D64" t="str">
            <v>Zużycie materiałów remontowo - eksploatacyjnych</v>
          </cell>
          <cell r="J64" t="str">
            <v>Sprzedaż usług tranzytowych (PGE)</v>
          </cell>
        </row>
        <row r="65">
          <cell r="B65" t="str">
            <v>Koszty (SOH)</v>
          </cell>
          <cell r="D65" t="str">
            <v>Usługi przesyłowe</v>
          </cell>
          <cell r="J65" t="str">
            <v>Sprzedaż usług tranzytowych (PGE)</v>
          </cell>
        </row>
        <row r="66">
          <cell r="B66" t="str">
            <v>Koszty (SOH)</v>
          </cell>
          <cell r="D66" t="str">
            <v>Usługi przesyłowe</v>
          </cell>
          <cell r="J66" t="str">
            <v>Sprzedaż usług tranzytowych (PGE)</v>
          </cell>
        </row>
        <row r="67">
          <cell r="B67" t="str">
            <v>Koszty (SOH)</v>
          </cell>
          <cell r="D67" t="str">
            <v>Usługi przesyłowe</v>
          </cell>
          <cell r="J67" t="str">
            <v>Sprzedaż usług tranzytowych (PGE)</v>
          </cell>
        </row>
        <row r="68">
          <cell r="B68" t="str">
            <v>Koszty (SOH)</v>
          </cell>
          <cell r="D68" t="str">
            <v>Wartość sprzed. Tow. i Mat.</v>
          </cell>
          <cell r="J68" t="str">
            <v>Sprzedaż usług tranzytowych (PGE)</v>
          </cell>
        </row>
        <row r="69">
          <cell r="B69" t="str">
            <v>Koszty (SOH)</v>
          </cell>
          <cell r="D69" t="str">
            <v>Strata ze zbycia finansowych aktywów trwałych</v>
          </cell>
          <cell r="J69" t="str">
            <v>Sprzedaż usług tranzytowych (PGE)</v>
          </cell>
        </row>
        <row r="70">
          <cell r="B70" t="str">
            <v>Koszty (SOH)</v>
          </cell>
          <cell r="D70" t="str">
            <v>Aktualizacja wartości aktywów niefinansowych</v>
          </cell>
          <cell r="J70" t="str">
            <v>Sprzedaż usług tranzytowych (PGE)</v>
          </cell>
        </row>
        <row r="71">
          <cell r="B71" t="str">
            <v>Koszty (SOH)</v>
          </cell>
          <cell r="D71" t="str">
            <v>Inne koszty operacyjne</v>
          </cell>
          <cell r="J71" t="str">
            <v>Sprzedaż usług tranzytowych (poza PGE)</v>
          </cell>
        </row>
        <row r="72">
          <cell r="B72" t="str">
            <v>Koszty (SOH)</v>
          </cell>
          <cell r="D72" t="str">
            <v>Odsetki</v>
          </cell>
          <cell r="J72" t="str">
            <v>Nielegalny pobór energii elektrycznej</v>
          </cell>
        </row>
        <row r="73">
          <cell r="B73" t="str">
            <v>Koszty (SOH)</v>
          </cell>
          <cell r="D73" t="str">
            <v>Strata ze zbycia inwestycji</v>
          </cell>
          <cell r="J73" t="str">
            <v>Przychody z opłaty przejściowej</v>
          </cell>
        </row>
        <row r="74">
          <cell r="B74" t="str">
            <v>Koszty (SOH)</v>
          </cell>
          <cell r="D74" t="str">
            <v>Aktualizacja wartości inwestycji</v>
          </cell>
          <cell r="J74" t="str">
            <v>Pozostałe przychody dystrybucji (en. bierna, przekr. mocy, usł dodatk.)</v>
          </cell>
        </row>
        <row r="75">
          <cell r="B75" t="str">
            <v>Koszty (SOH)</v>
          </cell>
          <cell r="D75" t="str">
            <v>Inne, w tym koszty finasnowe rekultywacji</v>
          </cell>
          <cell r="J75" t="str">
            <v>Pozostałe przychody dystrybucji (en. bierna, przekr. mocy, usł dodatk.)</v>
          </cell>
        </row>
        <row r="76">
          <cell r="B76" t="str">
            <v>Koszty (SOH)</v>
          </cell>
          <cell r="D76" t="str">
            <v>Wartość sprzedanych towarów i materiałów (WYD)</v>
          </cell>
          <cell r="J76" t="str">
            <v>Pozostałe przychody dystrybucji (en. bierna, przekr. mocy, usł dodatk.)</v>
          </cell>
        </row>
        <row r="77">
          <cell r="B77" t="str">
            <v>Koszty (SOH)</v>
          </cell>
          <cell r="D77" t="str">
            <v>Zakup energii na odsprzedaż</v>
          </cell>
          <cell r="J77" t="str">
            <v>Przychody ze sprzedaży ciepła</v>
          </cell>
        </row>
        <row r="78">
          <cell r="B78" t="str">
            <v>Koszty (SSD)</v>
          </cell>
          <cell r="D78" t="str">
            <v>Wartość sprzedanych towarów i materiałów (WYTW)</v>
          </cell>
          <cell r="J78" t="str">
            <v>Przychody ze sprzedaży ciepła</v>
          </cell>
        </row>
        <row r="79">
          <cell r="B79" t="str">
            <v>Koszty (SSD)</v>
          </cell>
          <cell r="D79" t="str">
            <v>Zakup z KDT (PGE)</v>
          </cell>
          <cell r="J79" t="str">
            <v>Przychody ze sprzedaży ciepła</v>
          </cell>
        </row>
        <row r="80">
          <cell r="B80" t="str">
            <v>Koszty (SSD)</v>
          </cell>
          <cell r="D80" t="str">
            <v>Zakup z KDT (poza PGE)</v>
          </cell>
          <cell r="J80" t="str">
            <v>Przychody z tytułu prowizji handlowych</v>
          </cell>
        </row>
        <row r="81">
          <cell r="B81" t="str">
            <v>Koszty (SSD)</v>
          </cell>
          <cell r="D81" t="str">
            <v>Zakup energii od spółek PGE (SOH)</v>
          </cell>
          <cell r="J81" t="str">
            <v>Przychody ze sprzedaży usług telekomunikacyjnych</v>
          </cell>
        </row>
        <row r="82">
          <cell r="B82" t="str">
            <v>Koszty (SSD)</v>
          </cell>
          <cell r="D82" t="str">
            <v>Zakup energii od spółek PGE (SOH)</v>
          </cell>
          <cell r="J82" t="str">
            <v>Przychody ze sprzedaży usług telekomunikacyjnych</v>
          </cell>
        </row>
        <row r="83">
          <cell r="B83" t="str">
            <v>Koszty (SSD)</v>
          </cell>
          <cell r="D83" t="str">
            <v>Zakup energii od spółek PGE (SOH)</v>
          </cell>
          <cell r="J83" t="str">
            <v>Przychody ze sprzedaży usług telekomunikacyjnych</v>
          </cell>
        </row>
        <row r="84">
          <cell r="B84" t="str">
            <v>Koszty (SSD)</v>
          </cell>
          <cell r="D84" t="str">
            <v>Zakup energii od spółek PGE (SOH)</v>
          </cell>
          <cell r="J84" t="str">
            <v>Przychody ze sprzedaży usług telekomunikacyjnych</v>
          </cell>
        </row>
        <row r="85">
          <cell r="B85" t="str">
            <v>Koszty (SSD)</v>
          </cell>
          <cell r="D85" t="str">
            <v>Zakup energii od spółek PGE (SOH)</v>
          </cell>
          <cell r="J85" t="str">
            <v>Przychody ze sprzedaży usług telekomunikacyjnych</v>
          </cell>
        </row>
        <row r="86">
          <cell r="B86" t="str">
            <v>Koszty (SSD)</v>
          </cell>
          <cell r="D86" t="str">
            <v>Zakup energii od spółek PGE (SOH)</v>
          </cell>
          <cell r="J86" t="str">
            <v>Przychody ze sprzedaży uprawnień do emisji CO2</v>
          </cell>
        </row>
        <row r="87">
          <cell r="B87" t="str">
            <v>Koszty (SSD)</v>
          </cell>
          <cell r="D87" t="str">
            <v>Zakup energii od spółek PGE (SOH)</v>
          </cell>
          <cell r="J87" t="str">
            <v>Przychody ze sprzedaży uprawnień do emisji CO2</v>
          </cell>
        </row>
        <row r="88">
          <cell r="B88" t="str">
            <v>Koszty (SSD)</v>
          </cell>
          <cell r="D88" t="str">
            <v>Zakup energii od spółek PGE (SOH)</v>
          </cell>
          <cell r="J88" t="str">
            <v>Przychody ze sprzedaży świadectw pochodzenia energii</v>
          </cell>
        </row>
        <row r="89">
          <cell r="B89" t="str">
            <v>Koszty (SSD)</v>
          </cell>
          <cell r="D89" t="str">
            <v>Zakup energii od spółek PGE (SOH)</v>
          </cell>
          <cell r="J89" t="str">
            <v>Przychody ze sprzedaży świadectw pochodzenia energii</v>
          </cell>
        </row>
        <row r="90">
          <cell r="B90" t="str">
            <v>Koszty (SSD)</v>
          </cell>
          <cell r="D90" t="str">
            <v>Zakup energii od spółek PGE (SOH)</v>
          </cell>
          <cell r="J90" t="str">
            <v>Przychody ze sprzedaży świadectw pochodzenia energii</v>
          </cell>
        </row>
        <row r="91">
          <cell r="D91" t="str">
            <v>Zakup energii od spółek PGE (SOH)</v>
          </cell>
          <cell r="J91" t="str">
            <v>Przychody z tytułu świadczenia usługi dodatkowej (PGE)</v>
          </cell>
        </row>
        <row r="92">
          <cell r="D92" t="str">
            <v>Zakup energii od spółek PGE (SOH)</v>
          </cell>
          <cell r="J92" t="str">
            <v>Przychody ze sprzedaży pozostałych produktów (NIEUJĘTE WYŻEJ)</v>
          </cell>
        </row>
        <row r="93">
          <cell r="D93" t="str">
            <v>Zakup energii od spółek PGE (SOH)</v>
          </cell>
          <cell r="J93" t="str">
            <v>Przychody ze sprzedaży pozostałych produktów (NIEUJĘTE WYŻEJ)</v>
          </cell>
        </row>
        <row r="94">
          <cell r="D94" t="str">
            <v>Zakup energii z rynku bilansującego (SOH)</v>
          </cell>
          <cell r="J94" t="str">
            <v>Przychody ze sprzedaży pozostałych usług (NIEUJĘTE WYŻEJ)</v>
          </cell>
        </row>
        <row r="95">
          <cell r="D95" t="str">
            <v>Zakup energii od spółek PGE (Grupa bilansująca)</v>
          </cell>
          <cell r="J95" t="str">
            <v>Przychody ze sprzedaży pozostałych usług (NIEUJĘTE WYŻEJ)</v>
          </cell>
        </row>
        <row r="96">
          <cell r="D96" t="str">
            <v>Pozostały zakup energii</v>
          </cell>
          <cell r="J96" t="str">
            <v>Przychody ze sprzedaży towarów i materiałów (NIEUJĘTE WYŻEJ)</v>
          </cell>
        </row>
        <row r="97">
          <cell r="D97" t="str">
            <v>Zakup paliw w PGE</v>
          </cell>
          <cell r="J97" t="str">
            <v>Przychody ze sprzedaży towarów i materiałów (NIEUJĘTE WYŻEJ)</v>
          </cell>
        </row>
        <row r="98">
          <cell r="D98" t="str">
            <v>Zakup paliw w PGE</v>
          </cell>
          <cell r="J98" t="str">
            <v>Zysk ze zbycia niefinansowych aktywów trwałych</v>
          </cell>
        </row>
        <row r="99">
          <cell r="D99" t="str">
            <v>Zakup paliw w PGE</v>
          </cell>
          <cell r="J99" t="str">
            <v>Dotacje</v>
          </cell>
        </row>
        <row r="100">
          <cell r="D100" t="str">
            <v>Zakup paliw poza PGE</v>
          </cell>
          <cell r="J100" t="str">
            <v>Inne przychody operacyjne</v>
          </cell>
        </row>
        <row r="101">
          <cell r="D101" t="str">
            <v>Zakup paliw poza PGE</v>
          </cell>
          <cell r="J101" t="str">
            <v>Dywidendy i  udziały w zyskach</v>
          </cell>
        </row>
        <row r="102">
          <cell r="D102" t="str">
            <v>Zakup paliw poza PGE</v>
          </cell>
          <cell r="J102" t="str">
            <v>Odsetki</v>
          </cell>
        </row>
        <row r="103">
          <cell r="D103" t="str">
            <v>Obrót międzynarodowy (ZAKUP)</v>
          </cell>
          <cell r="J103" t="str">
            <v>Zysk ze zbycia inwestycji</v>
          </cell>
        </row>
        <row r="104">
          <cell r="D104" t="str">
            <v>Wymiana międzysystemowa (ZAKUP)</v>
          </cell>
          <cell r="J104" t="str">
            <v>Aktualizacja wartości inwestycji</v>
          </cell>
        </row>
        <row r="105">
          <cell r="D105" t="str">
            <v>Wymiana międzysystemowa (ZAKUP)</v>
          </cell>
          <cell r="J105" t="str">
            <v>Inne</v>
          </cell>
        </row>
        <row r="106">
          <cell r="D106" t="str">
            <v>Zakup świadectw pochodzenia energii wytworzonej w źródłach odnawialnych (SOH)</v>
          </cell>
        </row>
        <row r="107">
          <cell r="D107" t="str">
            <v>Zakup świadectw pochodzenia energii wytworzonej w źródłach odnawialnych (SOH)</v>
          </cell>
        </row>
        <row r="108">
          <cell r="D108" t="str">
            <v>Zakup świadectw pochodzenia energii wytworzonej w kogeneracji (GAZ)</v>
          </cell>
        </row>
        <row r="109">
          <cell r="D109" t="str">
            <v>Zakup świadectw pochodzenia energii wytworzonej w kogeneracji (GAZ)</v>
          </cell>
        </row>
        <row r="110">
          <cell r="D110" t="str">
            <v>Zakup świadectw pochodzenia energii wytworzonej w kogeneracji (NIEGAZ)</v>
          </cell>
        </row>
        <row r="111">
          <cell r="D111" t="str">
            <v>Zakup świadectw pochodzenia energii wytworzonej w kogeneracji (NIEGAZ)</v>
          </cell>
        </row>
        <row r="112">
          <cell r="D112" t="str">
            <v>Zakup uprawnień do emisji CO2 (SOH)</v>
          </cell>
        </row>
        <row r="113">
          <cell r="D113" t="str">
            <v>Zakup uprawnień do emisji CO2 (SOH)</v>
          </cell>
        </row>
        <row r="114">
          <cell r="D114" t="str">
            <v>Wartość sprzedanych towarów i materiałów (pozostała)</v>
          </cell>
        </row>
        <row r="115">
          <cell r="D115" t="str">
            <v>Zakup energii od spółek PGE (SSD) (bez Wymiany na SN i NN)</v>
          </cell>
        </row>
        <row r="116">
          <cell r="D116" t="str">
            <v>Zakup energii od spółek PGE (SSD) (bez Wymiany na SN i NN)</v>
          </cell>
        </row>
        <row r="117">
          <cell r="D117" t="str">
            <v>Zakup energii od spółek PGE (SSD) (bez Wymiany na SN i NN)</v>
          </cell>
        </row>
        <row r="118">
          <cell r="D118" t="str">
            <v>Zakup energii od spółek PGE (SSD) (bez Wymiany na SN i NN)</v>
          </cell>
        </row>
        <row r="119">
          <cell r="D119" t="str">
            <v>Zakup energii od spółek PGE (SSD) (bez Wymiany na SN i NN)</v>
          </cell>
        </row>
        <row r="120">
          <cell r="D120" t="str">
            <v>Zakup energii od spółek PGE (SSD) (bez Wymiany na SN i NN)</v>
          </cell>
        </row>
        <row r="121">
          <cell r="D121" t="str">
            <v>Zakup energii od spółek PGE (SSD) (bez Wymiany na SN i NN)</v>
          </cell>
        </row>
        <row r="122">
          <cell r="D122" t="str">
            <v>Zakup energii od spółek PGE (SSD) (bez Wymiany na SN i NN)</v>
          </cell>
        </row>
        <row r="123">
          <cell r="D123" t="str">
            <v>Zakup energii od spółek PGE (SSD) (bez Wymiany na SN i NN)</v>
          </cell>
        </row>
        <row r="124">
          <cell r="D124" t="str">
            <v>Zakup energii od spółek PGE (SSD) (bez Wymiany na SN i NN)</v>
          </cell>
        </row>
        <row r="125">
          <cell r="D125" t="str">
            <v>Zakup energii od spółek PGE (SSD) (bez Wymiany na SN i NN)</v>
          </cell>
        </row>
        <row r="126">
          <cell r="D126" t="str">
            <v>Zakup energii od spółek PGE (SSD) (bez Wymiany na SN i NN)</v>
          </cell>
        </row>
        <row r="127">
          <cell r="D127" t="str">
            <v>Zakup energii od spółek PGE (SSD) (bez Wymiany na SN i NN)</v>
          </cell>
        </row>
        <row r="128">
          <cell r="D128" t="str">
            <v>Zakup energii od spółek PGE (SSD) (bez Wymiany na SN i NN)</v>
          </cell>
        </row>
        <row r="129">
          <cell r="D129" t="str">
            <v>Zakup energii od spółek PGE (SSD) (bez Wymiany na SN i NN)</v>
          </cell>
        </row>
        <row r="130">
          <cell r="D130" t="str">
            <v>Pozostały zakup energii od spółek PGE</v>
          </cell>
        </row>
        <row r="131">
          <cell r="D131" t="str">
            <v>Zakup energii spoza PGE</v>
          </cell>
        </row>
        <row r="132">
          <cell r="D132" t="str">
            <v>Zakup energii z Rynku Bilansującego (SSD)</v>
          </cell>
        </row>
        <row r="133">
          <cell r="D133" t="str">
            <v>Zakup energii od spółek PGE (Grupa bilansująca)</v>
          </cell>
        </row>
        <row r="134">
          <cell r="D134" t="str">
            <v>Zakup energii z importu</v>
          </cell>
        </row>
        <row r="135">
          <cell r="D135" t="str">
            <v>Zakup usług dystrybucyjnych (umowa kompleksowa)</v>
          </cell>
        </row>
        <row r="136">
          <cell r="D136" t="str">
            <v>Wymiana na SN i NN</v>
          </cell>
        </row>
        <row r="137">
          <cell r="D137" t="str">
            <v>Wymiana na SN i NN</v>
          </cell>
        </row>
        <row r="138">
          <cell r="D138" t="str">
            <v>Obowiązkowy zakup energii ze źródeł odnawialnych</v>
          </cell>
        </row>
        <row r="139">
          <cell r="D139" t="str">
            <v>Zakup świadectw pochodzenia energii wytworzonej w źródłach odnawialnych (SSD)</v>
          </cell>
        </row>
        <row r="140">
          <cell r="D140" t="str">
            <v>Zakup świadectw pochodzenia energii wytworzonej w źródłach odnawialnych (SSD)</v>
          </cell>
        </row>
        <row r="141">
          <cell r="D141" t="str">
            <v>Zakup świadectw pochodzenia energii wytworzonej w kogeneracji (GAZ) (SSD)</v>
          </cell>
        </row>
        <row r="142">
          <cell r="D142" t="str">
            <v>Zakup świadectw pochodzenia energii wytworzonej w kogeneracji (GAZ) (SSD)</v>
          </cell>
        </row>
        <row r="143">
          <cell r="D143" t="str">
            <v>Zakup świadectw pochodzenia energii wytworzonej w kogeneracji (NIEGAZ) (SSD)</v>
          </cell>
        </row>
        <row r="144">
          <cell r="D144" t="str">
            <v>Zakup świadectw pochodzenia energii wytworzonej w kogeneracji (NIEGAZ) (SSD)</v>
          </cell>
        </row>
        <row r="145">
          <cell r="D145" t="str">
            <v>Wartość sprzedanych towarów i materiałów (pozostała) (SSD)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tęp"/>
      <sheetName val="Zobowiązania finansowe"/>
      <sheetName val="Inwestycje"/>
      <sheetName val="Inwestycje - fundusze inwest."/>
      <sheetName val="Saldo gotówki - PLN"/>
      <sheetName val="Saldo gotówki - EUR"/>
      <sheetName val="Saldo gotówki - USD"/>
      <sheetName val="Saldo gotówki - SEK"/>
      <sheetName val="Saldo gotówki - CHF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Bank Handlowy</v>
          </cell>
          <cell r="B1" t="str">
            <v>PLN</v>
          </cell>
          <cell r="H1" t="str">
            <v>Kredyt w rachunku bieżącym</v>
          </cell>
        </row>
        <row r="2">
          <cell r="A2" t="str">
            <v>Bank BPH</v>
          </cell>
          <cell r="B2" t="str">
            <v>EUR</v>
          </cell>
          <cell r="H2" t="str">
            <v>Kredyt inwestycyjny/terminowy</v>
          </cell>
          <cell r="J2" t="str">
            <v>WIBOR O/N</v>
          </cell>
        </row>
        <row r="3">
          <cell r="A3" t="str">
            <v>PKO BP</v>
          </cell>
          <cell r="B3" t="str">
            <v>CHF</v>
          </cell>
          <cell r="H3" t="str">
            <v>Emisja papierów dłużnych</v>
          </cell>
          <cell r="J3" t="str">
            <v>WIBOR T/N</v>
          </cell>
        </row>
        <row r="4">
          <cell r="A4" t="str">
            <v>PEKAO SA</v>
          </cell>
          <cell r="B4" t="str">
            <v>SEK</v>
          </cell>
          <cell r="H4" t="str">
            <v>Pożyczka</v>
          </cell>
          <cell r="J4" t="str">
            <v>WIBOR SW</v>
          </cell>
        </row>
        <row r="5">
          <cell r="A5" t="str">
            <v>ABN AMRO</v>
          </cell>
          <cell r="B5" t="str">
            <v>USD</v>
          </cell>
          <cell r="H5" t="str">
            <v>Linia kredytowa</v>
          </cell>
          <cell r="J5" t="str">
            <v>WIBOR 1M</v>
          </cell>
        </row>
        <row r="6">
          <cell r="A6" t="str">
            <v>RABOBANK</v>
          </cell>
          <cell r="B6" t="str">
            <v>JPY</v>
          </cell>
          <cell r="J6" t="str">
            <v>WIBOR 3M</v>
          </cell>
        </row>
        <row r="7">
          <cell r="A7" t="str">
            <v>FORTIS</v>
          </cell>
          <cell r="B7" t="str">
            <v>GBP</v>
          </cell>
          <cell r="J7" t="str">
            <v>WIBOR 6M</v>
          </cell>
        </row>
        <row r="8">
          <cell r="A8" t="str">
            <v>ING Bank Śląski</v>
          </cell>
          <cell r="J8" t="str">
            <v>WIBOR 9M</v>
          </cell>
        </row>
        <row r="9">
          <cell r="A9" t="str">
            <v>BOŚ</v>
          </cell>
          <cell r="J9" t="str">
            <v>WIBOR 1Y</v>
          </cell>
        </row>
        <row r="10">
          <cell r="A10" t="str">
            <v>BGŻ</v>
          </cell>
          <cell r="J10" t="str">
            <v>LIBOR O/N</v>
          </cell>
        </row>
        <row r="11">
          <cell r="A11" t="str">
            <v>BGK</v>
          </cell>
          <cell r="J11" t="str">
            <v>LIBOR T/N</v>
          </cell>
        </row>
        <row r="12">
          <cell r="A12" t="str">
            <v>Bank Millenium</v>
          </cell>
          <cell r="J12" t="str">
            <v>LIBOR SW</v>
          </cell>
        </row>
        <row r="13">
          <cell r="A13" t="str">
            <v>BZ WBK</v>
          </cell>
          <cell r="J13" t="str">
            <v>LIBOR 1M</v>
          </cell>
        </row>
        <row r="14">
          <cell r="A14" t="str">
            <v>BRE Bank</v>
          </cell>
          <cell r="J14" t="str">
            <v>LIBOR 3M</v>
          </cell>
        </row>
        <row r="15">
          <cell r="A15" t="str">
            <v>Deutsche Bank Polska</v>
          </cell>
          <cell r="J15" t="str">
            <v>LIBOR 6M</v>
          </cell>
        </row>
        <row r="16">
          <cell r="A16" t="str">
            <v>DnB NORD</v>
          </cell>
          <cell r="J16" t="str">
            <v>LIBOR 9M</v>
          </cell>
        </row>
        <row r="17">
          <cell r="J17" t="str">
            <v>LIBOR 1Y</v>
          </cell>
        </row>
        <row r="18">
          <cell r="J18" t="str">
            <v>EURIBOR O/N</v>
          </cell>
        </row>
        <row r="19">
          <cell r="J19" t="str">
            <v>EURIBOR T/N</v>
          </cell>
        </row>
        <row r="20">
          <cell r="J20" t="str">
            <v>EURIBOR SW</v>
          </cell>
        </row>
        <row r="21">
          <cell r="J21" t="str">
            <v>EURIBOR 1M</v>
          </cell>
        </row>
        <row r="22">
          <cell r="J22" t="str">
            <v>EURIBOR 3M</v>
          </cell>
        </row>
        <row r="23">
          <cell r="J23" t="str">
            <v>EURIBOR 6M</v>
          </cell>
        </row>
        <row r="24">
          <cell r="J24" t="str">
            <v>EURIBOR 9M</v>
          </cell>
        </row>
        <row r="25">
          <cell r="J25" t="str">
            <v>EURIBOR 1Y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1687"/>
  <sheetViews>
    <sheetView workbookViewId="0">
      <pane xSplit="1" ySplit="2" topLeftCell="B419" activePane="bottomRight" state="frozen"/>
      <selection pane="topRight" activeCell="B1" sqref="B1"/>
      <selection pane="bottomLeft" activeCell="A3" sqref="A3"/>
      <selection pane="bottomRight" activeCell="A427" sqref="A427"/>
    </sheetView>
  </sheetViews>
  <sheetFormatPr defaultRowHeight="14.4"/>
  <cols>
    <col min="1" max="1" width="17.88671875" customWidth="1"/>
    <col min="2" max="2" width="19.33203125" customWidth="1"/>
    <col min="3" max="3" width="16.33203125" customWidth="1"/>
    <col min="4" max="4" width="17.88671875" customWidth="1"/>
    <col min="5" max="5" width="18.77734375" customWidth="1"/>
    <col min="6" max="7" width="13.44140625" customWidth="1"/>
    <col min="8" max="8" width="16.88671875" customWidth="1"/>
    <col min="9" max="9" width="14.109375" customWidth="1"/>
    <col min="10" max="10" width="17.33203125" style="1686" bestFit="1" customWidth="1"/>
    <col min="11" max="11" width="15.21875" customWidth="1"/>
    <col min="12" max="12" width="13" customWidth="1"/>
    <col min="13" max="13" width="15.33203125" customWidth="1"/>
  </cols>
  <sheetData>
    <row r="1" spans="1:13">
      <c r="A1" s="2"/>
      <c r="B1" s="2"/>
      <c r="C1" s="4" t="s">
        <v>3889</v>
      </c>
      <c r="D1" s="4" t="s">
        <v>3890</v>
      </c>
      <c r="E1" s="4" t="s">
        <v>3891</v>
      </c>
      <c r="F1" s="4" t="s">
        <v>4062</v>
      </c>
      <c r="G1" s="4" t="s">
        <v>4063</v>
      </c>
      <c r="H1" s="4" t="s">
        <v>3892</v>
      </c>
      <c r="I1" s="4" t="s">
        <v>3893</v>
      </c>
      <c r="J1" s="1684" t="s">
        <v>3894</v>
      </c>
      <c r="K1" s="4" t="s">
        <v>1494</v>
      </c>
      <c r="L1" s="82" t="s">
        <v>1789</v>
      </c>
      <c r="M1" s="82" t="s">
        <v>1790</v>
      </c>
    </row>
    <row r="2" spans="1:13">
      <c r="A2" s="132" t="s">
        <v>0</v>
      </c>
      <c r="B2" s="2"/>
      <c r="C2" s="4" t="s">
        <v>3895</v>
      </c>
      <c r="D2" s="4" t="s">
        <v>3895</v>
      </c>
      <c r="E2" s="4" t="s">
        <v>3895</v>
      </c>
      <c r="F2" s="4" t="s">
        <v>3895</v>
      </c>
      <c r="G2" s="4" t="s">
        <v>3895</v>
      </c>
      <c r="H2" s="4" t="s">
        <v>3895</v>
      </c>
      <c r="I2" s="4" t="s">
        <v>3895</v>
      </c>
      <c r="J2" s="1684" t="s">
        <v>3895</v>
      </c>
    </row>
    <row r="3" spans="1:13">
      <c r="A3" s="3" t="s">
        <v>1</v>
      </c>
      <c r="B3" s="3" t="s">
        <v>2</v>
      </c>
      <c r="C3" s="1">
        <v>483156.19</v>
      </c>
      <c r="D3" s="1">
        <v>0</v>
      </c>
      <c r="E3" s="1">
        <v>483156.19</v>
      </c>
      <c r="F3" s="1">
        <v>0</v>
      </c>
      <c r="G3" s="1">
        <v>0</v>
      </c>
      <c r="H3" s="1">
        <v>483156.19</v>
      </c>
      <c r="I3" s="1">
        <v>0</v>
      </c>
      <c r="J3" s="1685">
        <v>483156.19</v>
      </c>
      <c r="K3" s="1">
        <f t="shared" ref="K3:K66" si="0">J3-C3</f>
        <v>0</v>
      </c>
      <c r="L3" s="1">
        <f t="shared" ref="L3:L66" si="1">IF(C3&gt;0,C3,0)</f>
        <v>483156.19</v>
      </c>
      <c r="M3" s="1">
        <f t="shared" ref="M3:M66" si="2">IF(C3&lt;0,C3,0)</f>
        <v>0</v>
      </c>
    </row>
    <row r="4" spans="1:13">
      <c r="A4" s="3" t="s">
        <v>3</v>
      </c>
      <c r="B4" s="3" t="s">
        <v>4</v>
      </c>
      <c r="C4" s="1">
        <v>25164873.02</v>
      </c>
      <c r="D4" s="1">
        <v>0</v>
      </c>
      <c r="E4" s="1">
        <v>25164873.02</v>
      </c>
      <c r="F4" s="1">
        <v>0</v>
      </c>
      <c r="G4" s="1">
        <v>0</v>
      </c>
      <c r="H4" s="1">
        <v>25164873.02</v>
      </c>
      <c r="I4" s="1">
        <v>0</v>
      </c>
      <c r="J4" s="1685">
        <v>25164873.02</v>
      </c>
      <c r="K4" s="1">
        <f t="shared" si="0"/>
        <v>0</v>
      </c>
      <c r="L4" s="1">
        <f t="shared" si="1"/>
        <v>25164873.02</v>
      </c>
      <c r="M4" s="1">
        <f t="shared" si="2"/>
        <v>0</v>
      </c>
    </row>
    <row r="5" spans="1:13">
      <c r="A5" s="3" t="s">
        <v>5</v>
      </c>
      <c r="B5" s="3" t="s">
        <v>6</v>
      </c>
      <c r="C5" s="1">
        <v>8397795.0999999903</v>
      </c>
      <c r="D5" s="1">
        <v>0</v>
      </c>
      <c r="E5" s="1">
        <v>8397795.0999999903</v>
      </c>
      <c r="F5" s="1">
        <v>8223.3700000000008</v>
      </c>
      <c r="G5" s="1">
        <v>0</v>
      </c>
      <c r="H5" s="1">
        <v>8406018.4700000007</v>
      </c>
      <c r="I5" s="1">
        <v>0</v>
      </c>
      <c r="J5" s="1685">
        <v>8406018.4700000007</v>
      </c>
      <c r="K5" s="1">
        <f t="shared" si="0"/>
        <v>8223.3700000103563</v>
      </c>
      <c r="L5" s="1">
        <f t="shared" si="1"/>
        <v>8397795.0999999903</v>
      </c>
      <c r="M5" s="1">
        <f t="shared" si="2"/>
        <v>0</v>
      </c>
    </row>
    <row r="6" spans="1:13">
      <c r="A6" s="3" t="s">
        <v>7</v>
      </c>
      <c r="B6" s="3" t="s">
        <v>8</v>
      </c>
      <c r="C6" s="1">
        <v>4069882.52999999</v>
      </c>
      <c r="D6" s="1">
        <v>0</v>
      </c>
      <c r="E6" s="1">
        <v>4069882.52999999</v>
      </c>
      <c r="F6" s="1">
        <v>0</v>
      </c>
      <c r="G6" s="1">
        <v>0</v>
      </c>
      <c r="H6" s="1">
        <v>4069882.52999999</v>
      </c>
      <c r="I6" s="1">
        <v>0</v>
      </c>
      <c r="J6" s="1685">
        <v>4069882.52999999</v>
      </c>
      <c r="K6" s="1">
        <f t="shared" si="0"/>
        <v>0</v>
      </c>
      <c r="L6" s="1">
        <f t="shared" si="1"/>
        <v>4069882.52999999</v>
      </c>
      <c r="M6" s="1">
        <f t="shared" si="2"/>
        <v>0</v>
      </c>
    </row>
    <row r="7" spans="1:13">
      <c r="A7" s="3" t="s">
        <v>9</v>
      </c>
      <c r="B7" s="3" t="s">
        <v>10</v>
      </c>
      <c r="C7" s="1">
        <v>102219</v>
      </c>
      <c r="D7" s="1">
        <v>0</v>
      </c>
      <c r="E7" s="1">
        <v>102219</v>
      </c>
      <c r="F7" s="1">
        <v>0</v>
      </c>
      <c r="G7" s="1">
        <v>0</v>
      </c>
      <c r="H7" s="1">
        <v>102219</v>
      </c>
      <c r="I7" s="1">
        <v>0</v>
      </c>
      <c r="J7" s="1685">
        <v>102219</v>
      </c>
      <c r="K7" s="1">
        <f t="shared" si="0"/>
        <v>0</v>
      </c>
      <c r="L7" s="1">
        <f t="shared" si="1"/>
        <v>102219</v>
      </c>
      <c r="M7" s="1">
        <f t="shared" si="2"/>
        <v>0</v>
      </c>
    </row>
    <row r="8" spans="1:13">
      <c r="A8" s="3" t="s">
        <v>11</v>
      </c>
      <c r="B8" s="3" t="s">
        <v>12</v>
      </c>
      <c r="C8" s="1">
        <v>18605200.800000001</v>
      </c>
      <c r="D8" s="1">
        <v>0</v>
      </c>
      <c r="E8" s="1">
        <v>18605200.800000001</v>
      </c>
      <c r="F8" s="1">
        <v>435764.09</v>
      </c>
      <c r="G8" s="1">
        <v>119203.22</v>
      </c>
      <c r="H8" s="1">
        <v>18921761.670000002</v>
      </c>
      <c r="I8" s="1">
        <v>0</v>
      </c>
      <c r="J8" s="1685">
        <v>18921761.670000002</v>
      </c>
      <c r="K8" s="1">
        <f t="shared" si="0"/>
        <v>316560.87000000104</v>
      </c>
      <c r="L8" s="1">
        <f t="shared" si="1"/>
        <v>18605200.800000001</v>
      </c>
      <c r="M8" s="1">
        <f t="shared" si="2"/>
        <v>0</v>
      </c>
    </row>
    <row r="9" spans="1:13">
      <c r="A9" s="3" t="s">
        <v>13</v>
      </c>
      <c r="B9" s="3" t="s">
        <v>14</v>
      </c>
      <c r="C9" s="1">
        <v>1784522.33</v>
      </c>
      <c r="D9" s="1">
        <v>0</v>
      </c>
      <c r="E9" s="1">
        <v>1784522.33</v>
      </c>
      <c r="F9" s="1">
        <v>0</v>
      </c>
      <c r="G9" s="1">
        <v>23910</v>
      </c>
      <c r="H9" s="1">
        <v>1760612.33</v>
      </c>
      <c r="I9" s="1">
        <v>0</v>
      </c>
      <c r="J9" s="1685">
        <v>1760612.33</v>
      </c>
      <c r="K9" s="1">
        <f t="shared" si="0"/>
        <v>-23910</v>
      </c>
      <c r="L9" s="1">
        <f t="shared" si="1"/>
        <v>1784522.33</v>
      </c>
      <c r="M9" s="1">
        <f t="shared" si="2"/>
        <v>0</v>
      </c>
    </row>
    <row r="10" spans="1:13">
      <c r="A10" s="3" t="s">
        <v>15</v>
      </c>
      <c r="B10" s="3" t="s">
        <v>16</v>
      </c>
      <c r="C10" s="1">
        <v>7287944.2699999902</v>
      </c>
      <c r="D10" s="1">
        <v>0</v>
      </c>
      <c r="E10" s="1">
        <v>7287944.2699999902</v>
      </c>
      <c r="F10" s="1">
        <v>404789.13</v>
      </c>
      <c r="G10" s="1">
        <v>82208.72</v>
      </c>
      <c r="H10" s="1">
        <v>7610524.6799999904</v>
      </c>
      <c r="I10" s="1">
        <v>0</v>
      </c>
      <c r="J10" s="1685">
        <v>7610524.6799999904</v>
      </c>
      <c r="K10" s="1">
        <f t="shared" si="0"/>
        <v>322580.41000000015</v>
      </c>
      <c r="L10" s="1">
        <f t="shared" si="1"/>
        <v>7287944.2699999902</v>
      </c>
      <c r="M10" s="1">
        <f t="shared" si="2"/>
        <v>0</v>
      </c>
    </row>
    <row r="11" spans="1:13">
      <c r="A11" s="3" t="s">
        <v>17</v>
      </c>
      <c r="B11" s="3" t="s">
        <v>18</v>
      </c>
      <c r="C11" s="1">
        <v>7102637.1699999897</v>
      </c>
      <c r="D11" s="1">
        <v>0</v>
      </c>
      <c r="E11" s="1">
        <v>7102637.1699999897</v>
      </c>
      <c r="F11" s="1">
        <v>113378.8</v>
      </c>
      <c r="G11" s="1">
        <v>189407</v>
      </c>
      <c r="H11" s="1">
        <v>7026608.9699999904</v>
      </c>
      <c r="I11" s="1">
        <v>0</v>
      </c>
      <c r="J11" s="1685">
        <v>7026608.9699999904</v>
      </c>
      <c r="K11" s="1">
        <f t="shared" si="0"/>
        <v>-76028.199999999255</v>
      </c>
      <c r="L11" s="1">
        <f t="shared" si="1"/>
        <v>7102637.1699999897</v>
      </c>
      <c r="M11" s="1">
        <f t="shared" si="2"/>
        <v>0</v>
      </c>
    </row>
    <row r="12" spans="1:13">
      <c r="A12" s="3" t="s">
        <v>19</v>
      </c>
      <c r="B12" s="3" t="s">
        <v>20</v>
      </c>
      <c r="C12" s="1">
        <v>14631853.1199999</v>
      </c>
      <c r="D12" s="1">
        <v>0</v>
      </c>
      <c r="E12" s="1">
        <v>14631853.1199999</v>
      </c>
      <c r="F12" s="1">
        <v>65612.94</v>
      </c>
      <c r="G12" s="1">
        <v>76690.820000000007</v>
      </c>
      <c r="H12" s="1">
        <v>14620775.24</v>
      </c>
      <c r="I12" s="1">
        <v>0</v>
      </c>
      <c r="J12" s="1685">
        <v>14620775.24</v>
      </c>
      <c r="K12" s="1">
        <f t="shared" si="0"/>
        <v>-11077.879999900237</v>
      </c>
      <c r="L12" s="1">
        <f t="shared" si="1"/>
        <v>14631853.1199999</v>
      </c>
      <c r="M12" s="1">
        <f t="shared" si="2"/>
        <v>0</v>
      </c>
    </row>
    <row r="13" spans="1:13">
      <c r="A13" s="3" t="s">
        <v>21</v>
      </c>
      <c r="B13" s="3" t="s">
        <v>22</v>
      </c>
      <c r="C13" s="1">
        <v>-111517.16</v>
      </c>
      <c r="D13" s="1">
        <v>0</v>
      </c>
      <c r="E13" s="1">
        <v>-111517.16</v>
      </c>
      <c r="F13" s="1">
        <v>0</v>
      </c>
      <c r="G13" s="1">
        <v>13888.76</v>
      </c>
      <c r="H13" s="1">
        <v>0</v>
      </c>
      <c r="I13" s="1">
        <v>-125405.92</v>
      </c>
      <c r="J13" s="1685">
        <v>-125405.92</v>
      </c>
      <c r="K13" s="1">
        <f t="shared" si="0"/>
        <v>-13888.759999999995</v>
      </c>
      <c r="L13" s="1">
        <f t="shared" si="1"/>
        <v>0</v>
      </c>
      <c r="M13" s="1">
        <f t="shared" si="2"/>
        <v>-111517.16</v>
      </c>
    </row>
    <row r="14" spans="1:13">
      <c r="A14" s="3" t="s">
        <v>23</v>
      </c>
      <c r="B14" s="3" t="s">
        <v>24</v>
      </c>
      <c r="C14" s="1">
        <v>-12075875.33</v>
      </c>
      <c r="D14" s="1">
        <v>0</v>
      </c>
      <c r="E14" s="1">
        <v>-12075875.33</v>
      </c>
      <c r="F14" s="1">
        <v>0</v>
      </c>
      <c r="G14" s="1">
        <v>477196.76</v>
      </c>
      <c r="H14" s="1">
        <v>0</v>
      </c>
      <c r="I14" s="1">
        <v>-12553072.09</v>
      </c>
      <c r="J14" s="1685">
        <v>-12553072.09</v>
      </c>
      <c r="K14" s="1">
        <f t="shared" si="0"/>
        <v>-477196.75999999978</v>
      </c>
      <c r="L14" s="1">
        <f t="shared" si="1"/>
        <v>0</v>
      </c>
      <c r="M14" s="1">
        <f t="shared" si="2"/>
        <v>-12075875.33</v>
      </c>
    </row>
    <row r="15" spans="1:13">
      <c r="A15" s="3" t="s">
        <v>25</v>
      </c>
      <c r="B15" s="3" t="s">
        <v>26</v>
      </c>
      <c r="C15" s="1">
        <v>-2226527.8399999901</v>
      </c>
      <c r="D15" s="1">
        <v>0</v>
      </c>
      <c r="E15" s="1">
        <v>-2226527.8399999901</v>
      </c>
      <c r="F15" s="1">
        <v>0</v>
      </c>
      <c r="G15" s="1">
        <v>291812.76</v>
      </c>
      <c r="H15" s="1">
        <v>0</v>
      </c>
      <c r="I15" s="1">
        <v>-2518340.6</v>
      </c>
      <c r="J15" s="1685">
        <v>-2518340.6</v>
      </c>
      <c r="K15" s="1">
        <f t="shared" si="0"/>
        <v>-291812.76000001002</v>
      </c>
      <c r="L15" s="1">
        <f t="shared" si="1"/>
        <v>0</v>
      </c>
      <c r="M15" s="1">
        <f t="shared" si="2"/>
        <v>-2226527.8399999901</v>
      </c>
    </row>
    <row r="16" spans="1:13">
      <c r="A16" s="3" t="s">
        <v>27</v>
      </c>
      <c r="B16" s="3" t="s">
        <v>28</v>
      </c>
      <c r="C16" s="1">
        <v>-1857166.23</v>
      </c>
      <c r="D16" s="1">
        <v>0</v>
      </c>
      <c r="E16" s="1">
        <v>-1857166.23</v>
      </c>
      <c r="F16" s="1">
        <v>0</v>
      </c>
      <c r="G16" s="1">
        <v>52332.3</v>
      </c>
      <c r="H16" s="1">
        <v>0</v>
      </c>
      <c r="I16" s="1">
        <v>-1909498.53</v>
      </c>
      <c r="J16" s="1685">
        <v>-1909498.53</v>
      </c>
      <c r="K16" s="1">
        <f t="shared" si="0"/>
        <v>-52332.300000000047</v>
      </c>
      <c r="L16" s="1">
        <f t="shared" si="1"/>
        <v>0</v>
      </c>
      <c r="M16" s="1">
        <f t="shared" si="2"/>
        <v>-1857166.23</v>
      </c>
    </row>
    <row r="17" spans="1:13">
      <c r="A17" s="3" t="s">
        <v>29</v>
      </c>
      <c r="B17" s="3" t="s">
        <v>30</v>
      </c>
      <c r="C17" s="1">
        <v>-83760.800000000003</v>
      </c>
      <c r="D17" s="1">
        <v>0</v>
      </c>
      <c r="E17" s="1">
        <v>-83760.800000000003</v>
      </c>
      <c r="F17" s="1">
        <v>0</v>
      </c>
      <c r="G17" s="1">
        <v>1910.03</v>
      </c>
      <c r="H17" s="1">
        <v>0</v>
      </c>
      <c r="I17" s="1">
        <v>-85670.83</v>
      </c>
      <c r="J17" s="1685">
        <v>-85670.83</v>
      </c>
      <c r="K17" s="1">
        <f t="shared" si="0"/>
        <v>-1910.0299999999988</v>
      </c>
      <c r="L17" s="1">
        <f t="shared" si="1"/>
        <v>0</v>
      </c>
      <c r="M17" s="1">
        <f t="shared" si="2"/>
        <v>-83760.800000000003</v>
      </c>
    </row>
    <row r="18" spans="1:13">
      <c r="A18" s="3" t="s">
        <v>31</v>
      </c>
      <c r="B18" s="3" t="s">
        <v>32</v>
      </c>
      <c r="C18" s="1">
        <v>-15343073.98</v>
      </c>
      <c r="D18" s="1">
        <v>0</v>
      </c>
      <c r="E18" s="1">
        <v>-15343073.98</v>
      </c>
      <c r="F18" s="1">
        <v>118072.149999999</v>
      </c>
      <c r="G18" s="1">
        <v>470856.38</v>
      </c>
      <c r="H18" s="1">
        <v>0</v>
      </c>
      <c r="I18" s="1">
        <v>-15695858.210000001</v>
      </c>
      <c r="J18" s="1685">
        <v>-15695858.210000001</v>
      </c>
      <c r="K18" s="1">
        <f t="shared" si="0"/>
        <v>-352784.23000000045</v>
      </c>
      <c r="L18" s="1">
        <f t="shared" si="1"/>
        <v>0</v>
      </c>
      <c r="M18" s="1">
        <f t="shared" si="2"/>
        <v>-15343073.98</v>
      </c>
    </row>
    <row r="19" spans="1:13">
      <c r="A19" s="3" t="s">
        <v>33</v>
      </c>
      <c r="B19" s="3" t="s">
        <v>34</v>
      </c>
      <c r="C19" s="1">
        <v>-1393205.9399999899</v>
      </c>
      <c r="D19" s="1">
        <v>0</v>
      </c>
      <c r="E19" s="1">
        <v>-1393205.9399999899</v>
      </c>
      <c r="F19" s="1">
        <v>23910</v>
      </c>
      <c r="G19" s="1">
        <v>49517.419999999896</v>
      </c>
      <c r="H19" s="1">
        <v>0</v>
      </c>
      <c r="I19" s="1">
        <v>-1418813.36</v>
      </c>
      <c r="J19" s="1685">
        <v>-1418813.36</v>
      </c>
      <c r="K19" s="1">
        <f t="shared" si="0"/>
        <v>-25607.42000001017</v>
      </c>
      <c r="L19" s="1">
        <f t="shared" si="1"/>
        <v>0</v>
      </c>
      <c r="M19" s="1">
        <f t="shared" si="2"/>
        <v>-1393205.9399999899</v>
      </c>
    </row>
    <row r="20" spans="1:13">
      <c r="A20" s="3" t="s">
        <v>35</v>
      </c>
      <c r="B20" s="3" t="s">
        <v>36</v>
      </c>
      <c r="C20" s="1">
        <v>-5704638.9699999904</v>
      </c>
      <c r="D20" s="1">
        <v>0</v>
      </c>
      <c r="E20" s="1">
        <v>-5704638.9699999904</v>
      </c>
      <c r="F20" s="1">
        <v>81840.800000000003</v>
      </c>
      <c r="G20" s="1">
        <v>230369.01</v>
      </c>
      <c r="H20" s="1">
        <v>0</v>
      </c>
      <c r="I20" s="1">
        <v>-5853167.1799999904</v>
      </c>
      <c r="J20" s="1685">
        <v>-5853167.1799999904</v>
      </c>
      <c r="K20" s="1">
        <f t="shared" si="0"/>
        <v>-148528.20999999996</v>
      </c>
      <c r="L20" s="1">
        <f t="shared" si="1"/>
        <v>0</v>
      </c>
      <c r="M20" s="1">
        <f t="shared" si="2"/>
        <v>-5704638.9699999904</v>
      </c>
    </row>
    <row r="21" spans="1:13">
      <c r="A21" s="3" t="s">
        <v>37</v>
      </c>
      <c r="B21" s="3" t="s">
        <v>38</v>
      </c>
      <c r="C21" s="1">
        <v>-4370206.3799999896</v>
      </c>
      <c r="D21" s="1">
        <v>0</v>
      </c>
      <c r="E21" s="1">
        <v>-4370206.3799999896</v>
      </c>
      <c r="F21" s="1">
        <v>189407</v>
      </c>
      <c r="G21" s="1">
        <v>368647.57</v>
      </c>
      <c r="H21" s="1">
        <v>0</v>
      </c>
      <c r="I21" s="1">
        <v>-4549446.95</v>
      </c>
      <c r="J21" s="1685">
        <v>-4549446.95</v>
      </c>
      <c r="K21" s="1">
        <f t="shared" si="0"/>
        <v>-179240.57000001054</v>
      </c>
      <c r="L21" s="1">
        <f t="shared" si="1"/>
        <v>0</v>
      </c>
      <c r="M21" s="1">
        <f t="shared" si="2"/>
        <v>-4370206.3799999896</v>
      </c>
    </row>
    <row r="22" spans="1:13">
      <c r="A22" s="3" t="s">
        <v>39</v>
      </c>
      <c r="B22" s="3" t="s">
        <v>40</v>
      </c>
      <c r="C22" s="1">
        <v>-13466998.01</v>
      </c>
      <c r="D22" s="1">
        <v>0</v>
      </c>
      <c r="E22" s="1">
        <v>-13466998.01</v>
      </c>
      <c r="F22" s="1">
        <v>76690.820000000007</v>
      </c>
      <c r="G22" s="1">
        <v>214160.239999999</v>
      </c>
      <c r="H22" s="1">
        <v>0</v>
      </c>
      <c r="I22" s="1">
        <v>-13604467.43</v>
      </c>
      <c r="J22" s="1685">
        <v>-13604467.43</v>
      </c>
      <c r="K22" s="1">
        <f t="shared" si="0"/>
        <v>-137469.41999999993</v>
      </c>
      <c r="L22" s="1">
        <f t="shared" si="1"/>
        <v>0</v>
      </c>
      <c r="M22" s="1">
        <f t="shared" si="2"/>
        <v>-13466998.01</v>
      </c>
    </row>
    <row r="23" spans="1:13">
      <c r="A23" s="3" t="s">
        <v>41</v>
      </c>
      <c r="B23" s="3" t="s">
        <v>42</v>
      </c>
      <c r="C23" s="1">
        <v>-672322</v>
      </c>
      <c r="D23" s="1">
        <v>0</v>
      </c>
      <c r="E23" s="1">
        <v>-672322</v>
      </c>
      <c r="F23" s="1">
        <v>0</v>
      </c>
      <c r="G23" s="1">
        <v>0</v>
      </c>
      <c r="H23" s="1">
        <v>0</v>
      </c>
      <c r="I23" s="1">
        <v>-672322</v>
      </c>
      <c r="J23" s="1685">
        <v>-672322</v>
      </c>
      <c r="K23" s="1">
        <f t="shared" si="0"/>
        <v>0</v>
      </c>
      <c r="L23" s="1">
        <f t="shared" si="1"/>
        <v>0</v>
      </c>
      <c r="M23" s="1">
        <f t="shared" si="2"/>
        <v>-672322</v>
      </c>
    </row>
    <row r="24" spans="1:13">
      <c r="A24" s="3" t="s">
        <v>43</v>
      </c>
      <c r="B24" s="3" t="s">
        <v>44</v>
      </c>
      <c r="C24" s="1">
        <v>-860107.23999999894</v>
      </c>
      <c r="D24" s="1">
        <v>0</v>
      </c>
      <c r="E24" s="1">
        <v>-860107.23999999894</v>
      </c>
      <c r="F24" s="1">
        <v>0</v>
      </c>
      <c r="G24" s="1">
        <v>0</v>
      </c>
      <c r="H24" s="1">
        <v>0</v>
      </c>
      <c r="I24" s="1">
        <v>-860107.23999999894</v>
      </c>
      <c r="J24" s="1685">
        <v>-860107.23999999894</v>
      </c>
      <c r="K24" s="1">
        <f t="shared" si="0"/>
        <v>0</v>
      </c>
      <c r="L24" s="1">
        <f t="shared" si="1"/>
        <v>0</v>
      </c>
      <c r="M24" s="1">
        <f t="shared" si="2"/>
        <v>-860107.23999999894</v>
      </c>
    </row>
    <row r="25" spans="1:13">
      <c r="A25" s="3" t="s">
        <v>46</v>
      </c>
      <c r="B25" s="3" t="s">
        <v>47</v>
      </c>
      <c r="C25" s="1">
        <v>1835382.48</v>
      </c>
      <c r="D25" s="1">
        <v>0</v>
      </c>
      <c r="E25" s="1">
        <v>1835382.48</v>
      </c>
      <c r="F25" s="1">
        <v>0</v>
      </c>
      <c r="G25" s="1">
        <v>0</v>
      </c>
      <c r="H25" s="1">
        <v>1835382.48</v>
      </c>
      <c r="I25" s="1">
        <v>0</v>
      </c>
      <c r="J25" s="1685">
        <v>1835382.48</v>
      </c>
      <c r="K25" s="1">
        <f t="shared" si="0"/>
        <v>0</v>
      </c>
      <c r="L25" s="1">
        <f t="shared" si="1"/>
        <v>1835382.48</v>
      </c>
      <c r="M25" s="1">
        <f t="shared" si="2"/>
        <v>0</v>
      </c>
    </row>
    <row r="26" spans="1:13">
      <c r="A26" s="3" t="s">
        <v>48</v>
      </c>
      <c r="B26" s="3" t="s">
        <v>49</v>
      </c>
      <c r="C26" s="1">
        <v>589446.80000000005</v>
      </c>
      <c r="D26" s="1">
        <v>0</v>
      </c>
      <c r="E26" s="1">
        <v>589446.80000000005</v>
      </c>
      <c r="F26" s="1">
        <v>0</v>
      </c>
      <c r="G26" s="1">
        <v>0</v>
      </c>
      <c r="H26" s="1">
        <v>589446.80000000005</v>
      </c>
      <c r="I26" s="1">
        <v>0</v>
      </c>
      <c r="J26" s="1685">
        <v>589446.80000000005</v>
      </c>
      <c r="K26" s="1">
        <f t="shared" si="0"/>
        <v>0</v>
      </c>
      <c r="L26" s="1">
        <f t="shared" si="1"/>
        <v>589446.80000000005</v>
      </c>
      <c r="M26" s="1">
        <f t="shared" si="2"/>
        <v>0</v>
      </c>
    </row>
    <row r="27" spans="1:13">
      <c r="A27" s="3" t="s">
        <v>50</v>
      </c>
      <c r="B27" s="3" t="s">
        <v>51</v>
      </c>
      <c r="C27" s="1">
        <v>-1718671.24</v>
      </c>
      <c r="D27" s="1">
        <v>0</v>
      </c>
      <c r="E27" s="1">
        <v>-1718671.24</v>
      </c>
      <c r="F27" s="1">
        <v>0</v>
      </c>
      <c r="G27" s="1">
        <v>16080.92</v>
      </c>
      <c r="H27" s="1">
        <v>0</v>
      </c>
      <c r="I27" s="1">
        <v>-1734752.1599999899</v>
      </c>
      <c r="J27" s="1685">
        <v>-1734752.1599999899</v>
      </c>
      <c r="K27" s="1">
        <f t="shared" si="0"/>
        <v>-16080.919999989914</v>
      </c>
      <c r="L27" s="1">
        <f t="shared" si="1"/>
        <v>0</v>
      </c>
      <c r="M27" s="1">
        <f t="shared" si="2"/>
        <v>-1718671.24</v>
      </c>
    </row>
    <row r="28" spans="1:13">
      <c r="A28" s="3" t="s">
        <v>52</v>
      </c>
      <c r="B28" s="3" t="s">
        <v>53</v>
      </c>
      <c r="C28" s="1">
        <v>-552236.06000000006</v>
      </c>
      <c r="D28" s="1">
        <v>0</v>
      </c>
      <c r="E28" s="1">
        <v>-552236.06000000006</v>
      </c>
      <c r="F28" s="1">
        <v>0</v>
      </c>
      <c r="G28" s="1">
        <v>2679.17</v>
      </c>
      <c r="H28" s="1">
        <v>0</v>
      </c>
      <c r="I28" s="1">
        <v>-554915.22999999905</v>
      </c>
      <c r="J28" s="1685">
        <v>-554915.22999999905</v>
      </c>
      <c r="K28" s="1">
        <f t="shared" si="0"/>
        <v>-2679.1699999989942</v>
      </c>
      <c r="L28" s="1">
        <f t="shared" si="1"/>
        <v>0</v>
      </c>
      <c r="M28" s="1">
        <f t="shared" si="2"/>
        <v>-552236.06000000006</v>
      </c>
    </row>
    <row r="29" spans="1:13">
      <c r="A29" s="3" t="s">
        <v>54</v>
      </c>
      <c r="B29" s="3" t="s">
        <v>55</v>
      </c>
      <c r="C29" s="1">
        <v>200</v>
      </c>
      <c r="D29" s="1">
        <v>0</v>
      </c>
      <c r="E29" s="1">
        <v>200</v>
      </c>
      <c r="F29" s="1">
        <v>0</v>
      </c>
      <c r="G29" s="1">
        <v>0</v>
      </c>
      <c r="H29" s="1">
        <v>200</v>
      </c>
      <c r="I29" s="1">
        <v>0</v>
      </c>
      <c r="J29" s="1685">
        <v>200</v>
      </c>
      <c r="K29" s="1">
        <f t="shared" si="0"/>
        <v>0</v>
      </c>
      <c r="L29" s="1">
        <f t="shared" si="1"/>
        <v>200</v>
      </c>
      <c r="M29" s="1">
        <f t="shared" si="2"/>
        <v>0</v>
      </c>
    </row>
    <row r="30" spans="1:13">
      <c r="A30" s="3" t="s">
        <v>1804</v>
      </c>
      <c r="B30" s="3" t="s">
        <v>1805</v>
      </c>
      <c r="C30" s="1">
        <v>410085.33</v>
      </c>
      <c r="D30" s="1">
        <v>0</v>
      </c>
      <c r="E30" s="1">
        <v>410085.33</v>
      </c>
      <c r="F30" s="1">
        <v>0</v>
      </c>
      <c r="G30" s="1">
        <v>0</v>
      </c>
      <c r="H30" s="1">
        <v>410085.33</v>
      </c>
      <c r="I30" s="1">
        <v>0</v>
      </c>
      <c r="J30" s="1685">
        <v>410085.33</v>
      </c>
      <c r="K30" s="1">
        <f t="shared" si="0"/>
        <v>0</v>
      </c>
      <c r="L30" s="1">
        <f t="shared" si="1"/>
        <v>410085.33</v>
      </c>
      <c r="M30" s="1">
        <f t="shared" si="2"/>
        <v>0</v>
      </c>
    </row>
    <row r="31" spans="1:13">
      <c r="A31" s="3" t="s">
        <v>1806</v>
      </c>
      <c r="B31" s="3" t="s">
        <v>1807</v>
      </c>
      <c r="C31" s="1">
        <v>-245738.829999999</v>
      </c>
      <c r="D31" s="1">
        <v>0</v>
      </c>
      <c r="E31" s="1">
        <v>-245738.829999999</v>
      </c>
      <c r="F31" s="1">
        <v>0</v>
      </c>
      <c r="G31" s="1">
        <v>7690.81</v>
      </c>
      <c r="H31" s="1">
        <v>0</v>
      </c>
      <c r="I31" s="1">
        <v>-253429.64</v>
      </c>
      <c r="J31" s="1685">
        <v>-253429.64</v>
      </c>
      <c r="K31" s="1">
        <f t="shared" si="0"/>
        <v>-7690.8100000010163</v>
      </c>
      <c r="L31" s="1">
        <f t="shared" si="1"/>
        <v>0</v>
      </c>
      <c r="M31" s="1">
        <f t="shared" si="2"/>
        <v>-245738.829999999</v>
      </c>
    </row>
    <row r="32" spans="1:13">
      <c r="A32" s="3" t="s">
        <v>56</v>
      </c>
      <c r="B32" s="3" t="s">
        <v>57</v>
      </c>
      <c r="C32" s="1">
        <v>275622.679999999</v>
      </c>
      <c r="D32" s="1">
        <v>0</v>
      </c>
      <c r="E32" s="1">
        <v>275622.679999999</v>
      </c>
      <c r="F32" s="1">
        <v>825950.71999999904</v>
      </c>
      <c r="G32" s="1">
        <v>1023388.48</v>
      </c>
      <c r="H32" s="1">
        <v>78184.919999999896</v>
      </c>
      <c r="I32" s="1">
        <v>0</v>
      </c>
      <c r="J32" s="1685">
        <v>78184.919999999896</v>
      </c>
      <c r="K32" s="1">
        <f t="shared" si="0"/>
        <v>-197437.75999999911</v>
      </c>
      <c r="L32" s="1">
        <f t="shared" si="1"/>
        <v>275622.679999999</v>
      </c>
      <c r="M32" s="1">
        <f t="shared" si="2"/>
        <v>0</v>
      </c>
    </row>
    <row r="33" spans="1:13">
      <c r="A33" s="3" t="s">
        <v>59</v>
      </c>
      <c r="B33" s="3" t="s">
        <v>60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685">
        <v>0</v>
      </c>
      <c r="K33" s="1">
        <f t="shared" si="0"/>
        <v>0</v>
      </c>
      <c r="L33" s="1">
        <f t="shared" si="1"/>
        <v>0</v>
      </c>
      <c r="M33" s="1">
        <f t="shared" si="2"/>
        <v>0</v>
      </c>
    </row>
    <row r="34" spans="1:13">
      <c r="A34" s="3" t="s">
        <v>61</v>
      </c>
      <c r="B34" s="3" t="s">
        <v>62</v>
      </c>
      <c r="C34" s="1">
        <v>0</v>
      </c>
      <c r="D34" s="1">
        <v>0</v>
      </c>
      <c r="E34" s="1">
        <v>0</v>
      </c>
      <c r="F34" s="1">
        <v>641202.70999999903</v>
      </c>
      <c r="G34" s="1">
        <v>0</v>
      </c>
      <c r="H34" s="1">
        <v>641202.70999999903</v>
      </c>
      <c r="I34" s="1">
        <v>0</v>
      </c>
      <c r="J34" s="1685">
        <v>641202.70999999903</v>
      </c>
      <c r="K34" s="1">
        <f t="shared" si="0"/>
        <v>641202.70999999903</v>
      </c>
      <c r="L34" s="1">
        <f t="shared" si="1"/>
        <v>0</v>
      </c>
      <c r="M34" s="1">
        <f t="shared" si="2"/>
        <v>0</v>
      </c>
    </row>
    <row r="35" spans="1:13">
      <c r="A35" s="3" t="s">
        <v>63</v>
      </c>
      <c r="B35" s="3" t="s">
        <v>64</v>
      </c>
      <c r="C35" s="1">
        <v>0</v>
      </c>
      <c r="D35" s="1">
        <v>0</v>
      </c>
      <c r="E35" s="1">
        <v>0</v>
      </c>
      <c r="F35" s="1">
        <v>170533.88</v>
      </c>
      <c r="G35" s="1">
        <v>968.89999999999895</v>
      </c>
      <c r="H35" s="1">
        <v>169564.98</v>
      </c>
      <c r="I35" s="1">
        <v>0</v>
      </c>
      <c r="J35" s="1685">
        <v>169564.98</v>
      </c>
      <c r="K35" s="1">
        <f t="shared" si="0"/>
        <v>169564.98</v>
      </c>
      <c r="L35" s="1">
        <f t="shared" si="1"/>
        <v>0</v>
      </c>
      <c r="M35" s="1">
        <f t="shared" si="2"/>
        <v>0</v>
      </c>
    </row>
    <row r="36" spans="1:13">
      <c r="A36" s="3" t="s">
        <v>65</v>
      </c>
      <c r="B36" s="3" t="s">
        <v>3963</v>
      </c>
      <c r="C36" s="1">
        <v>0</v>
      </c>
      <c r="D36" s="1">
        <v>0</v>
      </c>
      <c r="E36" s="1">
        <v>0</v>
      </c>
      <c r="F36" s="1">
        <v>10019.51</v>
      </c>
      <c r="G36" s="1">
        <v>0</v>
      </c>
      <c r="H36" s="1">
        <v>10019.51</v>
      </c>
      <c r="I36" s="1">
        <v>0</v>
      </c>
      <c r="J36" s="1685">
        <v>10019.51</v>
      </c>
      <c r="K36" s="1">
        <f t="shared" si="0"/>
        <v>10019.51</v>
      </c>
      <c r="L36" s="1">
        <f t="shared" si="1"/>
        <v>0</v>
      </c>
      <c r="M36" s="1">
        <f t="shared" si="2"/>
        <v>0</v>
      </c>
    </row>
    <row r="37" spans="1:13">
      <c r="A37" s="3" t="s">
        <v>66</v>
      </c>
      <c r="B37" s="3" t="s">
        <v>67</v>
      </c>
      <c r="C37" s="1">
        <v>0</v>
      </c>
      <c r="D37" s="1">
        <v>0</v>
      </c>
      <c r="E37" s="1">
        <v>0</v>
      </c>
      <c r="F37" s="1">
        <v>5163.5200000000004</v>
      </c>
      <c r="G37" s="1">
        <v>825950.71999999904</v>
      </c>
      <c r="H37" s="1">
        <v>0</v>
      </c>
      <c r="I37" s="1">
        <v>-820787.19999999902</v>
      </c>
      <c r="J37" s="1685">
        <v>-820787.19999999902</v>
      </c>
      <c r="K37" s="1">
        <f t="shared" si="0"/>
        <v>-820787.19999999902</v>
      </c>
      <c r="L37" s="1">
        <f t="shared" si="1"/>
        <v>0</v>
      </c>
      <c r="M37" s="1">
        <f t="shared" si="2"/>
        <v>0</v>
      </c>
    </row>
    <row r="38" spans="1:13">
      <c r="A38" s="3" t="s">
        <v>68</v>
      </c>
      <c r="B38" s="3" t="s">
        <v>69</v>
      </c>
      <c r="C38" s="1">
        <v>25189.549999999901</v>
      </c>
      <c r="D38" s="1">
        <v>0</v>
      </c>
      <c r="E38" s="1">
        <v>25189.549999999901</v>
      </c>
      <c r="F38" s="1">
        <v>1423439.54</v>
      </c>
      <c r="G38" s="1">
        <v>1435221.1</v>
      </c>
      <c r="H38" s="1">
        <v>13407.99</v>
      </c>
      <c r="I38" s="1">
        <v>0</v>
      </c>
      <c r="J38" s="1685">
        <v>13407.99</v>
      </c>
      <c r="K38" s="1">
        <f t="shared" si="0"/>
        <v>-11781.559999999901</v>
      </c>
      <c r="L38" s="1">
        <f t="shared" si="1"/>
        <v>25189.549999999901</v>
      </c>
      <c r="M38" s="1">
        <f t="shared" si="2"/>
        <v>0</v>
      </c>
    </row>
    <row r="39" spans="1:13">
      <c r="A39" s="3" t="s">
        <v>70</v>
      </c>
      <c r="B39" s="3" t="s">
        <v>71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685">
        <v>0</v>
      </c>
      <c r="K39" s="1">
        <f t="shared" si="0"/>
        <v>0</v>
      </c>
      <c r="L39" s="1">
        <f t="shared" si="1"/>
        <v>0</v>
      </c>
      <c r="M39" s="1">
        <f t="shared" si="2"/>
        <v>0</v>
      </c>
    </row>
    <row r="40" spans="1:13">
      <c r="A40" s="3" t="s">
        <v>72</v>
      </c>
      <c r="B40" s="3" t="s">
        <v>73</v>
      </c>
      <c r="C40" s="1">
        <v>0</v>
      </c>
      <c r="D40" s="1">
        <v>0</v>
      </c>
      <c r="E40" s="1">
        <v>0</v>
      </c>
      <c r="F40" s="1">
        <v>244922641.22999901</v>
      </c>
      <c r="G40" s="1">
        <v>244922641.27000001</v>
      </c>
      <c r="H40" s="1">
        <v>0</v>
      </c>
      <c r="I40" s="1">
        <v>-0.04</v>
      </c>
      <c r="J40" s="1685">
        <v>-0.04</v>
      </c>
      <c r="K40" s="1">
        <f t="shared" si="0"/>
        <v>-0.04</v>
      </c>
      <c r="L40" s="1">
        <f t="shared" si="1"/>
        <v>0</v>
      </c>
      <c r="M40" s="1">
        <f t="shared" si="2"/>
        <v>0</v>
      </c>
    </row>
    <row r="41" spans="1:13">
      <c r="A41" s="3" t="s">
        <v>74</v>
      </c>
      <c r="B41" s="3" t="s">
        <v>73</v>
      </c>
      <c r="C41" s="1">
        <v>0</v>
      </c>
      <c r="D41" s="1">
        <v>0</v>
      </c>
      <c r="E41" s="1">
        <v>0</v>
      </c>
      <c r="F41" s="1">
        <v>7976169.25</v>
      </c>
      <c r="G41" s="1">
        <v>7976169.21</v>
      </c>
      <c r="H41" s="1">
        <v>0.04</v>
      </c>
      <c r="I41" s="1">
        <v>0</v>
      </c>
      <c r="J41" s="1685">
        <v>0.04</v>
      </c>
      <c r="K41" s="1">
        <f t="shared" si="0"/>
        <v>0.04</v>
      </c>
      <c r="L41" s="1">
        <f t="shared" si="1"/>
        <v>0</v>
      </c>
      <c r="M41" s="1">
        <f t="shared" si="2"/>
        <v>0</v>
      </c>
    </row>
    <row r="42" spans="1:13">
      <c r="A42" s="3" t="s">
        <v>75</v>
      </c>
      <c r="B42" s="3" t="s">
        <v>76</v>
      </c>
      <c r="C42" s="1">
        <v>0</v>
      </c>
      <c r="D42" s="1">
        <v>0</v>
      </c>
      <c r="E42" s="1">
        <v>0</v>
      </c>
      <c r="F42" s="1">
        <v>966.19</v>
      </c>
      <c r="G42" s="1">
        <v>966.19</v>
      </c>
      <c r="H42" s="1">
        <v>0</v>
      </c>
      <c r="I42" s="1">
        <v>0</v>
      </c>
      <c r="J42" s="1685">
        <v>0</v>
      </c>
      <c r="K42" s="1">
        <f t="shared" si="0"/>
        <v>0</v>
      </c>
      <c r="L42" s="1">
        <f t="shared" si="1"/>
        <v>0</v>
      </c>
      <c r="M42" s="1">
        <f t="shared" si="2"/>
        <v>0</v>
      </c>
    </row>
    <row r="43" spans="1:13">
      <c r="A43" s="3" t="s">
        <v>77</v>
      </c>
      <c r="B43" s="3" t="s">
        <v>76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685">
        <v>0</v>
      </c>
      <c r="K43" s="1">
        <f t="shared" si="0"/>
        <v>0</v>
      </c>
      <c r="L43" s="1">
        <f t="shared" si="1"/>
        <v>0</v>
      </c>
      <c r="M43" s="1">
        <f t="shared" si="2"/>
        <v>0</v>
      </c>
    </row>
    <row r="44" spans="1:13">
      <c r="A44" s="3" t="s">
        <v>78</v>
      </c>
      <c r="B44" s="3" t="s">
        <v>79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685">
        <v>0</v>
      </c>
      <c r="K44" s="1">
        <f t="shared" si="0"/>
        <v>0</v>
      </c>
      <c r="L44" s="1">
        <f t="shared" si="1"/>
        <v>0</v>
      </c>
      <c r="M44" s="1">
        <f t="shared" si="2"/>
        <v>0</v>
      </c>
    </row>
    <row r="45" spans="1:13">
      <c r="A45" s="3" t="s">
        <v>80</v>
      </c>
      <c r="B45" s="3" t="s">
        <v>81</v>
      </c>
      <c r="C45" s="1">
        <v>2841.1999999999898</v>
      </c>
      <c r="D45" s="1">
        <v>0</v>
      </c>
      <c r="E45" s="1">
        <v>2841.1999999999898</v>
      </c>
      <c r="F45" s="1">
        <v>2351021.02999999</v>
      </c>
      <c r="G45" s="1">
        <v>2352570.46</v>
      </c>
      <c r="H45" s="1">
        <v>1291.77</v>
      </c>
      <c r="I45" s="1">
        <v>0</v>
      </c>
      <c r="J45" s="1685">
        <v>1291.77</v>
      </c>
      <c r="K45" s="1">
        <f t="shared" si="0"/>
        <v>-1549.4299999999898</v>
      </c>
      <c r="L45" s="1">
        <f t="shared" si="1"/>
        <v>2841.1999999999898</v>
      </c>
      <c r="M45" s="1">
        <f t="shared" si="2"/>
        <v>0</v>
      </c>
    </row>
    <row r="46" spans="1:13">
      <c r="A46" s="3" t="s">
        <v>82</v>
      </c>
      <c r="B46" s="3" t="s">
        <v>83</v>
      </c>
      <c r="C46" s="1">
        <v>0</v>
      </c>
      <c r="D46" s="1">
        <v>0</v>
      </c>
      <c r="E46" s="1">
        <v>0</v>
      </c>
      <c r="F46" s="1">
        <v>20529597.219999898</v>
      </c>
      <c r="G46" s="1">
        <v>20529597.219999898</v>
      </c>
      <c r="H46" s="1">
        <v>0</v>
      </c>
      <c r="I46" s="1">
        <v>0</v>
      </c>
      <c r="J46" s="1685">
        <v>0</v>
      </c>
      <c r="K46" s="1">
        <f t="shared" si="0"/>
        <v>0</v>
      </c>
      <c r="L46" s="1">
        <f t="shared" si="1"/>
        <v>0</v>
      </c>
      <c r="M46" s="1">
        <f t="shared" si="2"/>
        <v>0</v>
      </c>
    </row>
    <row r="47" spans="1:13">
      <c r="A47" s="3" t="s">
        <v>84</v>
      </c>
      <c r="B47" s="3" t="s">
        <v>85</v>
      </c>
      <c r="C47" s="1">
        <v>1281527.82</v>
      </c>
      <c r="D47" s="1">
        <v>0</v>
      </c>
      <c r="E47" s="1">
        <v>1281527.82</v>
      </c>
      <c r="F47" s="1">
        <v>27682530.809999902</v>
      </c>
      <c r="G47" s="1">
        <v>28447862.379999898</v>
      </c>
      <c r="H47" s="1">
        <v>516196.25</v>
      </c>
      <c r="I47" s="1">
        <v>0</v>
      </c>
      <c r="J47" s="1685">
        <v>516196.25</v>
      </c>
      <c r="K47" s="1">
        <f t="shared" si="0"/>
        <v>-765331.57000000007</v>
      </c>
      <c r="L47" s="1">
        <f t="shared" si="1"/>
        <v>1281527.82</v>
      </c>
      <c r="M47" s="1">
        <f t="shared" si="2"/>
        <v>0</v>
      </c>
    </row>
    <row r="48" spans="1:13">
      <c r="A48" s="3" t="s">
        <v>86</v>
      </c>
      <c r="B48" s="3" t="s">
        <v>87</v>
      </c>
      <c r="C48" s="1">
        <v>0</v>
      </c>
      <c r="D48" s="1">
        <v>0</v>
      </c>
      <c r="E48" s="1">
        <v>0</v>
      </c>
      <c r="F48" s="1">
        <v>9450409.6899999902</v>
      </c>
      <c r="G48" s="1">
        <v>9450407.9199999906</v>
      </c>
      <c r="H48" s="1">
        <v>1.77</v>
      </c>
      <c r="I48" s="1">
        <v>0</v>
      </c>
      <c r="J48" s="1685">
        <v>1.77</v>
      </c>
      <c r="K48" s="1">
        <f t="shared" si="0"/>
        <v>1.77</v>
      </c>
      <c r="L48" s="1">
        <f t="shared" si="1"/>
        <v>0</v>
      </c>
      <c r="M48" s="1">
        <f t="shared" si="2"/>
        <v>0</v>
      </c>
    </row>
    <row r="49" spans="1:13">
      <c r="A49" s="3" t="s">
        <v>3951</v>
      </c>
      <c r="B49" s="3" t="s">
        <v>87</v>
      </c>
      <c r="C49" s="1">
        <v>0</v>
      </c>
      <c r="D49" s="1">
        <v>0</v>
      </c>
      <c r="E49" s="1">
        <v>0</v>
      </c>
      <c r="F49" s="1">
        <v>7808</v>
      </c>
      <c r="G49" s="1">
        <v>7808</v>
      </c>
      <c r="H49" s="1">
        <v>0</v>
      </c>
      <c r="I49" s="1">
        <v>0</v>
      </c>
      <c r="J49" s="1685">
        <v>0</v>
      </c>
      <c r="K49" s="1">
        <f t="shared" si="0"/>
        <v>0</v>
      </c>
      <c r="L49" s="1">
        <f t="shared" si="1"/>
        <v>0</v>
      </c>
      <c r="M49" s="1">
        <f t="shared" si="2"/>
        <v>0</v>
      </c>
    </row>
    <row r="50" spans="1:13">
      <c r="A50" s="3" t="s">
        <v>88</v>
      </c>
      <c r="B50" s="3" t="s">
        <v>89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685">
        <v>0</v>
      </c>
      <c r="K50" s="1">
        <f t="shared" si="0"/>
        <v>0</v>
      </c>
      <c r="L50" s="1">
        <f t="shared" si="1"/>
        <v>0</v>
      </c>
      <c r="M50" s="1">
        <f t="shared" si="2"/>
        <v>0</v>
      </c>
    </row>
    <row r="51" spans="1:13">
      <c r="A51" s="3" t="s">
        <v>3323</v>
      </c>
      <c r="B51" s="3" t="s">
        <v>3324</v>
      </c>
      <c r="C51" s="1">
        <v>100349.55</v>
      </c>
      <c r="D51" s="1">
        <v>0</v>
      </c>
      <c r="E51" s="1">
        <v>100349.55</v>
      </c>
      <c r="F51" s="1">
        <v>2482332.9199999901</v>
      </c>
      <c r="G51" s="1">
        <v>2582666.9199999901</v>
      </c>
      <c r="H51" s="1">
        <v>15.55</v>
      </c>
      <c r="I51" s="1">
        <v>0</v>
      </c>
      <c r="J51" s="1685">
        <v>15.55</v>
      </c>
      <c r="K51" s="1">
        <f t="shared" si="0"/>
        <v>-100334</v>
      </c>
      <c r="L51" s="1">
        <f t="shared" si="1"/>
        <v>100349.55</v>
      </c>
      <c r="M51" s="1">
        <f t="shared" si="2"/>
        <v>0</v>
      </c>
    </row>
    <row r="52" spans="1:13">
      <c r="A52" s="3" t="s">
        <v>90</v>
      </c>
      <c r="B52" s="3" t="s">
        <v>91</v>
      </c>
      <c r="C52" s="1">
        <v>0</v>
      </c>
      <c r="D52" s="1">
        <v>0</v>
      </c>
      <c r="E52" s="1">
        <v>0</v>
      </c>
      <c r="F52" s="1">
        <v>949356.45999999903</v>
      </c>
      <c r="G52" s="1">
        <v>949356.45999999903</v>
      </c>
      <c r="H52" s="1">
        <v>0</v>
      </c>
      <c r="I52" s="1">
        <v>0</v>
      </c>
      <c r="J52" s="1685">
        <v>0</v>
      </c>
      <c r="K52" s="1">
        <f t="shared" si="0"/>
        <v>0</v>
      </c>
      <c r="L52" s="1">
        <f t="shared" si="1"/>
        <v>0</v>
      </c>
      <c r="M52" s="1">
        <f t="shared" si="2"/>
        <v>0</v>
      </c>
    </row>
    <row r="53" spans="1:13">
      <c r="A53" s="3" t="s">
        <v>92</v>
      </c>
      <c r="B53" s="3" t="s">
        <v>93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685">
        <v>0</v>
      </c>
      <c r="K53" s="1">
        <f t="shared" si="0"/>
        <v>0</v>
      </c>
      <c r="L53" s="1">
        <f t="shared" si="1"/>
        <v>0</v>
      </c>
      <c r="M53" s="1">
        <f t="shared" si="2"/>
        <v>0</v>
      </c>
    </row>
    <row r="54" spans="1:13">
      <c r="A54" s="3" t="s">
        <v>96</v>
      </c>
      <c r="B54" s="3" t="s">
        <v>97</v>
      </c>
      <c r="C54" s="1">
        <v>23676.5999999999</v>
      </c>
      <c r="D54" s="1">
        <v>0</v>
      </c>
      <c r="E54" s="1">
        <v>23676.5999999999</v>
      </c>
      <c r="F54" s="1">
        <v>637014.78</v>
      </c>
      <c r="G54" s="1">
        <v>275800</v>
      </c>
      <c r="H54" s="1">
        <v>384891.38</v>
      </c>
      <c r="I54" s="1">
        <v>0</v>
      </c>
      <c r="J54" s="1685">
        <v>384891.38</v>
      </c>
      <c r="K54" s="1">
        <f t="shared" si="0"/>
        <v>361214.78000000009</v>
      </c>
      <c r="L54" s="1">
        <f t="shared" si="1"/>
        <v>23676.5999999999</v>
      </c>
      <c r="M54" s="1">
        <f t="shared" si="2"/>
        <v>0</v>
      </c>
    </row>
    <row r="55" spans="1:13">
      <c r="A55" s="3" t="s">
        <v>98</v>
      </c>
      <c r="B55" s="3" t="s">
        <v>97</v>
      </c>
      <c r="C55" s="1">
        <v>2049.8099999999899</v>
      </c>
      <c r="D55" s="1">
        <v>0</v>
      </c>
      <c r="E55" s="1">
        <v>2049.8099999999899</v>
      </c>
      <c r="F55" s="1">
        <v>359556.799999999</v>
      </c>
      <c r="G55" s="1">
        <v>121368</v>
      </c>
      <c r="H55" s="1">
        <v>240238.609999999</v>
      </c>
      <c r="I55" s="1">
        <v>0</v>
      </c>
      <c r="J55" s="1685">
        <v>240238.609999999</v>
      </c>
      <c r="K55" s="1">
        <f t="shared" si="0"/>
        <v>238188.799999999</v>
      </c>
      <c r="L55" s="1">
        <f t="shared" si="1"/>
        <v>2049.8099999999899</v>
      </c>
      <c r="M55" s="1">
        <f t="shared" si="2"/>
        <v>0</v>
      </c>
    </row>
    <row r="56" spans="1:13">
      <c r="A56" s="3" t="s">
        <v>2842</v>
      </c>
      <c r="B56" s="3" t="s">
        <v>2843</v>
      </c>
      <c r="C56" s="1">
        <v>1178873.21</v>
      </c>
      <c r="D56" s="1">
        <v>0</v>
      </c>
      <c r="E56" s="1">
        <v>1178873.21</v>
      </c>
      <c r="F56" s="1">
        <v>2445105.8599999901</v>
      </c>
      <c r="G56" s="1">
        <v>1173227.6200000001</v>
      </c>
      <c r="H56" s="1">
        <v>2450751.4500000002</v>
      </c>
      <c r="I56" s="1">
        <v>0</v>
      </c>
      <c r="J56" s="1685">
        <v>2450751.4500000002</v>
      </c>
      <c r="K56" s="1">
        <f t="shared" si="0"/>
        <v>1271878.2400000002</v>
      </c>
      <c r="L56" s="1">
        <f t="shared" si="1"/>
        <v>1178873.21</v>
      </c>
      <c r="M56" s="1">
        <f t="shared" si="2"/>
        <v>0</v>
      </c>
    </row>
    <row r="57" spans="1:13">
      <c r="A57" s="3" t="s">
        <v>99</v>
      </c>
      <c r="B57" s="3" t="s">
        <v>100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685">
        <v>0</v>
      </c>
      <c r="K57" s="1">
        <f t="shared" si="0"/>
        <v>0</v>
      </c>
      <c r="L57" s="1">
        <f t="shared" si="1"/>
        <v>0</v>
      </c>
      <c r="M57" s="1">
        <f t="shared" si="2"/>
        <v>0</v>
      </c>
    </row>
    <row r="58" spans="1:13">
      <c r="A58" s="3" t="s">
        <v>101</v>
      </c>
      <c r="B58" s="3" t="s">
        <v>102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685">
        <v>0</v>
      </c>
      <c r="K58" s="1">
        <f t="shared" si="0"/>
        <v>0</v>
      </c>
      <c r="L58" s="1">
        <f t="shared" si="1"/>
        <v>0</v>
      </c>
      <c r="M58" s="1">
        <f t="shared" si="2"/>
        <v>0</v>
      </c>
    </row>
    <row r="59" spans="1:13">
      <c r="A59" s="3" t="s">
        <v>104</v>
      </c>
      <c r="B59" s="3" t="s">
        <v>105</v>
      </c>
      <c r="C59" s="1">
        <v>0</v>
      </c>
      <c r="D59" s="1">
        <v>0</v>
      </c>
      <c r="E59" s="1">
        <v>0</v>
      </c>
      <c r="F59" s="1">
        <v>92157752.900000006</v>
      </c>
      <c r="G59" s="1">
        <v>92157752.900000006</v>
      </c>
      <c r="H59" s="1">
        <v>0</v>
      </c>
      <c r="I59" s="1">
        <v>0</v>
      </c>
      <c r="J59" s="1685">
        <v>0</v>
      </c>
      <c r="K59" s="1">
        <f t="shared" si="0"/>
        <v>0</v>
      </c>
      <c r="L59" s="1">
        <f t="shared" si="1"/>
        <v>0</v>
      </c>
      <c r="M59" s="1">
        <f t="shared" si="2"/>
        <v>0</v>
      </c>
    </row>
    <row r="60" spans="1:13">
      <c r="A60" s="3" t="s">
        <v>106</v>
      </c>
      <c r="B60" s="3" t="s">
        <v>107</v>
      </c>
      <c r="C60" s="1">
        <v>0</v>
      </c>
      <c r="D60" s="1">
        <v>0</v>
      </c>
      <c r="E60" s="1">
        <v>0</v>
      </c>
      <c r="F60" s="1">
        <v>112260786.38</v>
      </c>
      <c r="G60" s="1">
        <v>112260786.38</v>
      </c>
      <c r="H60" s="1">
        <v>0</v>
      </c>
      <c r="I60" s="1">
        <v>0</v>
      </c>
      <c r="J60" s="1685">
        <v>0</v>
      </c>
      <c r="K60" s="1">
        <f t="shared" si="0"/>
        <v>0</v>
      </c>
      <c r="L60" s="1">
        <f t="shared" si="1"/>
        <v>0</v>
      </c>
      <c r="M60" s="1">
        <f t="shared" si="2"/>
        <v>0</v>
      </c>
    </row>
    <row r="61" spans="1:13">
      <c r="A61" s="3" t="s">
        <v>108</v>
      </c>
      <c r="B61" s="3" t="s">
        <v>109</v>
      </c>
      <c r="C61" s="1">
        <v>0</v>
      </c>
      <c r="D61" s="1">
        <v>0</v>
      </c>
      <c r="E61" s="1">
        <v>0</v>
      </c>
      <c r="F61" s="1">
        <v>4454190.6900000004</v>
      </c>
      <c r="G61" s="1">
        <v>4454190.6900000004</v>
      </c>
      <c r="H61" s="1">
        <v>0</v>
      </c>
      <c r="I61" s="1">
        <v>0</v>
      </c>
      <c r="J61" s="1685">
        <v>0</v>
      </c>
      <c r="K61" s="1">
        <f t="shared" si="0"/>
        <v>0</v>
      </c>
      <c r="L61" s="1">
        <f t="shared" si="1"/>
        <v>0</v>
      </c>
      <c r="M61" s="1">
        <f t="shared" si="2"/>
        <v>0</v>
      </c>
    </row>
    <row r="62" spans="1:13">
      <c r="A62" s="3" t="s">
        <v>2473</v>
      </c>
      <c r="B62" s="3" t="s">
        <v>2474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685">
        <v>0</v>
      </c>
      <c r="K62" s="1">
        <f t="shared" si="0"/>
        <v>0</v>
      </c>
      <c r="L62" s="1">
        <f t="shared" si="1"/>
        <v>0</v>
      </c>
      <c r="M62" s="1">
        <f t="shared" si="2"/>
        <v>0</v>
      </c>
    </row>
    <row r="63" spans="1:13">
      <c r="A63" s="3" t="s">
        <v>2475</v>
      </c>
      <c r="B63" s="3" t="s">
        <v>2474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685">
        <v>0</v>
      </c>
      <c r="K63" s="1">
        <f t="shared" si="0"/>
        <v>0</v>
      </c>
      <c r="L63" s="1">
        <f t="shared" si="1"/>
        <v>0</v>
      </c>
      <c r="M63" s="1">
        <f t="shared" si="2"/>
        <v>0</v>
      </c>
    </row>
    <row r="64" spans="1:13">
      <c r="A64" s="3" t="s">
        <v>4040</v>
      </c>
      <c r="B64" s="3" t="s">
        <v>4041</v>
      </c>
      <c r="C64" s="1">
        <v>0</v>
      </c>
      <c r="D64" s="1">
        <v>0</v>
      </c>
      <c r="E64" s="1">
        <v>0</v>
      </c>
      <c r="F64" s="1">
        <v>2104908.6699999901</v>
      </c>
      <c r="G64" s="1">
        <v>2104908.6699999901</v>
      </c>
      <c r="H64" s="1">
        <v>0</v>
      </c>
      <c r="I64" s="1">
        <v>0</v>
      </c>
      <c r="J64" s="1685">
        <v>0</v>
      </c>
      <c r="K64" s="1">
        <f t="shared" si="0"/>
        <v>0</v>
      </c>
      <c r="L64" s="1">
        <f t="shared" si="1"/>
        <v>0</v>
      </c>
      <c r="M64" s="1">
        <f t="shared" si="2"/>
        <v>0</v>
      </c>
    </row>
    <row r="65" spans="1:13">
      <c r="A65" s="3" t="s">
        <v>112</v>
      </c>
      <c r="B65" s="3" t="s">
        <v>113</v>
      </c>
      <c r="C65" s="1">
        <v>0</v>
      </c>
      <c r="D65" s="1">
        <v>0</v>
      </c>
      <c r="E65" s="1">
        <v>0</v>
      </c>
      <c r="F65" s="1">
        <v>295381682.79000002</v>
      </c>
      <c r="G65" s="1">
        <v>295381682.79000002</v>
      </c>
      <c r="H65" s="1">
        <v>0</v>
      </c>
      <c r="I65" s="1">
        <v>0</v>
      </c>
      <c r="J65" s="1685">
        <v>0</v>
      </c>
      <c r="K65" s="1">
        <f t="shared" si="0"/>
        <v>0</v>
      </c>
      <c r="L65" s="1">
        <f t="shared" si="1"/>
        <v>0</v>
      </c>
      <c r="M65" s="1">
        <f t="shared" si="2"/>
        <v>0</v>
      </c>
    </row>
    <row r="66" spans="1:13">
      <c r="A66" s="3" t="s">
        <v>114</v>
      </c>
      <c r="B66" s="3" t="s">
        <v>3088</v>
      </c>
      <c r="C66" s="1">
        <v>0</v>
      </c>
      <c r="D66" s="1">
        <v>0</v>
      </c>
      <c r="E66" s="1">
        <v>0</v>
      </c>
      <c r="F66" s="1">
        <v>18869.240000000002</v>
      </c>
      <c r="G66" s="1">
        <v>18869.240000000002</v>
      </c>
      <c r="H66" s="1">
        <v>0</v>
      </c>
      <c r="I66" s="1">
        <v>0</v>
      </c>
      <c r="J66" s="1685">
        <v>0</v>
      </c>
      <c r="K66" s="1">
        <f t="shared" si="0"/>
        <v>0</v>
      </c>
      <c r="L66" s="1">
        <f t="shared" si="1"/>
        <v>0</v>
      </c>
      <c r="M66" s="1">
        <f t="shared" si="2"/>
        <v>0</v>
      </c>
    </row>
    <row r="67" spans="1:13">
      <c r="A67" s="3" t="s">
        <v>115</v>
      </c>
      <c r="B67" s="3" t="s">
        <v>116</v>
      </c>
      <c r="C67" s="1">
        <v>0</v>
      </c>
      <c r="D67" s="1">
        <v>0</v>
      </c>
      <c r="E67" s="1">
        <v>0</v>
      </c>
      <c r="F67" s="1">
        <v>15787.4</v>
      </c>
      <c r="G67" s="1">
        <v>15787.4</v>
      </c>
      <c r="H67" s="1">
        <v>0</v>
      </c>
      <c r="I67" s="1">
        <v>0</v>
      </c>
      <c r="J67" s="1685">
        <v>0</v>
      </c>
      <c r="K67" s="1">
        <f t="shared" ref="K67:K130" si="3">J67-C67</f>
        <v>0</v>
      </c>
      <c r="L67" s="1">
        <f t="shared" ref="L67:L130" si="4">IF(C67&gt;0,C67,0)</f>
        <v>0</v>
      </c>
      <c r="M67" s="1">
        <f t="shared" ref="M67:M130" si="5">IF(C67&lt;0,C67,0)</f>
        <v>0</v>
      </c>
    </row>
    <row r="68" spans="1:13">
      <c r="A68" s="3" t="s">
        <v>3363</v>
      </c>
      <c r="B68" s="3" t="s">
        <v>3364</v>
      </c>
      <c r="C68" s="1">
        <v>-56470.16</v>
      </c>
      <c r="D68" s="1">
        <v>0</v>
      </c>
      <c r="E68" s="1">
        <v>-56470.16</v>
      </c>
      <c r="F68" s="1">
        <v>127028.2</v>
      </c>
      <c r="G68" s="1">
        <v>70562.740000000005</v>
      </c>
      <c r="H68" s="1">
        <v>0</v>
      </c>
      <c r="I68" s="1">
        <v>-4.7</v>
      </c>
      <c r="J68" s="1685">
        <v>-4.7</v>
      </c>
      <c r="K68" s="1">
        <f t="shared" si="3"/>
        <v>56465.460000000006</v>
      </c>
      <c r="L68" s="1">
        <f t="shared" si="4"/>
        <v>0</v>
      </c>
      <c r="M68" s="1">
        <f t="shared" si="5"/>
        <v>-56470.16</v>
      </c>
    </row>
    <row r="69" spans="1:13">
      <c r="A69" s="3" t="s">
        <v>3365</v>
      </c>
      <c r="B69" s="3" t="s">
        <v>3366</v>
      </c>
      <c r="C69" s="1">
        <v>-2241.23</v>
      </c>
      <c r="D69" s="1">
        <v>0</v>
      </c>
      <c r="E69" s="1">
        <v>-2241.23</v>
      </c>
      <c r="F69" s="1">
        <v>21651.75</v>
      </c>
      <c r="G69" s="1">
        <v>19410.48</v>
      </c>
      <c r="H69" s="1">
        <v>0.04</v>
      </c>
      <c r="I69" s="1">
        <v>0</v>
      </c>
      <c r="J69" s="1685">
        <v>0.04</v>
      </c>
      <c r="K69" s="1">
        <f t="shared" si="3"/>
        <v>2241.27</v>
      </c>
      <c r="L69" s="1">
        <f t="shared" si="4"/>
        <v>0</v>
      </c>
      <c r="M69" s="1">
        <f t="shared" si="5"/>
        <v>-2241.23</v>
      </c>
    </row>
    <row r="70" spans="1:13">
      <c r="A70" s="3" t="s">
        <v>117</v>
      </c>
      <c r="B70" s="3" t="s">
        <v>118</v>
      </c>
      <c r="C70" s="1">
        <v>26009269.390000001</v>
      </c>
      <c r="D70" s="1">
        <v>0</v>
      </c>
      <c r="E70" s="1">
        <v>26009269.390000001</v>
      </c>
      <c r="F70" s="1">
        <v>151047991.00999901</v>
      </c>
      <c r="G70" s="1">
        <v>152114864.99000001</v>
      </c>
      <c r="H70" s="1">
        <v>24942395.41</v>
      </c>
      <c r="I70" s="1">
        <v>0</v>
      </c>
      <c r="J70" s="1685">
        <v>24942395.41</v>
      </c>
      <c r="K70" s="1">
        <f t="shared" si="3"/>
        <v>-1066873.9800000004</v>
      </c>
      <c r="L70" s="1">
        <f t="shared" si="4"/>
        <v>26009269.390000001</v>
      </c>
      <c r="M70" s="1">
        <f t="shared" si="5"/>
        <v>0</v>
      </c>
    </row>
    <row r="71" spans="1:13">
      <c r="A71" s="3" t="s">
        <v>3751</v>
      </c>
      <c r="B71" s="3" t="s">
        <v>3752</v>
      </c>
      <c r="C71" s="1">
        <v>3273.02</v>
      </c>
      <c r="D71" s="1">
        <v>0</v>
      </c>
      <c r="E71" s="1">
        <v>3273.02</v>
      </c>
      <c r="F71" s="1">
        <v>390</v>
      </c>
      <c r="G71" s="1">
        <v>390</v>
      </c>
      <c r="H71" s="1">
        <v>3273.02</v>
      </c>
      <c r="I71" s="1">
        <v>0</v>
      </c>
      <c r="J71" s="1685">
        <v>3273.02</v>
      </c>
      <c r="K71" s="1">
        <f t="shared" si="3"/>
        <v>0</v>
      </c>
      <c r="L71" s="1">
        <f t="shared" si="4"/>
        <v>3273.02</v>
      </c>
      <c r="M71" s="1">
        <f t="shared" si="5"/>
        <v>0</v>
      </c>
    </row>
    <row r="72" spans="1:13">
      <c r="A72" s="3" t="s">
        <v>119</v>
      </c>
      <c r="B72" s="3" t="s">
        <v>120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685">
        <v>0</v>
      </c>
      <c r="K72" s="1">
        <f t="shared" si="3"/>
        <v>0</v>
      </c>
      <c r="L72" s="1">
        <f t="shared" si="4"/>
        <v>0</v>
      </c>
      <c r="M72" s="1">
        <f t="shared" si="5"/>
        <v>0</v>
      </c>
    </row>
    <row r="73" spans="1:13">
      <c r="A73" s="3" t="s">
        <v>121</v>
      </c>
      <c r="B73" s="3" t="s">
        <v>122</v>
      </c>
      <c r="C73" s="1">
        <v>589336.48999999894</v>
      </c>
      <c r="D73" s="1">
        <v>0</v>
      </c>
      <c r="E73" s="1">
        <v>589336.48999999894</v>
      </c>
      <c r="F73" s="1">
        <v>573354.04</v>
      </c>
      <c r="G73" s="1">
        <v>762036.64</v>
      </c>
      <c r="H73" s="1">
        <v>400653.89</v>
      </c>
      <c r="I73" s="1">
        <v>0</v>
      </c>
      <c r="J73" s="1685">
        <v>400653.89</v>
      </c>
      <c r="K73" s="1">
        <f t="shared" si="3"/>
        <v>-188682.59999999893</v>
      </c>
      <c r="L73" s="1">
        <f t="shared" si="4"/>
        <v>589336.48999999894</v>
      </c>
      <c r="M73" s="1">
        <f t="shared" si="5"/>
        <v>0</v>
      </c>
    </row>
    <row r="74" spans="1:13">
      <c r="A74" s="3" t="s">
        <v>2335</v>
      </c>
      <c r="B74" s="3" t="s">
        <v>122</v>
      </c>
      <c r="C74" s="1">
        <v>388324.52</v>
      </c>
      <c r="D74" s="1">
        <v>0</v>
      </c>
      <c r="E74" s="1">
        <v>388324.52</v>
      </c>
      <c r="F74" s="1">
        <v>1948928.8</v>
      </c>
      <c r="G74" s="1">
        <v>2337253.3199999901</v>
      </c>
      <c r="H74" s="1">
        <v>0</v>
      </c>
      <c r="I74" s="1">
        <v>0</v>
      </c>
      <c r="J74" s="1685">
        <v>0</v>
      </c>
      <c r="K74" s="1">
        <f t="shared" si="3"/>
        <v>-388324.52</v>
      </c>
      <c r="L74" s="1">
        <f t="shared" si="4"/>
        <v>388324.52</v>
      </c>
      <c r="M74" s="1">
        <f t="shared" si="5"/>
        <v>0</v>
      </c>
    </row>
    <row r="75" spans="1:13">
      <c r="A75" s="3" t="s">
        <v>2336</v>
      </c>
      <c r="B75" s="3" t="s">
        <v>122</v>
      </c>
      <c r="C75" s="1">
        <v>-388324.52</v>
      </c>
      <c r="D75" s="1">
        <v>0</v>
      </c>
      <c r="E75" s="1">
        <v>-388324.52</v>
      </c>
      <c r="F75" s="1">
        <v>2337253.3199999901</v>
      </c>
      <c r="G75" s="1">
        <v>1948928.8</v>
      </c>
      <c r="H75" s="1">
        <v>0</v>
      </c>
      <c r="I75" s="1">
        <v>0</v>
      </c>
      <c r="J75" s="1685">
        <v>0</v>
      </c>
      <c r="K75" s="1">
        <f t="shared" si="3"/>
        <v>388324.52</v>
      </c>
      <c r="L75" s="1">
        <f t="shared" si="4"/>
        <v>0</v>
      </c>
      <c r="M75" s="1">
        <f t="shared" si="5"/>
        <v>-388324.52</v>
      </c>
    </row>
    <row r="76" spans="1:13">
      <c r="A76" s="3" t="s">
        <v>123</v>
      </c>
      <c r="B76" s="3" t="s">
        <v>124</v>
      </c>
      <c r="C76" s="1">
        <v>0</v>
      </c>
      <c r="D76" s="1">
        <v>0</v>
      </c>
      <c r="E76" s="1">
        <v>0</v>
      </c>
      <c r="F76" s="1">
        <v>299000</v>
      </c>
      <c r="G76" s="1">
        <v>229000</v>
      </c>
      <c r="H76" s="1">
        <v>70000</v>
      </c>
      <c r="I76" s="1">
        <v>0</v>
      </c>
      <c r="J76" s="1685">
        <v>70000</v>
      </c>
      <c r="K76" s="1">
        <f t="shared" si="3"/>
        <v>70000</v>
      </c>
      <c r="L76" s="1">
        <f t="shared" si="4"/>
        <v>0</v>
      </c>
      <c r="M76" s="1">
        <f t="shared" si="5"/>
        <v>0</v>
      </c>
    </row>
    <row r="77" spans="1:13">
      <c r="A77" s="3" t="s">
        <v>125</v>
      </c>
      <c r="B77" s="3" t="s">
        <v>126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685">
        <v>0</v>
      </c>
      <c r="K77" s="1">
        <f t="shared" si="3"/>
        <v>0</v>
      </c>
      <c r="L77" s="1">
        <f t="shared" si="4"/>
        <v>0</v>
      </c>
      <c r="M77" s="1">
        <f t="shared" si="5"/>
        <v>0</v>
      </c>
    </row>
    <row r="78" spans="1:13">
      <c r="A78" s="3" t="s">
        <v>127</v>
      </c>
      <c r="B78" s="3" t="s">
        <v>2520</v>
      </c>
      <c r="C78" s="1">
        <v>0</v>
      </c>
      <c r="D78" s="1">
        <v>0</v>
      </c>
      <c r="E78" s="1">
        <v>0</v>
      </c>
      <c r="F78" s="1">
        <v>3972642.08</v>
      </c>
      <c r="G78" s="1">
        <v>3972642.08</v>
      </c>
      <c r="H78" s="1">
        <v>0</v>
      </c>
      <c r="I78" s="1">
        <v>0</v>
      </c>
      <c r="J78" s="1685">
        <v>0</v>
      </c>
      <c r="K78" s="1">
        <f t="shared" si="3"/>
        <v>0</v>
      </c>
      <c r="L78" s="1">
        <f t="shared" si="4"/>
        <v>0</v>
      </c>
      <c r="M78" s="1">
        <f t="shared" si="5"/>
        <v>0</v>
      </c>
    </row>
    <row r="79" spans="1:13">
      <c r="A79" s="3" t="s">
        <v>128</v>
      </c>
      <c r="B79" s="3" t="s">
        <v>129</v>
      </c>
      <c r="C79" s="1">
        <v>6649551.2000000002</v>
      </c>
      <c r="D79" s="1">
        <v>0</v>
      </c>
      <c r="E79" s="1">
        <v>6649551.2000000002</v>
      </c>
      <c r="F79" s="1">
        <v>8307871.3300000001</v>
      </c>
      <c r="G79" s="1">
        <v>8227271.0099999905</v>
      </c>
      <c r="H79" s="1">
        <v>6730151.5199999902</v>
      </c>
      <c r="I79" s="1">
        <v>0</v>
      </c>
      <c r="J79" s="1685">
        <v>6730151.5199999902</v>
      </c>
      <c r="K79" s="1">
        <f t="shared" si="3"/>
        <v>80600.319999990053</v>
      </c>
      <c r="L79" s="1">
        <f t="shared" si="4"/>
        <v>6649551.2000000002</v>
      </c>
      <c r="M79" s="1">
        <f t="shared" si="5"/>
        <v>0</v>
      </c>
    </row>
    <row r="80" spans="1:13">
      <c r="A80" s="3" t="s">
        <v>133</v>
      </c>
      <c r="B80" s="3" t="s">
        <v>134</v>
      </c>
      <c r="C80" s="1">
        <v>8153.46</v>
      </c>
      <c r="D80" s="1">
        <v>0</v>
      </c>
      <c r="E80" s="1">
        <v>8153.46</v>
      </c>
      <c r="F80" s="1">
        <v>944904.72999999905</v>
      </c>
      <c r="G80" s="1">
        <v>931459</v>
      </c>
      <c r="H80" s="1">
        <v>21599.1899999999</v>
      </c>
      <c r="I80" s="1">
        <v>0</v>
      </c>
      <c r="J80" s="1685">
        <v>21599.1899999999</v>
      </c>
      <c r="K80" s="1">
        <f t="shared" si="3"/>
        <v>13445.729999999901</v>
      </c>
      <c r="L80" s="1">
        <f t="shared" si="4"/>
        <v>8153.46</v>
      </c>
      <c r="M80" s="1">
        <f t="shared" si="5"/>
        <v>0</v>
      </c>
    </row>
    <row r="81" spans="1:13">
      <c r="A81" s="3" t="s">
        <v>2512</v>
      </c>
      <c r="B81" s="3" t="s">
        <v>134</v>
      </c>
      <c r="C81" s="1">
        <v>8530.5499999999902</v>
      </c>
      <c r="D81" s="1">
        <v>0</v>
      </c>
      <c r="E81" s="1">
        <v>8530.5499999999902</v>
      </c>
      <c r="F81" s="1">
        <v>82878.889999999898</v>
      </c>
      <c r="G81" s="1">
        <v>91409.44</v>
      </c>
      <c r="H81" s="1">
        <v>0</v>
      </c>
      <c r="I81" s="1">
        <v>0</v>
      </c>
      <c r="J81" s="1685">
        <v>0</v>
      </c>
      <c r="K81" s="1">
        <f t="shared" si="3"/>
        <v>-8530.5499999999902</v>
      </c>
      <c r="L81" s="1">
        <f t="shared" si="4"/>
        <v>8530.5499999999902</v>
      </c>
      <c r="M81" s="1">
        <f t="shared" si="5"/>
        <v>0</v>
      </c>
    </row>
    <row r="82" spans="1:13">
      <c r="A82" s="3" t="s">
        <v>135</v>
      </c>
      <c r="B82" s="3" t="s">
        <v>136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685">
        <v>0</v>
      </c>
      <c r="K82" s="1">
        <f t="shared" si="3"/>
        <v>0</v>
      </c>
      <c r="L82" s="1">
        <f t="shared" si="4"/>
        <v>0</v>
      </c>
      <c r="M82" s="1">
        <f t="shared" si="5"/>
        <v>0</v>
      </c>
    </row>
    <row r="83" spans="1:13">
      <c r="A83" s="3" t="s">
        <v>139</v>
      </c>
      <c r="B83" s="3" t="s">
        <v>140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685">
        <v>0</v>
      </c>
      <c r="K83" s="1">
        <f t="shared" si="3"/>
        <v>0</v>
      </c>
      <c r="L83" s="1">
        <f t="shared" si="4"/>
        <v>0</v>
      </c>
      <c r="M83" s="1">
        <f t="shared" si="5"/>
        <v>0</v>
      </c>
    </row>
    <row r="84" spans="1:13">
      <c r="A84" s="3" t="s">
        <v>1397</v>
      </c>
      <c r="B84" s="3" t="s">
        <v>3964</v>
      </c>
      <c r="C84" s="1">
        <v>0</v>
      </c>
      <c r="D84" s="1">
        <v>0</v>
      </c>
      <c r="E84" s="1">
        <v>0</v>
      </c>
      <c r="F84" s="1">
        <v>4000</v>
      </c>
      <c r="G84" s="1">
        <v>4000</v>
      </c>
      <c r="H84" s="1">
        <v>0</v>
      </c>
      <c r="I84" s="1">
        <v>0</v>
      </c>
      <c r="J84" s="1685">
        <v>0</v>
      </c>
      <c r="K84" s="1">
        <f t="shared" si="3"/>
        <v>0</v>
      </c>
      <c r="L84" s="1">
        <f t="shared" si="4"/>
        <v>0</v>
      </c>
      <c r="M84" s="1">
        <f t="shared" si="5"/>
        <v>0</v>
      </c>
    </row>
    <row r="85" spans="1:13">
      <c r="A85" s="3" t="s">
        <v>2339</v>
      </c>
      <c r="B85" s="3" t="s">
        <v>2340</v>
      </c>
      <c r="C85" s="1">
        <v>285631.66999999899</v>
      </c>
      <c r="D85" s="1">
        <v>0</v>
      </c>
      <c r="E85" s="1">
        <v>285631.66999999899</v>
      </c>
      <c r="F85" s="1">
        <v>0</v>
      </c>
      <c r="G85" s="1">
        <v>0</v>
      </c>
      <c r="H85" s="1">
        <v>285631.66999999899</v>
      </c>
      <c r="I85" s="1">
        <v>0</v>
      </c>
      <c r="J85" s="1685">
        <v>285631.66999999899</v>
      </c>
      <c r="K85" s="1">
        <f t="shared" si="3"/>
        <v>0</v>
      </c>
      <c r="L85" s="1">
        <f t="shared" si="4"/>
        <v>285631.66999999899</v>
      </c>
      <c r="M85" s="1">
        <f t="shared" si="5"/>
        <v>0</v>
      </c>
    </row>
    <row r="86" spans="1:13">
      <c r="A86" s="3" t="s">
        <v>141</v>
      </c>
      <c r="B86" s="3" t="s">
        <v>142</v>
      </c>
      <c r="C86" s="1">
        <v>37129401.590000004</v>
      </c>
      <c r="D86" s="1">
        <v>0</v>
      </c>
      <c r="E86" s="1">
        <v>37129401.590000004</v>
      </c>
      <c r="F86" s="1">
        <v>3366.69</v>
      </c>
      <c r="G86" s="1">
        <v>357652.02</v>
      </c>
      <c r="H86" s="1">
        <v>36775116.259999901</v>
      </c>
      <c r="I86" s="1">
        <v>0</v>
      </c>
      <c r="J86" s="1685">
        <v>36775116.259999901</v>
      </c>
      <c r="K86" s="1">
        <f t="shared" si="3"/>
        <v>-354285.33000010252</v>
      </c>
      <c r="L86" s="1">
        <f t="shared" si="4"/>
        <v>37129401.590000004</v>
      </c>
      <c r="M86" s="1">
        <f t="shared" si="5"/>
        <v>0</v>
      </c>
    </row>
    <row r="87" spans="1:13">
      <c r="A87" s="3" t="s">
        <v>143</v>
      </c>
      <c r="B87" s="3" t="s">
        <v>144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685">
        <v>0</v>
      </c>
      <c r="K87" s="1">
        <f t="shared" si="3"/>
        <v>0</v>
      </c>
      <c r="L87" s="1">
        <f t="shared" si="4"/>
        <v>0</v>
      </c>
      <c r="M87" s="1">
        <f t="shared" si="5"/>
        <v>0</v>
      </c>
    </row>
    <row r="88" spans="1:13">
      <c r="A88" s="3" t="s">
        <v>147</v>
      </c>
      <c r="B88" s="3" t="s">
        <v>148</v>
      </c>
      <c r="C88" s="1">
        <v>705.77999999999895</v>
      </c>
      <c r="D88" s="1">
        <v>0</v>
      </c>
      <c r="E88" s="1">
        <v>705.77999999999895</v>
      </c>
      <c r="F88" s="1">
        <v>705.77999999999895</v>
      </c>
      <c r="G88" s="1">
        <v>1411.5599999999899</v>
      </c>
      <c r="H88" s="130">
        <v>0</v>
      </c>
      <c r="I88" s="1">
        <v>0</v>
      </c>
      <c r="J88" s="1685">
        <v>0</v>
      </c>
      <c r="K88" s="1">
        <f t="shared" si="3"/>
        <v>-705.77999999999895</v>
      </c>
      <c r="L88" s="1">
        <f t="shared" si="4"/>
        <v>705.77999999999895</v>
      </c>
      <c r="M88" s="1">
        <f t="shared" si="5"/>
        <v>0</v>
      </c>
    </row>
    <row r="89" spans="1:13">
      <c r="A89" s="3" t="s">
        <v>3766</v>
      </c>
      <c r="B89" s="3" t="s">
        <v>3767</v>
      </c>
      <c r="C89" s="1">
        <v>0</v>
      </c>
      <c r="D89" s="1">
        <v>0</v>
      </c>
      <c r="E89" s="1">
        <v>0</v>
      </c>
      <c r="F89" s="1">
        <v>9984.7000000000007</v>
      </c>
      <c r="G89" s="1">
        <v>9984.7000000000007</v>
      </c>
      <c r="H89" s="1">
        <v>0</v>
      </c>
      <c r="I89" s="1">
        <v>0</v>
      </c>
      <c r="J89" s="1685">
        <v>0</v>
      </c>
      <c r="K89" s="1">
        <f t="shared" si="3"/>
        <v>0</v>
      </c>
      <c r="L89" s="1">
        <f t="shared" si="4"/>
        <v>0</v>
      </c>
      <c r="M89" s="1">
        <f t="shared" si="5"/>
        <v>0</v>
      </c>
    </row>
    <row r="90" spans="1:13">
      <c r="A90" s="3" t="s">
        <v>150</v>
      </c>
      <c r="B90" s="3" t="s">
        <v>151</v>
      </c>
      <c r="C90" s="1">
        <v>-4050026.29</v>
      </c>
      <c r="D90" s="1">
        <v>0</v>
      </c>
      <c r="E90" s="1">
        <v>-4050026.29</v>
      </c>
      <c r="F90" s="1">
        <v>2854.0799999999899</v>
      </c>
      <c r="G90" s="1">
        <v>4906.6599999999899</v>
      </c>
      <c r="H90" s="1">
        <v>0</v>
      </c>
      <c r="I90" s="1">
        <v>-4052078.87</v>
      </c>
      <c r="J90" s="1685">
        <v>-4052078.87</v>
      </c>
      <c r="K90" s="1">
        <f t="shared" si="3"/>
        <v>-2052.5800000000745</v>
      </c>
      <c r="L90" s="1">
        <f t="shared" si="4"/>
        <v>0</v>
      </c>
      <c r="M90" s="1">
        <f t="shared" si="5"/>
        <v>-4050026.29</v>
      </c>
    </row>
    <row r="91" spans="1:13">
      <c r="A91" s="3" t="s">
        <v>152</v>
      </c>
      <c r="B91" s="3" t="s">
        <v>153</v>
      </c>
      <c r="C91" s="1">
        <v>-285631.66999999899</v>
      </c>
      <c r="D91" s="1">
        <v>0</v>
      </c>
      <c r="E91" s="1">
        <v>-285631.66999999899</v>
      </c>
      <c r="F91" s="1">
        <v>0</v>
      </c>
      <c r="G91" s="1">
        <v>0</v>
      </c>
      <c r="H91" s="1">
        <v>0</v>
      </c>
      <c r="I91" s="1">
        <v>-285631.66999999899</v>
      </c>
      <c r="J91" s="1685">
        <v>-285631.66999999899</v>
      </c>
      <c r="K91" s="1">
        <f t="shared" si="3"/>
        <v>0</v>
      </c>
      <c r="L91" s="1">
        <f t="shared" si="4"/>
        <v>0</v>
      </c>
      <c r="M91" s="1">
        <f t="shared" si="5"/>
        <v>-285631.66999999899</v>
      </c>
    </row>
    <row r="92" spans="1:13">
      <c r="A92" s="3" t="s">
        <v>154</v>
      </c>
      <c r="B92" s="3" t="s">
        <v>155</v>
      </c>
      <c r="C92" s="1">
        <v>-37129401.590000004</v>
      </c>
      <c r="D92" s="1">
        <v>0</v>
      </c>
      <c r="E92" s="1">
        <v>-37129401.590000004</v>
      </c>
      <c r="F92" s="1">
        <v>357652.02</v>
      </c>
      <c r="G92" s="1">
        <v>3366.69</v>
      </c>
      <c r="H92" s="1">
        <v>0</v>
      </c>
      <c r="I92" s="1">
        <v>-36775116.259999901</v>
      </c>
      <c r="J92" s="1685">
        <v>-36775116.259999901</v>
      </c>
      <c r="K92" s="1">
        <f t="shared" si="3"/>
        <v>354285.33000010252</v>
      </c>
      <c r="L92" s="1">
        <f t="shared" si="4"/>
        <v>0</v>
      </c>
      <c r="M92" s="1">
        <f t="shared" si="5"/>
        <v>-37129401.590000004</v>
      </c>
    </row>
    <row r="93" spans="1:13">
      <c r="A93" s="3" t="s">
        <v>157</v>
      </c>
      <c r="B93" s="3" t="s">
        <v>158</v>
      </c>
      <c r="C93" s="1">
        <v>-2383432.4399999902</v>
      </c>
      <c r="D93" s="1">
        <v>0</v>
      </c>
      <c r="E93" s="1">
        <v>-2383432.4399999902</v>
      </c>
      <c r="F93" s="1">
        <v>14145916.57</v>
      </c>
      <c r="G93" s="1">
        <v>13881323.73</v>
      </c>
      <c r="H93" s="1">
        <v>0</v>
      </c>
      <c r="I93" s="1">
        <v>-2118839.6</v>
      </c>
      <c r="J93" s="1685">
        <v>-2118839.6</v>
      </c>
      <c r="K93" s="1">
        <f t="shared" si="3"/>
        <v>264592.83999999007</v>
      </c>
      <c r="L93" s="1">
        <f t="shared" si="4"/>
        <v>0</v>
      </c>
      <c r="M93" s="1">
        <f t="shared" si="5"/>
        <v>-2383432.4399999902</v>
      </c>
    </row>
    <row r="94" spans="1:13">
      <c r="A94" s="3" t="s">
        <v>159</v>
      </c>
      <c r="B94" s="3" t="s">
        <v>160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685">
        <v>0</v>
      </c>
      <c r="K94" s="5">
        <f t="shared" si="3"/>
        <v>0</v>
      </c>
      <c r="L94" s="1">
        <f t="shared" si="4"/>
        <v>0</v>
      </c>
      <c r="M94" s="1">
        <f t="shared" si="5"/>
        <v>0</v>
      </c>
    </row>
    <row r="95" spans="1:13">
      <c r="A95" s="3" t="s">
        <v>3538</v>
      </c>
      <c r="B95" s="3" t="s">
        <v>3539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685">
        <v>0</v>
      </c>
      <c r="K95" s="1">
        <f t="shared" si="3"/>
        <v>0</v>
      </c>
      <c r="L95" s="1">
        <f t="shared" si="4"/>
        <v>0</v>
      </c>
      <c r="M95" s="1">
        <f t="shared" si="5"/>
        <v>0</v>
      </c>
    </row>
    <row r="96" spans="1:13">
      <c r="A96" s="3" t="s">
        <v>161</v>
      </c>
      <c r="B96" s="3" t="s">
        <v>162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685">
        <v>0</v>
      </c>
      <c r="K96" s="1">
        <f t="shared" si="3"/>
        <v>0</v>
      </c>
      <c r="L96" s="1">
        <f t="shared" si="4"/>
        <v>0</v>
      </c>
      <c r="M96" s="1">
        <f t="shared" si="5"/>
        <v>0</v>
      </c>
    </row>
    <row r="97" spans="1:13">
      <c r="A97" s="3" t="s">
        <v>163</v>
      </c>
      <c r="B97" s="3" t="s">
        <v>164</v>
      </c>
      <c r="C97" s="1">
        <v>0</v>
      </c>
      <c r="D97" s="1">
        <v>0</v>
      </c>
      <c r="E97" s="1">
        <v>0</v>
      </c>
      <c r="F97" s="1">
        <v>9025.7000000000007</v>
      </c>
      <c r="G97" s="1">
        <v>9025.7000000000007</v>
      </c>
      <c r="H97" s="1">
        <v>0</v>
      </c>
      <c r="I97" s="1">
        <v>0</v>
      </c>
      <c r="J97" s="1685">
        <v>0</v>
      </c>
      <c r="K97" s="1">
        <f t="shared" si="3"/>
        <v>0</v>
      </c>
      <c r="L97" s="1">
        <f t="shared" si="4"/>
        <v>0</v>
      </c>
      <c r="M97" s="1">
        <f t="shared" si="5"/>
        <v>0</v>
      </c>
    </row>
    <row r="98" spans="1:13">
      <c r="A98" s="3" t="s">
        <v>165</v>
      </c>
      <c r="B98" s="3" t="s">
        <v>166</v>
      </c>
      <c r="C98" s="1">
        <v>-5443.0799999999899</v>
      </c>
      <c r="D98" s="1">
        <v>0</v>
      </c>
      <c r="E98" s="1">
        <v>-5443.0799999999899</v>
      </c>
      <c r="F98" s="1">
        <v>8075.34</v>
      </c>
      <c r="G98" s="1">
        <v>4037.67</v>
      </c>
      <c r="H98" s="1">
        <v>0</v>
      </c>
      <c r="I98" s="1">
        <v>-1405.41</v>
      </c>
      <c r="J98" s="1685">
        <v>-1405.41</v>
      </c>
      <c r="K98" s="1">
        <f t="shared" si="3"/>
        <v>4037.6699999999901</v>
      </c>
      <c r="L98" s="1">
        <f t="shared" si="4"/>
        <v>0</v>
      </c>
      <c r="M98" s="1">
        <f t="shared" si="5"/>
        <v>-5443.0799999999899</v>
      </c>
    </row>
    <row r="99" spans="1:13">
      <c r="A99" s="3" t="s">
        <v>169</v>
      </c>
      <c r="B99" s="3" t="s">
        <v>170</v>
      </c>
      <c r="C99" s="1">
        <v>3363244.02</v>
      </c>
      <c r="D99" s="1">
        <v>0</v>
      </c>
      <c r="E99" s="1">
        <v>3363244.02</v>
      </c>
      <c r="F99" s="1">
        <v>181338616.59999901</v>
      </c>
      <c r="G99" s="1">
        <v>182200477.36000001</v>
      </c>
      <c r="H99" s="1">
        <v>2501383.25999999</v>
      </c>
      <c r="I99" s="1">
        <v>0</v>
      </c>
      <c r="J99" s="1685">
        <v>2501383.25999999</v>
      </c>
      <c r="K99" s="1">
        <f t="shared" si="3"/>
        <v>-861860.76000001002</v>
      </c>
      <c r="L99" s="1">
        <f t="shared" si="4"/>
        <v>3363244.02</v>
      </c>
      <c r="M99" s="1">
        <f t="shared" si="5"/>
        <v>0</v>
      </c>
    </row>
    <row r="100" spans="1:13">
      <c r="A100" s="3" t="s">
        <v>171</v>
      </c>
      <c r="B100" s="3" t="s">
        <v>3699</v>
      </c>
      <c r="C100" s="1">
        <v>3363244.02</v>
      </c>
      <c r="D100" s="1">
        <v>0</v>
      </c>
      <c r="E100" s="1">
        <v>3363244.02</v>
      </c>
      <c r="F100" s="1">
        <v>21915919.84</v>
      </c>
      <c r="G100" s="1">
        <v>22777780.600000001</v>
      </c>
      <c r="H100" s="1">
        <v>2501383.25999999</v>
      </c>
      <c r="I100" s="1">
        <v>0</v>
      </c>
      <c r="J100" s="1685">
        <v>2501383.25999999</v>
      </c>
      <c r="K100" s="1">
        <f t="shared" si="3"/>
        <v>-861860.76000001002</v>
      </c>
      <c r="L100" s="1">
        <f t="shared" si="4"/>
        <v>3363244.02</v>
      </c>
      <c r="M100" s="1">
        <f t="shared" si="5"/>
        <v>0</v>
      </c>
    </row>
    <row r="101" spans="1:13">
      <c r="A101" s="3" t="s">
        <v>172</v>
      </c>
      <c r="B101" s="3" t="s">
        <v>170</v>
      </c>
      <c r="C101" s="1">
        <v>-3363244.02</v>
      </c>
      <c r="D101" s="1">
        <v>0</v>
      </c>
      <c r="E101" s="1">
        <v>-3363244.02</v>
      </c>
      <c r="F101" s="1">
        <v>22777780.600000001</v>
      </c>
      <c r="G101" s="1">
        <v>21915919.84</v>
      </c>
      <c r="H101" s="1">
        <v>0</v>
      </c>
      <c r="I101" s="1">
        <v>-2501383.25999999</v>
      </c>
      <c r="J101" s="1685">
        <v>-2501383.25999999</v>
      </c>
      <c r="K101" s="1">
        <f t="shared" si="3"/>
        <v>861860.76000001002</v>
      </c>
      <c r="L101" s="1">
        <f t="shared" si="4"/>
        <v>0</v>
      </c>
      <c r="M101" s="1">
        <f t="shared" si="5"/>
        <v>-3363244.02</v>
      </c>
    </row>
    <row r="102" spans="1:13">
      <c r="A102" s="3" t="s">
        <v>173</v>
      </c>
      <c r="B102" s="3" t="s">
        <v>174</v>
      </c>
      <c r="C102" s="1">
        <v>-137179.54</v>
      </c>
      <c r="D102" s="1">
        <v>0</v>
      </c>
      <c r="E102" s="1">
        <v>-137179.54</v>
      </c>
      <c r="F102" s="1">
        <v>1932658.74</v>
      </c>
      <c r="G102" s="1">
        <v>1932789.1699999899</v>
      </c>
      <c r="H102" s="1">
        <v>0</v>
      </c>
      <c r="I102" s="1">
        <v>-137309.97</v>
      </c>
      <c r="J102" s="1685">
        <v>-137309.97</v>
      </c>
      <c r="K102" s="1">
        <f t="shared" si="3"/>
        <v>-130.42999999999302</v>
      </c>
      <c r="L102" s="1">
        <f t="shared" si="4"/>
        <v>0</v>
      </c>
      <c r="M102" s="1">
        <f t="shared" si="5"/>
        <v>-137179.54</v>
      </c>
    </row>
    <row r="103" spans="1:13">
      <c r="A103" s="3" t="s">
        <v>175</v>
      </c>
      <c r="B103" s="3" t="s">
        <v>176</v>
      </c>
      <c r="C103" s="1">
        <v>-300087.26</v>
      </c>
      <c r="D103" s="1">
        <v>0</v>
      </c>
      <c r="E103" s="1">
        <v>-300087.26</v>
      </c>
      <c r="F103" s="1">
        <v>7024797.9699999904</v>
      </c>
      <c r="G103" s="1">
        <v>7037831.4900000002</v>
      </c>
      <c r="H103" s="1">
        <v>0</v>
      </c>
      <c r="I103" s="1">
        <v>-313120.78000000003</v>
      </c>
      <c r="J103" s="1685">
        <v>-313120.78000000003</v>
      </c>
      <c r="K103" s="1">
        <f t="shared" si="3"/>
        <v>-13033.520000000019</v>
      </c>
      <c r="L103" s="1">
        <f t="shared" si="4"/>
        <v>0</v>
      </c>
      <c r="M103" s="1">
        <f t="shared" si="5"/>
        <v>-300087.26</v>
      </c>
    </row>
    <row r="104" spans="1:13">
      <c r="A104" s="3" t="s">
        <v>177</v>
      </c>
      <c r="B104" s="3" t="s">
        <v>178</v>
      </c>
      <c r="C104" s="1">
        <v>-6874975.8799999896</v>
      </c>
      <c r="D104" s="1">
        <v>0</v>
      </c>
      <c r="E104" s="1">
        <v>-6874975.8799999896</v>
      </c>
      <c r="F104" s="1">
        <v>883904.83999999904</v>
      </c>
      <c r="G104" s="1">
        <v>666679.12</v>
      </c>
      <c r="H104" s="1">
        <v>0</v>
      </c>
      <c r="I104" s="1">
        <v>-6657750.1600000001</v>
      </c>
      <c r="J104" s="1685">
        <v>-6657750.1600000001</v>
      </c>
      <c r="K104" s="1">
        <f t="shared" si="3"/>
        <v>217225.71999998949</v>
      </c>
      <c r="L104" s="1">
        <f t="shared" si="4"/>
        <v>0</v>
      </c>
      <c r="M104" s="1">
        <f t="shared" si="5"/>
        <v>-6874975.8799999896</v>
      </c>
    </row>
    <row r="105" spans="1:13">
      <c r="A105" s="3" t="s">
        <v>179</v>
      </c>
      <c r="B105" s="3" t="s">
        <v>180</v>
      </c>
      <c r="C105" s="1">
        <v>300087.26</v>
      </c>
      <c r="D105" s="1">
        <v>0</v>
      </c>
      <c r="E105" s="1">
        <v>300087.26</v>
      </c>
      <c r="F105" s="1">
        <v>7037831.4900000002</v>
      </c>
      <c r="G105" s="1">
        <v>7024797.9699999904</v>
      </c>
      <c r="H105" s="1">
        <v>313120.78000000003</v>
      </c>
      <c r="I105" s="1">
        <v>0</v>
      </c>
      <c r="J105" s="1685">
        <v>313120.78000000003</v>
      </c>
      <c r="K105" s="1">
        <f t="shared" si="3"/>
        <v>13033.520000000019</v>
      </c>
      <c r="L105" s="1">
        <f t="shared" si="4"/>
        <v>300087.26</v>
      </c>
      <c r="M105" s="1">
        <f t="shared" si="5"/>
        <v>0</v>
      </c>
    </row>
    <row r="106" spans="1:13">
      <c r="A106" s="3" t="s">
        <v>181</v>
      </c>
      <c r="B106" s="3" t="s">
        <v>182</v>
      </c>
      <c r="C106" s="1">
        <v>0</v>
      </c>
      <c r="D106" s="1">
        <v>0</v>
      </c>
      <c r="E106" s="1">
        <v>0</v>
      </c>
      <c r="F106" s="1">
        <v>1391813.76</v>
      </c>
      <c r="G106" s="1">
        <v>1391813.76</v>
      </c>
      <c r="H106" s="1">
        <v>0</v>
      </c>
      <c r="I106" s="1">
        <v>0</v>
      </c>
      <c r="J106" s="1685">
        <v>0</v>
      </c>
      <c r="K106" s="1">
        <f t="shared" si="3"/>
        <v>0</v>
      </c>
      <c r="L106" s="1">
        <f t="shared" si="4"/>
        <v>0</v>
      </c>
      <c r="M106" s="1">
        <f t="shared" si="5"/>
        <v>0</v>
      </c>
    </row>
    <row r="107" spans="1:13">
      <c r="A107" s="3" t="s">
        <v>183</v>
      </c>
      <c r="B107" s="3" t="s">
        <v>184</v>
      </c>
      <c r="C107" s="1">
        <v>0</v>
      </c>
      <c r="D107" s="1">
        <v>0</v>
      </c>
      <c r="E107" s="1">
        <v>0</v>
      </c>
      <c r="F107" s="1">
        <v>285315.75</v>
      </c>
      <c r="G107" s="1">
        <v>270867.5</v>
      </c>
      <c r="H107" s="1">
        <v>14448.25</v>
      </c>
      <c r="I107" s="1">
        <v>0</v>
      </c>
      <c r="J107" s="1685">
        <v>14448.25</v>
      </c>
      <c r="K107" s="1">
        <f t="shared" si="3"/>
        <v>14448.25</v>
      </c>
      <c r="L107" s="1">
        <f t="shared" si="4"/>
        <v>0</v>
      </c>
      <c r="M107" s="1">
        <f t="shared" si="5"/>
        <v>0</v>
      </c>
    </row>
    <row r="108" spans="1:13">
      <c r="A108" s="3" t="s">
        <v>185</v>
      </c>
      <c r="B108" s="3" t="s">
        <v>3899</v>
      </c>
      <c r="C108" s="1">
        <v>0</v>
      </c>
      <c r="D108" s="1">
        <v>0</v>
      </c>
      <c r="E108" s="1">
        <v>0</v>
      </c>
      <c r="F108" s="1">
        <v>373069.5</v>
      </c>
      <c r="G108" s="1">
        <v>358621.25</v>
      </c>
      <c r="H108" s="1">
        <v>14448.25</v>
      </c>
      <c r="I108" s="1">
        <v>0</v>
      </c>
      <c r="J108" s="1685">
        <v>14448.25</v>
      </c>
      <c r="K108" s="1">
        <f t="shared" si="3"/>
        <v>14448.25</v>
      </c>
      <c r="L108" s="1">
        <f t="shared" si="4"/>
        <v>0</v>
      </c>
      <c r="M108" s="1">
        <f t="shared" si="5"/>
        <v>0</v>
      </c>
    </row>
    <row r="109" spans="1:13">
      <c r="A109" s="3" t="s">
        <v>186</v>
      </c>
      <c r="B109" s="3" t="s">
        <v>184</v>
      </c>
      <c r="C109" s="1">
        <v>0</v>
      </c>
      <c r="D109" s="1">
        <v>0</v>
      </c>
      <c r="E109" s="1">
        <v>0</v>
      </c>
      <c r="F109" s="1">
        <v>671444.5</v>
      </c>
      <c r="G109" s="1">
        <v>685892.75</v>
      </c>
      <c r="H109" s="1">
        <v>0</v>
      </c>
      <c r="I109" s="1">
        <v>-14448.25</v>
      </c>
      <c r="J109" s="1685">
        <v>-14448.25</v>
      </c>
      <c r="K109" s="1">
        <f t="shared" si="3"/>
        <v>-14448.25</v>
      </c>
      <c r="L109" s="1">
        <f t="shared" si="4"/>
        <v>0</v>
      </c>
      <c r="M109" s="1">
        <f t="shared" si="5"/>
        <v>0</v>
      </c>
    </row>
    <row r="110" spans="1:13">
      <c r="A110" s="3" t="s">
        <v>187</v>
      </c>
      <c r="B110" s="3" t="s">
        <v>188</v>
      </c>
      <c r="C110" s="1">
        <v>-262171</v>
      </c>
      <c r="D110" s="1">
        <v>0</v>
      </c>
      <c r="E110" s="1">
        <v>-262171</v>
      </c>
      <c r="F110" s="1">
        <v>4805882</v>
      </c>
      <c r="G110" s="1">
        <v>4790237</v>
      </c>
      <c r="H110" s="1">
        <v>0</v>
      </c>
      <c r="I110" s="1">
        <v>-246526</v>
      </c>
      <c r="J110" s="1685">
        <v>-246526</v>
      </c>
      <c r="K110" s="1">
        <f t="shared" si="3"/>
        <v>15645</v>
      </c>
      <c r="L110" s="1">
        <f t="shared" si="4"/>
        <v>0</v>
      </c>
      <c r="M110" s="1">
        <f t="shared" si="5"/>
        <v>-262171</v>
      </c>
    </row>
    <row r="111" spans="1:13">
      <c r="A111" s="3" t="s">
        <v>2505</v>
      </c>
      <c r="B111" s="3" t="s">
        <v>188</v>
      </c>
      <c r="C111" s="1">
        <v>0</v>
      </c>
      <c r="D111" s="1">
        <v>0</v>
      </c>
      <c r="E111" s="1">
        <v>0</v>
      </c>
      <c r="F111" s="1">
        <v>286</v>
      </c>
      <c r="G111" s="1">
        <v>286</v>
      </c>
      <c r="H111" s="1">
        <v>0</v>
      </c>
      <c r="I111" s="1">
        <v>0</v>
      </c>
      <c r="J111" s="1685">
        <v>0</v>
      </c>
      <c r="K111" s="1">
        <f t="shared" si="3"/>
        <v>0</v>
      </c>
      <c r="L111" s="1">
        <f t="shared" si="4"/>
        <v>0</v>
      </c>
      <c r="M111" s="1">
        <f t="shared" si="5"/>
        <v>0</v>
      </c>
    </row>
    <row r="112" spans="1:13">
      <c r="A112" s="3" t="s">
        <v>190</v>
      </c>
      <c r="B112" s="3" t="s">
        <v>191</v>
      </c>
      <c r="C112" s="1">
        <v>-18004991.489999902</v>
      </c>
      <c r="D112" s="1">
        <v>0</v>
      </c>
      <c r="E112" s="1">
        <v>-18004991.489999902</v>
      </c>
      <c r="F112" s="1">
        <v>47752420.520000003</v>
      </c>
      <c r="G112" s="1">
        <v>51880495.4099999</v>
      </c>
      <c r="H112" s="1">
        <v>0</v>
      </c>
      <c r="I112" s="1">
        <v>-22133066.379999898</v>
      </c>
      <c r="J112" s="1685">
        <v>-22133066.379999898</v>
      </c>
      <c r="K112" s="1">
        <f t="shared" si="3"/>
        <v>-4128074.8899999969</v>
      </c>
      <c r="L112" s="1">
        <f t="shared" si="4"/>
        <v>0</v>
      </c>
      <c r="M112" s="1">
        <f t="shared" si="5"/>
        <v>-18004991.489999902</v>
      </c>
    </row>
    <row r="113" spans="1:13">
      <c r="A113" s="3" t="s">
        <v>192</v>
      </c>
      <c r="B113" s="3" t="s">
        <v>193</v>
      </c>
      <c r="C113" s="1">
        <v>135717.429999999</v>
      </c>
      <c r="D113" s="1">
        <v>0</v>
      </c>
      <c r="E113" s="1">
        <v>135717.429999999</v>
      </c>
      <c r="F113" s="1">
        <v>658627.07999999903</v>
      </c>
      <c r="G113" s="1">
        <v>722907.95999999903</v>
      </c>
      <c r="H113" s="1">
        <v>71436.55</v>
      </c>
      <c r="I113" s="1">
        <v>0</v>
      </c>
      <c r="J113" s="1685">
        <v>71436.55</v>
      </c>
      <c r="K113" s="1">
        <f t="shared" si="3"/>
        <v>-64280.879999999001</v>
      </c>
      <c r="L113" s="1">
        <f t="shared" si="4"/>
        <v>135717.429999999</v>
      </c>
      <c r="M113" s="1">
        <f t="shared" si="5"/>
        <v>0</v>
      </c>
    </row>
    <row r="114" spans="1:13">
      <c r="A114" s="3" t="s">
        <v>194</v>
      </c>
      <c r="B114" s="3" t="s">
        <v>191</v>
      </c>
      <c r="C114" s="1">
        <v>-135717.429999999</v>
      </c>
      <c r="D114" s="1">
        <v>0</v>
      </c>
      <c r="E114" s="1">
        <v>-135717.429999999</v>
      </c>
      <c r="F114" s="1">
        <v>722907.95999999903</v>
      </c>
      <c r="G114" s="1">
        <v>658627.07999999903</v>
      </c>
      <c r="H114" s="1">
        <v>0</v>
      </c>
      <c r="I114" s="1">
        <v>-71436.55</v>
      </c>
      <c r="J114" s="1685">
        <v>-71436.55</v>
      </c>
      <c r="K114" s="1">
        <f t="shared" si="3"/>
        <v>64280.879999999001</v>
      </c>
      <c r="L114" s="1">
        <f t="shared" si="4"/>
        <v>0</v>
      </c>
      <c r="M114" s="1">
        <f t="shared" si="5"/>
        <v>-135717.429999999</v>
      </c>
    </row>
    <row r="115" spans="1:13">
      <c r="A115" s="3" t="s">
        <v>3367</v>
      </c>
      <c r="B115" s="3" t="s">
        <v>191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685">
        <v>0</v>
      </c>
      <c r="K115" s="1">
        <f t="shared" si="3"/>
        <v>0</v>
      </c>
      <c r="L115" s="1">
        <f t="shared" si="4"/>
        <v>0</v>
      </c>
      <c r="M115" s="1">
        <f t="shared" si="5"/>
        <v>0</v>
      </c>
    </row>
    <row r="116" spans="1:13">
      <c r="A116" s="3" t="s">
        <v>195</v>
      </c>
      <c r="B116" s="3" t="s">
        <v>196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685">
        <v>0</v>
      </c>
      <c r="K116" s="1">
        <f t="shared" si="3"/>
        <v>0</v>
      </c>
      <c r="L116" s="1">
        <f t="shared" si="4"/>
        <v>0</v>
      </c>
      <c r="M116" s="1">
        <f t="shared" si="5"/>
        <v>0</v>
      </c>
    </row>
    <row r="117" spans="1:13">
      <c r="A117" s="3" t="s">
        <v>2490</v>
      </c>
      <c r="B117" s="3" t="s">
        <v>3925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685">
        <v>0</v>
      </c>
      <c r="K117" s="1">
        <f t="shared" si="3"/>
        <v>0</v>
      </c>
      <c r="L117" s="1">
        <f t="shared" si="4"/>
        <v>0</v>
      </c>
      <c r="M117" s="1">
        <f t="shared" si="5"/>
        <v>0</v>
      </c>
    </row>
    <row r="118" spans="1:13">
      <c r="A118" s="3" t="s">
        <v>197</v>
      </c>
      <c r="B118" s="3" t="s">
        <v>198</v>
      </c>
      <c r="C118" s="1">
        <v>-152597.59</v>
      </c>
      <c r="D118" s="1">
        <v>0</v>
      </c>
      <c r="E118" s="1">
        <v>-152597.59</v>
      </c>
      <c r="F118" s="1">
        <v>939751.33999999904</v>
      </c>
      <c r="G118" s="1">
        <v>1065209.3500000001</v>
      </c>
      <c r="H118" s="1">
        <v>0</v>
      </c>
      <c r="I118" s="1">
        <v>-278055.59999999899</v>
      </c>
      <c r="J118" s="1685">
        <v>-278055.59999999899</v>
      </c>
      <c r="K118" s="1">
        <f t="shared" si="3"/>
        <v>-125458.00999999899</v>
      </c>
      <c r="L118" s="1">
        <f t="shared" si="4"/>
        <v>0</v>
      </c>
      <c r="M118" s="1">
        <f t="shared" si="5"/>
        <v>-152597.59</v>
      </c>
    </row>
    <row r="119" spans="1:13">
      <c r="A119" s="3" t="s">
        <v>199</v>
      </c>
      <c r="B119" s="3" t="s">
        <v>200</v>
      </c>
      <c r="C119" s="1">
        <v>0</v>
      </c>
      <c r="D119" s="1">
        <v>0</v>
      </c>
      <c r="E119" s="1">
        <v>0</v>
      </c>
      <c r="F119" s="1">
        <v>7749.75</v>
      </c>
      <c r="G119" s="1">
        <v>7749.75</v>
      </c>
      <c r="H119" s="1">
        <v>0</v>
      </c>
      <c r="I119" s="1">
        <v>0</v>
      </c>
      <c r="J119" s="1685">
        <v>0</v>
      </c>
      <c r="K119" s="1">
        <f t="shared" si="3"/>
        <v>0</v>
      </c>
      <c r="L119" s="1">
        <f t="shared" si="4"/>
        <v>0</v>
      </c>
      <c r="M119" s="1">
        <f t="shared" si="5"/>
        <v>0</v>
      </c>
    </row>
    <row r="120" spans="1:13">
      <c r="A120" s="3" t="s">
        <v>201</v>
      </c>
      <c r="B120" s="3" t="s">
        <v>202</v>
      </c>
      <c r="C120" s="1">
        <v>-1863052.1699999899</v>
      </c>
      <c r="D120" s="1">
        <v>0</v>
      </c>
      <c r="E120" s="1">
        <v>-1863052.1699999899</v>
      </c>
      <c r="F120" s="1">
        <v>891500.72999999905</v>
      </c>
      <c r="G120" s="1">
        <v>629029.51</v>
      </c>
      <c r="H120" s="1">
        <v>0</v>
      </c>
      <c r="I120" s="1">
        <v>-1600580.95</v>
      </c>
      <c r="J120" s="1685">
        <v>-1600580.95</v>
      </c>
      <c r="K120" s="1">
        <f t="shared" si="3"/>
        <v>262471.21999998996</v>
      </c>
      <c r="L120" s="1">
        <f t="shared" si="4"/>
        <v>0</v>
      </c>
      <c r="M120" s="1">
        <f t="shared" si="5"/>
        <v>-1863052.1699999899</v>
      </c>
    </row>
    <row r="121" spans="1:13">
      <c r="A121" s="3" t="s">
        <v>2342</v>
      </c>
      <c r="B121" s="3" t="s">
        <v>202</v>
      </c>
      <c r="C121" s="1">
        <v>-825737.12</v>
      </c>
      <c r="D121" s="1">
        <v>0</v>
      </c>
      <c r="E121" s="1">
        <v>-825737.12</v>
      </c>
      <c r="F121" s="1">
        <v>6422292.4699999904</v>
      </c>
      <c r="G121" s="1">
        <v>6127196.9100000001</v>
      </c>
      <c r="H121" s="1">
        <v>0</v>
      </c>
      <c r="I121" s="1">
        <v>-530641.56000000006</v>
      </c>
      <c r="J121" s="1685">
        <v>-530641.56000000006</v>
      </c>
      <c r="K121" s="1">
        <f t="shared" si="3"/>
        <v>295095.55999999994</v>
      </c>
      <c r="L121" s="1">
        <f t="shared" si="4"/>
        <v>0</v>
      </c>
      <c r="M121" s="1">
        <f t="shared" si="5"/>
        <v>-825737.12</v>
      </c>
    </row>
    <row r="122" spans="1:13">
      <c r="A122" s="3" t="s">
        <v>2343</v>
      </c>
      <c r="B122" s="3" t="s">
        <v>202</v>
      </c>
      <c r="C122" s="1">
        <v>825737.12</v>
      </c>
      <c r="D122" s="1">
        <v>0</v>
      </c>
      <c r="E122" s="1">
        <v>825737.12</v>
      </c>
      <c r="F122" s="1">
        <v>6127196.9100000001</v>
      </c>
      <c r="G122" s="1">
        <v>6422292.4699999904</v>
      </c>
      <c r="H122" s="1">
        <v>530641.56000000006</v>
      </c>
      <c r="I122" s="1">
        <v>0</v>
      </c>
      <c r="J122" s="1685">
        <v>530641.56000000006</v>
      </c>
      <c r="K122" s="1">
        <f t="shared" si="3"/>
        <v>-295095.55999999994</v>
      </c>
      <c r="L122" s="1">
        <f t="shared" si="4"/>
        <v>825737.12</v>
      </c>
      <c r="M122" s="1">
        <f t="shared" si="5"/>
        <v>0</v>
      </c>
    </row>
    <row r="123" spans="1:13">
      <c r="A123" s="3" t="s">
        <v>203</v>
      </c>
      <c r="B123" s="3" t="s">
        <v>204</v>
      </c>
      <c r="C123" s="1">
        <v>-69500</v>
      </c>
      <c r="D123" s="1">
        <v>0</v>
      </c>
      <c r="E123" s="1">
        <v>-69500</v>
      </c>
      <c r="F123" s="1">
        <v>182382.399999999</v>
      </c>
      <c r="G123" s="1">
        <v>118882.399999999</v>
      </c>
      <c r="H123" s="1">
        <v>0</v>
      </c>
      <c r="I123" s="1">
        <v>-6000</v>
      </c>
      <c r="J123" s="1685">
        <v>-6000</v>
      </c>
      <c r="K123" s="1">
        <f t="shared" si="3"/>
        <v>63500</v>
      </c>
      <c r="L123" s="1">
        <f t="shared" si="4"/>
        <v>0</v>
      </c>
      <c r="M123" s="1">
        <f t="shared" si="5"/>
        <v>-69500</v>
      </c>
    </row>
    <row r="124" spans="1:13">
      <c r="A124" s="3" t="s">
        <v>205</v>
      </c>
      <c r="B124" s="3" t="s">
        <v>206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685">
        <v>0</v>
      </c>
      <c r="K124" s="1">
        <f t="shared" si="3"/>
        <v>0</v>
      </c>
      <c r="L124" s="1">
        <f t="shared" si="4"/>
        <v>0</v>
      </c>
      <c r="M124" s="1">
        <f t="shared" si="5"/>
        <v>0</v>
      </c>
    </row>
    <row r="125" spans="1:13">
      <c r="A125" s="3" t="s">
        <v>207</v>
      </c>
      <c r="B125" s="3" t="s">
        <v>206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685">
        <v>0</v>
      </c>
      <c r="K125" s="1">
        <f t="shared" si="3"/>
        <v>0</v>
      </c>
      <c r="L125" s="1">
        <f t="shared" si="4"/>
        <v>0</v>
      </c>
      <c r="M125" s="1">
        <f t="shared" si="5"/>
        <v>0</v>
      </c>
    </row>
    <row r="126" spans="1:13">
      <c r="A126" s="3" t="s">
        <v>210</v>
      </c>
      <c r="B126" s="3" t="s">
        <v>174</v>
      </c>
      <c r="C126" s="1">
        <v>0</v>
      </c>
      <c r="D126" s="1">
        <v>0</v>
      </c>
      <c r="E126" s="1">
        <v>0</v>
      </c>
      <c r="F126" s="1">
        <v>30855.22</v>
      </c>
      <c r="G126" s="1">
        <v>30855.22</v>
      </c>
      <c r="H126" s="1">
        <v>0</v>
      </c>
      <c r="I126" s="1">
        <v>0</v>
      </c>
      <c r="J126" s="1685">
        <v>0</v>
      </c>
      <c r="K126" s="1">
        <f t="shared" si="3"/>
        <v>0</v>
      </c>
      <c r="L126" s="1">
        <f t="shared" si="4"/>
        <v>0</v>
      </c>
      <c r="M126" s="1">
        <f t="shared" si="5"/>
        <v>0</v>
      </c>
    </row>
    <row r="127" spans="1:13">
      <c r="A127" s="3" t="s">
        <v>211</v>
      </c>
      <c r="B127" s="3" t="s">
        <v>212</v>
      </c>
      <c r="C127" s="1">
        <v>-13245.53</v>
      </c>
      <c r="D127" s="1">
        <v>0</v>
      </c>
      <c r="E127" s="1">
        <v>-13245.53</v>
      </c>
      <c r="F127" s="1">
        <v>306734.34000000003</v>
      </c>
      <c r="G127" s="1">
        <v>307178.15000000002</v>
      </c>
      <c r="H127" s="1">
        <v>0</v>
      </c>
      <c r="I127" s="1">
        <v>-13689.34</v>
      </c>
      <c r="J127" s="1685">
        <v>-13689.34</v>
      </c>
      <c r="K127" s="1">
        <f t="shared" si="3"/>
        <v>-443.80999999999949</v>
      </c>
      <c r="L127" s="1">
        <f t="shared" si="4"/>
        <v>0</v>
      </c>
      <c r="M127" s="1">
        <f t="shared" si="5"/>
        <v>-13245.53</v>
      </c>
    </row>
    <row r="128" spans="1:13">
      <c r="A128" s="3" t="s">
        <v>213</v>
      </c>
      <c r="B128" s="3" t="s">
        <v>214</v>
      </c>
      <c r="C128" s="1">
        <v>-415092.239999999</v>
      </c>
      <c r="D128" s="1">
        <v>0</v>
      </c>
      <c r="E128" s="1">
        <v>-415092.239999999</v>
      </c>
      <c r="F128" s="1">
        <v>30855.22</v>
      </c>
      <c r="G128" s="1">
        <v>13206.469999999899</v>
      </c>
      <c r="H128" s="1">
        <v>0</v>
      </c>
      <c r="I128" s="1">
        <v>-397443.489999999</v>
      </c>
      <c r="J128" s="1685">
        <v>-397443.489999999</v>
      </c>
      <c r="K128" s="1">
        <f t="shared" si="3"/>
        <v>17648.75</v>
      </c>
      <c r="L128" s="1">
        <f t="shared" si="4"/>
        <v>0</v>
      </c>
      <c r="M128" s="1">
        <f t="shared" si="5"/>
        <v>-415092.239999999</v>
      </c>
    </row>
    <row r="129" spans="1:13">
      <c r="A129" s="3" t="s">
        <v>215</v>
      </c>
      <c r="B129" s="3" t="s">
        <v>216</v>
      </c>
      <c r="C129" s="1">
        <v>13245.53</v>
      </c>
      <c r="D129" s="1">
        <v>0</v>
      </c>
      <c r="E129" s="1">
        <v>13245.53</v>
      </c>
      <c r="F129" s="1">
        <v>307178.15000000002</v>
      </c>
      <c r="G129" s="1">
        <v>306734.34000000003</v>
      </c>
      <c r="H129" s="1">
        <v>13689.34</v>
      </c>
      <c r="I129" s="1">
        <v>0</v>
      </c>
      <c r="J129" s="1685">
        <v>13689.34</v>
      </c>
      <c r="K129" s="1">
        <f t="shared" si="3"/>
        <v>443.80999999999949</v>
      </c>
      <c r="L129" s="1">
        <f t="shared" si="4"/>
        <v>13245.53</v>
      </c>
      <c r="M129" s="1">
        <f t="shared" si="5"/>
        <v>0</v>
      </c>
    </row>
    <row r="130" spans="1:13">
      <c r="A130" s="3" t="s">
        <v>217</v>
      </c>
      <c r="B130" s="3" t="s">
        <v>182</v>
      </c>
      <c r="C130" s="1">
        <v>0</v>
      </c>
      <c r="D130" s="1">
        <v>0</v>
      </c>
      <c r="E130" s="1">
        <v>0</v>
      </c>
      <c r="F130" s="1">
        <v>61710.44</v>
      </c>
      <c r="G130" s="1">
        <v>61710.44</v>
      </c>
      <c r="H130" s="1">
        <v>0</v>
      </c>
      <c r="I130" s="1">
        <v>0</v>
      </c>
      <c r="J130" s="1685">
        <v>0</v>
      </c>
      <c r="K130" s="1">
        <f t="shared" si="3"/>
        <v>0</v>
      </c>
      <c r="L130" s="1">
        <f t="shared" si="4"/>
        <v>0</v>
      </c>
      <c r="M130" s="1">
        <f t="shared" si="5"/>
        <v>0</v>
      </c>
    </row>
    <row r="131" spans="1:13">
      <c r="A131" s="3" t="s">
        <v>218</v>
      </c>
      <c r="B131" s="3" t="s">
        <v>219</v>
      </c>
      <c r="C131" s="1">
        <v>0</v>
      </c>
      <c r="D131" s="1">
        <v>0</v>
      </c>
      <c r="E131" s="1">
        <v>0</v>
      </c>
      <c r="F131" s="1">
        <v>191498.399999999</v>
      </c>
      <c r="G131" s="1">
        <v>191498.399999999</v>
      </c>
      <c r="H131" s="1">
        <v>0</v>
      </c>
      <c r="I131" s="1">
        <v>0</v>
      </c>
      <c r="J131" s="1685">
        <v>0</v>
      </c>
      <c r="K131" s="1">
        <f t="shared" ref="K131:K194" si="6">J131-C131</f>
        <v>0</v>
      </c>
      <c r="L131" s="1">
        <f t="shared" ref="L131:L194" si="7">IF(C131&gt;0,C131,0)</f>
        <v>0</v>
      </c>
      <c r="M131" s="1">
        <f t="shared" ref="M131:M194" si="8">IF(C131&lt;0,C131,0)</f>
        <v>0</v>
      </c>
    </row>
    <row r="132" spans="1:13">
      <c r="A132" s="3" t="s">
        <v>222</v>
      </c>
      <c r="B132" s="3" t="s">
        <v>223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685">
        <v>0</v>
      </c>
      <c r="K132" s="1">
        <f t="shared" si="6"/>
        <v>0</v>
      </c>
      <c r="L132" s="1">
        <f t="shared" si="7"/>
        <v>0</v>
      </c>
      <c r="M132" s="1">
        <f t="shared" si="8"/>
        <v>0</v>
      </c>
    </row>
    <row r="133" spans="1:13">
      <c r="A133" s="3" t="s">
        <v>224</v>
      </c>
      <c r="B133" s="3" t="s">
        <v>225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685">
        <v>0</v>
      </c>
      <c r="K133" s="1">
        <f t="shared" si="6"/>
        <v>0</v>
      </c>
      <c r="L133" s="1">
        <f t="shared" si="7"/>
        <v>0</v>
      </c>
      <c r="M133" s="1">
        <f t="shared" si="8"/>
        <v>0</v>
      </c>
    </row>
    <row r="134" spans="1:13">
      <c r="A134" s="3" t="s">
        <v>226</v>
      </c>
      <c r="B134" s="3" t="s">
        <v>188</v>
      </c>
      <c r="C134" s="1">
        <v>-203147.16</v>
      </c>
      <c r="D134" s="1">
        <v>0</v>
      </c>
      <c r="E134" s="1">
        <v>-203147.16</v>
      </c>
      <c r="F134" s="1">
        <v>4093972.12</v>
      </c>
      <c r="G134" s="1">
        <v>4076680.5</v>
      </c>
      <c r="H134" s="1">
        <v>0</v>
      </c>
      <c r="I134" s="1">
        <v>-185855.54</v>
      </c>
      <c r="J134" s="1685">
        <v>-185855.54</v>
      </c>
      <c r="K134" s="1">
        <f t="shared" si="6"/>
        <v>17291.619999999995</v>
      </c>
      <c r="L134" s="1">
        <f t="shared" si="7"/>
        <v>0</v>
      </c>
      <c r="M134" s="1">
        <f t="shared" si="8"/>
        <v>-203147.16</v>
      </c>
    </row>
    <row r="135" spans="1:13">
      <c r="A135" s="3" t="s">
        <v>227</v>
      </c>
      <c r="B135" s="3" t="s">
        <v>228</v>
      </c>
      <c r="C135" s="1">
        <v>-5500</v>
      </c>
      <c r="D135" s="1">
        <v>0</v>
      </c>
      <c r="E135" s="1">
        <v>-5500</v>
      </c>
      <c r="F135" s="1">
        <v>36069.83</v>
      </c>
      <c r="G135" s="1">
        <v>30569.83</v>
      </c>
      <c r="H135" s="1">
        <v>0</v>
      </c>
      <c r="I135" s="1">
        <v>0</v>
      </c>
      <c r="J135" s="1685">
        <v>0</v>
      </c>
      <c r="K135" s="1">
        <f t="shared" si="6"/>
        <v>5500</v>
      </c>
      <c r="L135" s="1">
        <f t="shared" si="7"/>
        <v>0</v>
      </c>
      <c r="M135" s="1">
        <f t="shared" si="8"/>
        <v>-5500</v>
      </c>
    </row>
    <row r="136" spans="1:13">
      <c r="A136" s="3" t="s">
        <v>3170</v>
      </c>
      <c r="B136" s="3" t="s">
        <v>3171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685">
        <v>0</v>
      </c>
      <c r="K136" s="1">
        <f t="shared" si="6"/>
        <v>0</v>
      </c>
      <c r="L136" s="1">
        <f t="shared" si="7"/>
        <v>0</v>
      </c>
      <c r="M136" s="1">
        <f t="shared" si="8"/>
        <v>0</v>
      </c>
    </row>
    <row r="137" spans="1:13">
      <c r="A137" s="3" t="s">
        <v>3306</v>
      </c>
      <c r="B137" s="3" t="s">
        <v>3307</v>
      </c>
      <c r="C137" s="1">
        <v>53224</v>
      </c>
      <c r="D137" s="1">
        <v>0</v>
      </c>
      <c r="E137" s="1">
        <v>53224</v>
      </c>
      <c r="F137" s="1">
        <v>2849004</v>
      </c>
      <c r="G137" s="1">
        <v>2933741</v>
      </c>
      <c r="H137" s="1">
        <v>0</v>
      </c>
      <c r="I137" s="1">
        <v>-31513</v>
      </c>
      <c r="J137" s="1685">
        <v>-31513</v>
      </c>
      <c r="K137" s="1">
        <f t="shared" si="6"/>
        <v>-84737</v>
      </c>
      <c r="L137" s="1">
        <f t="shared" si="7"/>
        <v>53224</v>
      </c>
      <c r="M137" s="1">
        <f t="shared" si="8"/>
        <v>0</v>
      </c>
    </row>
    <row r="138" spans="1:13">
      <c r="A138" s="3" t="s">
        <v>3685</v>
      </c>
      <c r="B138" s="3" t="s">
        <v>3686</v>
      </c>
      <c r="C138" s="1">
        <v>53224</v>
      </c>
      <c r="D138" s="1">
        <v>0</v>
      </c>
      <c r="E138" s="1">
        <v>53224</v>
      </c>
      <c r="F138" s="1">
        <v>308444</v>
      </c>
      <c r="G138" s="1">
        <v>361668</v>
      </c>
      <c r="H138" s="1">
        <v>0</v>
      </c>
      <c r="I138" s="1">
        <v>0</v>
      </c>
      <c r="J138" s="1685">
        <v>0</v>
      </c>
      <c r="K138" s="1">
        <f t="shared" si="6"/>
        <v>-53224</v>
      </c>
      <c r="L138" s="1">
        <f t="shared" si="7"/>
        <v>53224</v>
      </c>
      <c r="M138" s="1">
        <f t="shared" si="8"/>
        <v>0</v>
      </c>
    </row>
    <row r="139" spans="1:13">
      <c r="A139" s="3" t="s">
        <v>3687</v>
      </c>
      <c r="B139" s="3" t="s">
        <v>3307</v>
      </c>
      <c r="C139" s="1">
        <v>-53224</v>
      </c>
      <c r="D139" s="1">
        <v>0</v>
      </c>
      <c r="E139" s="1">
        <v>-53224</v>
      </c>
      <c r="F139" s="1">
        <v>361668</v>
      </c>
      <c r="G139" s="1">
        <v>308444</v>
      </c>
      <c r="H139" s="1">
        <v>0</v>
      </c>
      <c r="I139" s="1">
        <v>0</v>
      </c>
      <c r="J139" s="1685">
        <v>0</v>
      </c>
      <c r="K139" s="1">
        <f t="shared" si="6"/>
        <v>53224</v>
      </c>
      <c r="L139" s="1">
        <f t="shared" si="7"/>
        <v>0</v>
      </c>
      <c r="M139" s="1">
        <f t="shared" si="8"/>
        <v>-53224</v>
      </c>
    </row>
    <row r="140" spans="1:13">
      <c r="A140" s="3" t="s">
        <v>231</v>
      </c>
      <c r="B140" s="3" t="s">
        <v>232</v>
      </c>
      <c r="C140" s="1">
        <v>-1259137</v>
      </c>
      <c r="D140" s="1">
        <v>0</v>
      </c>
      <c r="E140" s="1">
        <v>-1259137</v>
      </c>
      <c r="F140" s="1">
        <v>13387034</v>
      </c>
      <c r="G140" s="1">
        <v>13209689</v>
      </c>
      <c r="H140" s="1">
        <v>0</v>
      </c>
      <c r="I140" s="1">
        <v>-1081792</v>
      </c>
      <c r="J140" s="1685">
        <v>-1081792</v>
      </c>
      <c r="K140" s="1">
        <f t="shared" si="6"/>
        <v>177345</v>
      </c>
      <c r="L140" s="1">
        <f t="shared" si="7"/>
        <v>0</v>
      </c>
      <c r="M140" s="1">
        <f t="shared" si="8"/>
        <v>-1259137</v>
      </c>
    </row>
    <row r="141" spans="1:13">
      <c r="A141" s="3" t="s">
        <v>233</v>
      </c>
      <c r="B141" s="3" t="s">
        <v>234</v>
      </c>
      <c r="C141" s="1">
        <v>0</v>
      </c>
      <c r="D141" s="1">
        <v>0</v>
      </c>
      <c r="E141" s="1">
        <v>0</v>
      </c>
      <c r="F141" s="1">
        <v>25267544</v>
      </c>
      <c r="G141" s="1">
        <v>25267544</v>
      </c>
      <c r="H141" s="1">
        <v>0</v>
      </c>
      <c r="I141" s="1">
        <v>0</v>
      </c>
      <c r="J141" s="1685">
        <v>0</v>
      </c>
      <c r="K141" s="1">
        <f t="shared" si="6"/>
        <v>0</v>
      </c>
      <c r="L141" s="1">
        <f t="shared" si="7"/>
        <v>0</v>
      </c>
      <c r="M141" s="1">
        <f t="shared" si="8"/>
        <v>0</v>
      </c>
    </row>
    <row r="142" spans="1:13">
      <c r="A142" s="3" t="s">
        <v>236</v>
      </c>
      <c r="B142" s="3" t="s">
        <v>237</v>
      </c>
      <c r="C142" s="1">
        <v>-4068499.85</v>
      </c>
      <c r="D142" s="1">
        <v>0</v>
      </c>
      <c r="E142" s="1">
        <v>-4068499.85</v>
      </c>
      <c r="F142" s="1">
        <v>51587543.850000001</v>
      </c>
      <c r="G142" s="1">
        <v>51481340.840000004</v>
      </c>
      <c r="H142" s="1">
        <v>0</v>
      </c>
      <c r="I142" s="1">
        <v>-3962296.8399999901</v>
      </c>
      <c r="J142" s="1685">
        <v>-3962296.8399999901</v>
      </c>
      <c r="K142" s="1">
        <f t="shared" si="6"/>
        <v>106203.01000001002</v>
      </c>
      <c r="L142" s="1">
        <f t="shared" si="7"/>
        <v>0</v>
      </c>
      <c r="M142" s="1">
        <f t="shared" si="8"/>
        <v>-4068499.85</v>
      </c>
    </row>
    <row r="143" spans="1:13">
      <c r="A143" s="3" t="s">
        <v>238</v>
      </c>
      <c r="B143" s="3" t="s">
        <v>239</v>
      </c>
      <c r="C143" s="1">
        <v>0</v>
      </c>
      <c r="D143" s="1">
        <v>0</v>
      </c>
      <c r="E143" s="1">
        <v>0</v>
      </c>
      <c r="F143" s="1">
        <v>678672.23999999894</v>
      </c>
      <c r="G143" s="1">
        <v>678672.23999999894</v>
      </c>
      <c r="H143" s="1">
        <v>0</v>
      </c>
      <c r="I143" s="1">
        <v>0</v>
      </c>
      <c r="J143" s="1685">
        <v>0</v>
      </c>
      <c r="K143" s="1">
        <f t="shared" si="6"/>
        <v>0</v>
      </c>
      <c r="L143" s="1">
        <f t="shared" si="7"/>
        <v>0</v>
      </c>
      <c r="M143" s="1">
        <f t="shared" si="8"/>
        <v>0</v>
      </c>
    </row>
    <row r="144" spans="1:13">
      <c r="A144" s="3" t="s">
        <v>240</v>
      </c>
      <c r="B144" s="3" t="s">
        <v>241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685">
        <v>0</v>
      </c>
      <c r="K144" s="1">
        <f t="shared" si="6"/>
        <v>0</v>
      </c>
      <c r="L144" s="1">
        <f t="shared" si="7"/>
        <v>0</v>
      </c>
      <c r="M144" s="1">
        <f t="shared" si="8"/>
        <v>0</v>
      </c>
    </row>
    <row r="145" spans="1:13">
      <c r="A145" s="3" t="s">
        <v>3450</v>
      </c>
      <c r="B145" s="3" t="s">
        <v>3451</v>
      </c>
      <c r="C145" s="1">
        <v>0</v>
      </c>
      <c r="D145" s="1">
        <v>0</v>
      </c>
      <c r="E145" s="1">
        <v>0</v>
      </c>
      <c r="F145" s="1">
        <v>3427.1999999999898</v>
      </c>
      <c r="G145" s="1">
        <v>3427.1999999999898</v>
      </c>
      <c r="H145" s="1">
        <v>0</v>
      </c>
      <c r="I145" s="1">
        <v>0</v>
      </c>
      <c r="J145" s="1685">
        <v>0</v>
      </c>
      <c r="K145" s="1">
        <f t="shared" si="6"/>
        <v>0</v>
      </c>
      <c r="L145" s="1">
        <f t="shared" si="7"/>
        <v>0</v>
      </c>
      <c r="M145" s="1">
        <f t="shared" si="8"/>
        <v>0</v>
      </c>
    </row>
    <row r="146" spans="1:13">
      <c r="A146" s="3" t="s">
        <v>242</v>
      </c>
      <c r="B146" s="3" t="s">
        <v>243</v>
      </c>
      <c r="C146" s="1">
        <v>-79129</v>
      </c>
      <c r="D146" s="1">
        <v>0</v>
      </c>
      <c r="E146" s="1">
        <v>-79129</v>
      </c>
      <c r="F146" s="1">
        <v>1046216</v>
      </c>
      <c r="G146" s="1">
        <v>1048111</v>
      </c>
      <c r="H146" s="1">
        <v>0</v>
      </c>
      <c r="I146" s="1">
        <v>-81024</v>
      </c>
      <c r="J146" s="1685">
        <v>-81024</v>
      </c>
      <c r="K146" s="1">
        <f t="shared" si="6"/>
        <v>-1895</v>
      </c>
      <c r="L146" s="1">
        <f t="shared" si="7"/>
        <v>0</v>
      </c>
      <c r="M146" s="1">
        <f t="shared" si="8"/>
        <v>-79129</v>
      </c>
    </row>
    <row r="147" spans="1:13">
      <c r="A147" s="3" t="s">
        <v>3965</v>
      </c>
      <c r="B147" s="3" t="s">
        <v>3966</v>
      </c>
      <c r="C147" s="1">
        <v>0</v>
      </c>
      <c r="D147" s="1">
        <v>0</v>
      </c>
      <c r="E147" s="1">
        <v>0</v>
      </c>
      <c r="F147" s="1">
        <v>12373</v>
      </c>
      <c r="G147" s="1">
        <v>12373</v>
      </c>
      <c r="H147" s="1">
        <v>0</v>
      </c>
      <c r="I147" s="1">
        <v>0</v>
      </c>
      <c r="J147" s="1685">
        <v>0</v>
      </c>
      <c r="K147" s="1">
        <f t="shared" si="6"/>
        <v>0</v>
      </c>
      <c r="L147" s="1">
        <f t="shared" si="7"/>
        <v>0</v>
      </c>
      <c r="M147" s="1">
        <f t="shared" si="8"/>
        <v>0</v>
      </c>
    </row>
    <row r="148" spans="1:13">
      <c r="A148" s="3" t="s">
        <v>244</v>
      </c>
      <c r="B148" s="3" t="s">
        <v>245</v>
      </c>
      <c r="C148" s="1">
        <v>-3693366.1499999901</v>
      </c>
      <c r="D148" s="1">
        <v>0</v>
      </c>
      <c r="E148" s="1">
        <v>-3693366.1499999901</v>
      </c>
      <c r="F148" s="1">
        <v>56826068.590000004</v>
      </c>
      <c r="G148" s="1">
        <v>56082071.859999903</v>
      </c>
      <c r="H148" s="1">
        <v>0</v>
      </c>
      <c r="I148" s="1">
        <v>-2949369.4199999901</v>
      </c>
      <c r="J148" s="1685">
        <v>-2949369.4199999901</v>
      </c>
      <c r="K148" s="1">
        <f t="shared" si="6"/>
        <v>743996.73</v>
      </c>
      <c r="L148" s="1">
        <f t="shared" si="7"/>
        <v>0</v>
      </c>
      <c r="M148" s="1">
        <f t="shared" si="8"/>
        <v>-3693366.1499999901</v>
      </c>
    </row>
    <row r="149" spans="1:13">
      <c r="A149" s="3" t="s">
        <v>246</v>
      </c>
      <c r="B149" s="3" t="s">
        <v>247</v>
      </c>
      <c r="C149" s="1">
        <v>-1265</v>
      </c>
      <c r="D149" s="1">
        <v>0</v>
      </c>
      <c r="E149" s="1">
        <v>-1265</v>
      </c>
      <c r="F149" s="1">
        <v>10738.08</v>
      </c>
      <c r="G149" s="1">
        <v>9473.0799999999908</v>
      </c>
      <c r="H149" s="1">
        <v>0</v>
      </c>
      <c r="I149" s="1">
        <v>0</v>
      </c>
      <c r="J149" s="1685">
        <v>0</v>
      </c>
      <c r="K149" s="1">
        <f t="shared" si="6"/>
        <v>1265</v>
      </c>
      <c r="L149" s="1">
        <f t="shared" si="7"/>
        <v>0</v>
      </c>
      <c r="M149" s="1">
        <f t="shared" si="8"/>
        <v>-1265</v>
      </c>
    </row>
    <row r="150" spans="1:13">
      <c r="A150" s="3" t="s">
        <v>248</v>
      </c>
      <c r="B150" s="3" t="s">
        <v>249</v>
      </c>
      <c r="C150" s="1">
        <v>1782420.82</v>
      </c>
      <c r="D150" s="1">
        <v>0</v>
      </c>
      <c r="E150" s="1">
        <v>1782420.82</v>
      </c>
      <c r="F150" s="1">
        <v>21117187.16</v>
      </c>
      <c r="G150" s="1">
        <v>20449251.18</v>
      </c>
      <c r="H150" s="1">
        <v>2450356.79999999</v>
      </c>
      <c r="I150" s="1">
        <v>0</v>
      </c>
      <c r="J150" s="1685">
        <v>2450356.79999999</v>
      </c>
      <c r="K150" s="1">
        <f t="shared" si="6"/>
        <v>667935.97999998997</v>
      </c>
      <c r="L150" s="1">
        <f t="shared" si="7"/>
        <v>1782420.82</v>
      </c>
      <c r="M150" s="1">
        <f t="shared" si="8"/>
        <v>0</v>
      </c>
    </row>
    <row r="151" spans="1:13">
      <c r="A151" s="3" t="s">
        <v>250</v>
      </c>
      <c r="B151" s="3" t="s">
        <v>251</v>
      </c>
      <c r="C151" s="1">
        <v>1265</v>
      </c>
      <c r="D151" s="1">
        <v>0</v>
      </c>
      <c r="E151" s="1">
        <v>1265</v>
      </c>
      <c r="F151" s="1">
        <v>9473.0799999999908</v>
      </c>
      <c r="G151" s="1">
        <v>10738.08</v>
      </c>
      <c r="H151" s="1">
        <v>0</v>
      </c>
      <c r="I151" s="1">
        <v>0</v>
      </c>
      <c r="J151" s="1685">
        <v>0</v>
      </c>
      <c r="K151" s="1">
        <f t="shared" si="6"/>
        <v>-1265</v>
      </c>
      <c r="L151" s="1">
        <f t="shared" si="7"/>
        <v>1265</v>
      </c>
      <c r="M151" s="1">
        <f t="shared" si="8"/>
        <v>0</v>
      </c>
    </row>
    <row r="152" spans="1:13">
      <c r="A152" s="3" t="s">
        <v>252</v>
      </c>
      <c r="B152" s="3" t="s">
        <v>253</v>
      </c>
      <c r="C152" s="1">
        <v>0</v>
      </c>
      <c r="D152" s="1">
        <v>0</v>
      </c>
      <c r="E152" s="1">
        <v>0</v>
      </c>
      <c r="F152" s="1">
        <v>56380931.520000003</v>
      </c>
      <c r="G152" s="1">
        <v>56380931.520000003</v>
      </c>
      <c r="H152" s="1">
        <v>0</v>
      </c>
      <c r="I152" s="1">
        <v>0</v>
      </c>
      <c r="J152" s="1685">
        <v>0</v>
      </c>
      <c r="K152" s="1">
        <f t="shared" si="6"/>
        <v>0</v>
      </c>
      <c r="L152" s="1">
        <f t="shared" si="7"/>
        <v>0</v>
      </c>
      <c r="M152" s="1">
        <f t="shared" si="8"/>
        <v>0</v>
      </c>
    </row>
    <row r="153" spans="1:13">
      <c r="A153" s="3" t="s">
        <v>254</v>
      </c>
      <c r="B153" s="3" t="s">
        <v>255</v>
      </c>
      <c r="C153" s="1">
        <v>0</v>
      </c>
      <c r="D153" s="1">
        <v>0</v>
      </c>
      <c r="E153" s="1">
        <v>0</v>
      </c>
      <c r="F153" s="1">
        <v>116615.71</v>
      </c>
      <c r="G153" s="1">
        <v>115443.6</v>
      </c>
      <c r="H153" s="1">
        <v>1172.1099999999899</v>
      </c>
      <c r="I153" s="1">
        <v>0</v>
      </c>
      <c r="J153" s="1685">
        <v>1172.1099999999899</v>
      </c>
      <c r="K153" s="1">
        <f t="shared" si="6"/>
        <v>1172.1099999999899</v>
      </c>
      <c r="L153" s="1">
        <f t="shared" si="7"/>
        <v>0</v>
      </c>
      <c r="M153" s="1">
        <f t="shared" si="8"/>
        <v>0</v>
      </c>
    </row>
    <row r="154" spans="1:13">
      <c r="A154" s="3" t="s">
        <v>256</v>
      </c>
      <c r="B154" s="3" t="s">
        <v>257</v>
      </c>
      <c r="C154" s="1">
        <v>-3801046.8799999901</v>
      </c>
      <c r="D154" s="1">
        <v>0</v>
      </c>
      <c r="E154" s="1">
        <v>-3801046.8799999901</v>
      </c>
      <c r="F154" s="1">
        <v>85128765.280000001</v>
      </c>
      <c r="G154" s="1">
        <v>84920115.510000005</v>
      </c>
      <c r="H154" s="1">
        <v>0</v>
      </c>
      <c r="I154" s="1">
        <v>-3592397.1099999901</v>
      </c>
      <c r="J154" s="1685">
        <v>-3592397.1099999901</v>
      </c>
      <c r="K154" s="1">
        <f t="shared" si="6"/>
        <v>208649.77000000002</v>
      </c>
      <c r="L154" s="1">
        <f t="shared" si="7"/>
        <v>0</v>
      </c>
      <c r="M154" s="1">
        <f t="shared" si="8"/>
        <v>-3801046.8799999901</v>
      </c>
    </row>
    <row r="155" spans="1:13">
      <c r="A155" s="3" t="s">
        <v>258</v>
      </c>
      <c r="B155" s="3" t="s">
        <v>257</v>
      </c>
      <c r="C155" s="1">
        <v>-40939.019999999902</v>
      </c>
      <c r="D155" s="1">
        <v>0</v>
      </c>
      <c r="E155" s="1">
        <v>-40939.019999999902</v>
      </c>
      <c r="F155" s="1">
        <v>1869132.28</v>
      </c>
      <c r="G155" s="1">
        <v>1881627.1899999899</v>
      </c>
      <c r="H155" s="1">
        <v>0</v>
      </c>
      <c r="I155" s="1">
        <v>-53433.93</v>
      </c>
      <c r="J155" s="1685">
        <v>-53433.93</v>
      </c>
      <c r="K155" s="1">
        <f t="shared" si="6"/>
        <v>-12494.910000000098</v>
      </c>
      <c r="L155" s="1">
        <f t="shared" si="7"/>
        <v>0</v>
      </c>
      <c r="M155" s="1">
        <f t="shared" si="8"/>
        <v>-40939.019999999902</v>
      </c>
    </row>
    <row r="156" spans="1:13">
      <c r="A156" s="3" t="s">
        <v>259</v>
      </c>
      <c r="B156" s="3" t="s">
        <v>260</v>
      </c>
      <c r="C156" s="1">
        <v>-20391.389999999901</v>
      </c>
      <c r="D156" s="1">
        <v>0</v>
      </c>
      <c r="E156" s="1">
        <v>-20391.389999999901</v>
      </c>
      <c r="F156" s="1">
        <v>34452.919999999896</v>
      </c>
      <c r="G156" s="1">
        <v>41063.989999999903</v>
      </c>
      <c r="H156" s="1">
        <v>0</v>
      </c>
      <c r="I156" s="1">
        <v>-27002.459999999901</v>
      </c>
      <c r="J156" s="1685">
        <v>-27002.459999999901</v>
      </c>
      <c r="K156" s="1">
        <f t="shared" si="6"/>
        <v>-6611.07</v>
      </c>
      <c r="L156" s="1">
        <f t="shared" si="7"/>
        <v>0</v>
      </c>
      <c r="M156" s="1">
        <f t="shared" si="8"/>
        <v>-20391.389999999901</v>
      </c>
    </row>
    <row r="157" spans="1:13">
      <c r="A157" s="3" t="s">
        <v>261</v>
      </c>
      <c r="B157" s="3" t="s">
        <v>262</v>
      </c>
      <c r="C157" s="1">
        <v>0</v>
      </c>
      <c r="D157" s="1">
        <v>0</v>
      </c>
      <c r="E157" s="1">
        <v>0</v>
      </c>
      <c r="F157" s="1">
        <v>102130751.01000001</v>
      </c>
      <c r="G157" s="1">
        <v>102130751.01000001</v>
      </c>
      <c r="H157" s="1">
        <v>0</v>
      </c>
      <c r="I157" s="1">
        <v>0</v>
      </c>
      <c r="J157" s="1685">
        <v>0</v>
      </c>
      <c r="K157" s="1">
        <f t="shared" si="6"/>
        <v>0</v>
      </c>
      <c r="L157" s="1">
        <f t="shared" si="7"/>
        <v>0</v>
      </c>
      <c r="M157" s="1">
        <f t="shared" si="8"/>
        <v>0</v>
      </c>
    </row>
    <row r="158" spans="1:13">
      <c r="A158" s="3" t="s">
        <v>263</v>
      </c>
      <c r="B158" s="3" t="s">
        <v>264</v>
      </c>
      <c r="C158" s="1">
        <v>12335</v>
      </c>
      <c r="D158" s="1">
        <v>0</v>
      </c>
      <c r="E158" s="1">
        <v>12335</v>
      </c>
      <c r="F158" s="1">
        <v>35119</v>
      </c>
      <c r="G158" s="1">
        <v>47454</v>
      </c>
      <c r="H158" s="1">
        <v>0</v>
      </c>
      <c r="I158" s="1">
        <v>0</v>
      </c>
      <c r="J158" s="1685">
        <v>0</v>
      </c>
      <c r="K158" s="1">
        <f t="shared" si="6"/>
        <v>-12335</v>
      </c>
      <c r="L158" s="1">
        <f t="shared" si="7"/>
        <v>12335</v>
      </c>
      <c r="M158" s="1">
        <f t="shared" si="8"/>
        <v>0</v>
      </c>
    </row>
    <row r="159" spans="1:13">
      <c r="A159" s="3" t="s">
        <v>265</v>
      </c>
      <c r="B159" s="3" t="s">
        <v>266</v>
      </c>
      <c r="C159" s="1">
        <v>291252.90000000002</v>
      </c>
      <c r="D159" s="1">
        <v>0</v>
      </c>
      <c r="E159" s="1">
        <v>291252.90000000002</v>
      </c>
      <c r="F159" s="1">
        <v>343945.59</v>
      </c>
      <c r="G159" s="1">
        <v>375896.62</v>
      </c>
      <c r="H159" s="1">
        <v>259301.87</v>
      </c>
      <c r="I159" s="1">
        <v>0</v>
      </c>
      <c r="J159" s="1685">
        <v>259301.87</v>
      </c>
      <c r="K159" s="1">
        <f t="shared" si="6"/>
        <v>-31951.030000000028</v>
      </c>
      <c r="L159" s="1">
        <f t="shared" si="7"/>
        <v>291252.90000000002</v>
      </c>
      <c r="M159" s="1">
        <f t="shared" si="8"/>
        <v>0</v>
      </c>
    </row>
    <row r="160" spans="1:13">
      <c r="A160" s="3" t="s">
        <v>267</v>
      </c>
      <c r="B160" s="3" t="s">
        <v>268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685">
        <v>0</v>
      </c>
      <c r="K160" s="1">
        <f t="shared" si="6"/>
        <v>0</v>
      </c>
      <c r="L160" s="1">
        <f t="shared" si="7"/>
        <v>0</v>
      </c>
      <c r="M160" s="1">
        <f t="shared" si="8"/>
        <v>0</v>
      </c>
    </row>
    <row r="161" spans="1:13">
      <c r="A161" s="3" t="s">
        <v>269</v>
      </c>
      <c r="B161" s="3" t="s">
        <v>270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685">
        <v>0</v>
      </c>
      <c r="K161" s="1">
        <f t="shared" si="6"/>
        <v>0</v>
      </c>
      <c r="L161" s="1">
        <f t="shared" si="7"/>
        <v>0</v>
      </c>
      <c r="M161" s="1">
        <f t="shared" si="8"/>
        <v>0</v>
      </c>
    </row>
    <row r="162" spans="1:13">
      <c r="A162" s="3" t="s">
        <v>271</v>
      </c>
      <c r="B162" s="3" t="s">
        <v>272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685">
        <v>0</v>
      </c>
      <c r="K162" s="1">
        <f t="shared" si="6"/>
        <v>0</v>
      </c>
      <c r="L162" s="1">
        <f t="shared" si="7"/>
        <v>0</v>
      </c>
      <c r="M162" s="1">
        <f t="shared" si="8"/>
        <v>0</v>
      </c>
    </row>
    <row r="163" spans="1:13">
      <c r="A163" s="3" t="s">
        <v>273</v>
      </c>
      <c r="B163" s="3" t="s">
        <v>274</v>
      </c>
      <c r="C163" s="1">
        <v>-4053689.3399999901</v>
      </c>
      <c r="D163" s="1">
        <v>0</v>
      </c>
      <c r="E163" s="1">
        <v>-4053689.3399999901</v>
      </c>
      <c r="F163" s="1">
        <v>8107390.5800000001</v>
      </c>
      <c r="G163" s="1">
        <v>7251534.5599999903</v>
      </c>
      <c r="H163" s="1">
        <v>0</v>
      </c>
      <c r="I163" s="1">
        <v>-3197833.3199999901</v>
      </c>
      <c r="J163" s="1685">
        <v>-3197833.3199999901</v>
      </c>
      <c r="K163" s="1">
        <f t="shared" si="6"/>
        <v>855856.02</v>
      </c>
      <c r="L163" s="1">
        <f t="shared" si="7"/>
        <v>0</v>
      </c>
      <c r="M163" s="1">
        <f t="shared" si="8"/>
        <v>-4053689.3399999901</v>
      </c>
    </row>
    <row r="164" spans="1:13">
      <c r="A164" s="3" t="s">
        <v>275</v>
      </c>
      <c r="B164" s="3" t="s">
        <v>276</v>
      </c>
      <c r="C164" s="1">
        <v>0</v>
      </c>
      <c r="D164" s="1">
        <v>0</v>
      </c>
      <c r="E164" s="1">
        <v>0</v>
      </c>
      <c r="F164" s="1">
        <v>4010165.89</v>
      </c>
      <c r="G164" s="1">
        <v>4010165.89</v>
      </c>
      <c r="H164" s="1">
        <v>0</v>
      </c>
      <c r="I164" s="1">
        <v>0</v>
      </c>
      <c r="J164" s="1685">
        <v>0</v>
      </c>
      <c r="K164" s="1">
        <f t="shared" si="6"/>
        <v>0</v>
      </c>
      <c r="L164" s="1">
        <f t="shared" si="7"/>
        <v>0</v>
      </c>
      <c r="M164" s="1">
        <f t="shared" si="8"/>
        <v>0</v>
      </c>
    </row>
    <row r="165" spans="1:13">
      <c r="A165" s="3" t="s">
        <v>3700</v>
      </c>
      <c r="B165" s="3" t="s">
        <v>3701</v>
      </c>
      <c r="C165" s="1">
        <v>0</v>
      </c>
      <c r="D165" s="1">
        <v>0</v>
      </c>
      <c r="E165" s="1">
        <v>0</v>
      </c>
      <c r="F165" s="1">
        <v>1173005.77</v>
      </c>
      <c r="G165" s="1">
        <v>1173005.77</v>
      </c>
      <c r="H165" s="1">
        <v>0</v>
      </c>
      <c r="I165" s="1">
        <v>0</v>
      </c>
      <c r="J165" s="1685">
        <v>0</v>
      </c>
      <c r="K165" s="1">
        <f t="shared" si="6"/>
        <v>0</v>
      </c>
      <c r="L165" s="1">
        <f t="shared" si="7"/>
        <v>0</v>
      </c>
      <c r="M165" s="1">
        <f t="shared" si="8"/>
        <v>0</v>
      </c>
    </row>
    <row r="166" spans="1:13">
      <c r="A166" s="3" t="s">
        <v>277</v>
      </c>
      <c r="B166" s="3" t="s">
        <v>3144</v>
      </c>
      <c r="C166" s="1">
        <v>-155356.929999999</v>
      </c>
      <c r="D166" s="1">
        <v>0</v>
      </c>
      <c r="E166" s="1">
        <v>-155356.929999999</v>
      </c>
      <c r="F166" s="1">
        <v>432431.77</v>
      </c>
      <c r="G166" s="1">
        <v>277074.84000000003</v>
      </c>
      <c r="H166" s="1">
        <v>0</v>
      </c>
      <c r="I166" s="1">
        <v>0</v>
      </c>
      <c r="J166" s="1685">
        <v>0</v>
      </c>
      <c r="K166" s="1">
        <f t="shared" si="6"/>
        <v>155356.929999999</v>
      </c>
      <c r="L166" s="1">
        <f t="shared" si="7"/>
        <v>0</v>
      </c>
      <c r="M166" s="1">
        <f t="shared" si="8"/>
        <v>-155356.929999999</v>
      </c>
    </row>
    <row r="167" spans="1:13">
      <c r="A167" s="3" t="s">
        <v>278</v>
      </c>
      <c r="B167" s="3" t="s">
        <v>279</v>
      </c>
      <c r="C167" s="1">
        <v>-2260302.8399999901</v>
      </c>
      <c r="D167" s="1">
        <v>0</v>
      </c>
      <c r="E167" s="1">
        <v>-2260302.8399999901</v>
      </c>
      <c r="F167" s="1">
        <v>2463866.27999999</v>
      </c>
      <c r="G167" s="1">
        <v>2463866.27999999</v>
      </c>
      <c r="H167" s="1">
        <v>0</v>
      </c>
      <c r="I167" s="1">
        <v>-2260302.8399999901</v>
      </c>
      <c r="J167" s="1685">
        <v>-2260302.8399999901</v>
      </c>
      <c r="K167" s="1">
        <f t="shared" si="6"/>
        <v>0</v>
      </c>
      <c r="L167" s="1">
        <f t="shared" si="7"/>
        <v>0</v>
      </c>
      <c r="M167" s="1">
        <f t="shared" si="8"/>
        <v>-2260302.8399999901</v>
      </c>
    </row>
    <row r="168" spans="1:13">
      <c r="A168" s="3" t="s">
        <v>3702</v>
      </c>
      <c r="B168" s="3" t="s">
        <v>3703</v>
      </c>
      <c r="C168" s="1">
        <v>0</v>
      </c>
      <c r="D168" s="1">
        <v>0</v>
      </c>
      <c r="E168" s="1">
        <v>0</v>
      </c>
      <c r="F168" s="1">
        <v>2017973.06</v>
      </c>
      <c r="G168" s="1">
        <v>2017973.06</v>
      </c>
      <c r="H168" s="1">
        <v>0</v>
      </c>
      <c r="I168" s="1">
        <v>0</v>
      </c>
      <c r="J168" s="1685">
        <v>0</v>
      </c>
      <c r="K168" s="1">
        <f t="shared" si="6"/>
        <v>0</v>
      </c>
      <c r="L168" s="1">
        <f t="shared" si="7"/>
        <v>0</v>
      </c>
      <c r="M168" s="1">
        <f t="shared" si="8"/>
        <v>0</v>
      </c>
    </row>
    <row r="169" spans="1:13">
      <c r="A169" s="3" t="s">
        <v>3303</v>
      </c>
      <c r="B169" s="3" t="s">
        <v>3304</v>
      </c>
      <c r="C169" s="1">
        <v>-6603848.5800000001</v>
      </c>
      <c r="D169" s="1">
        <v>0</v>
      </c>
      <c r="E169" s="1">
        <v>-6603848.5800000001</v>
      </c>
      <c r="F169" s="1">
        <v>13207697.16</v>
      </c>
      <c r="G169" s="1">
        <v>6603848.5800000001</v>
      </c>
      <c r="H169" s="1">
        <v>0</v>
      </c>
      <c r="I169" s="1">
        <v>0</v>
      </c>
      <c r="J169" s="1685">
        <v>0</v>
      </c>
      <c r="K169" s="1">
        <f t="shared" si="6"/>
        <v>6603848.5800000001</v>
      </c>
      <c r="L169" s="1">
        <f t="shared" si="7"/>
        <v>0</v>
      </c>
      <c r="M169" s="1">
        <f t="shared" si="8"/>
        <v>-6603848.5800000001</v>
      </c>
    </row>
    <row r="170" spans="1:13">
      <c r="A170" s="3" t="s">
        <v>280</v>
      </c>
      <c r="B170" s="3" t="s">
        <v>281</v>
      </c>
      <c r="C170" s="1">
        <v>113.7</v>
      </c>
      <c r="D170" s="1">
        <v>0</v>
      </c>
      <c r="E170" s="1">
        <v>113.7</v>
      </c>
      <c r="F170" s="1">
        <v>224357.35</v>
      </c>
      <c r="G170" s="1">
        <v>235923.45</v>
      </c>
      <c r="H170" s="1">
        <v>0</v>
      </c>
      <c r="I170" s="1">
        <v>-11452.4</v>
      </c>
      <c r="J170" s="1685">
        <v>-11452.4</v>
      </c>
      <c r="K170" s="1">
        <f t="shared" si="6"/>
        <v>-11566.1</v>
      </c>
      <c r="L170" s="1">
        <f t="shared" si="7"/>
        <v>113.7</v>
      </c>
      <c r="M170" s="1">
        <f t="shared" si="8"/>
        <v>0</v>
      </c>
    </row>
    <row r="171" spans="1:13">
      <c r="A171" s="3" t="s">
        <v>282</v>
      </c>
      <c r="B171" s="3" t="s">
        <v>3337</v>
      </c>
      <c r="C171" s="1">
        <v>232.3</v>
      </c>
      <c r="D171" s="1">
        <v>0</v>
      </c>
      <c r="E171" s="1">
        <v>232.3</v>
      </c>
      <c r="F171" s="1">
        <v>0</v>
      </c>
      <c r="G171" s="1">
        <v>232.3</v>
      </c>
      <c r="H171" s="1">
        <v>0</v>
      </c>
      <c r="I171" s="1">
        <v>0</v>
      </c>
      <c r="J171" s="1685">
        <v>0</v>
      </c>
      <c r="K171" s="1">
        <f t="shared" si="6"/>
        <v>-232.3</v>
      </c>
      <c r="L171" s="1">
        <f t="shared" si="7"/>
        <v>232.3</v>
      </c>
      <c r="M171" s="1">
        <f t="shared" si="8"/>
        <v>0</v>
      </c>
    </row>
    <row r="172" spans="1:13">
      <c r="A172" s="3" t="s">
        <v>283</v>
      </c>
      <c r="B172" s="3" t="s">
        <v>281</v>
      </c>
      <c r="C172" s="1">
        <v>-232.3</v>
      </c>
      <c r="D172" s="1">
        <v>0</v>
      </c>
      <c r="E172" s="1">
        <v>-232.3</v>
      </c>
      <c r="F172" s="1">
        <v>232.3</v>
      </c>
      <c r="G172" s="1">
        <v>0</v>
      </c>
      <c r="H172" s="1">
        <v>0</v>
      </c>
      <c r="I172" s="1">
        <v>0</v>
      </c>
      <c r="J172" s="1685">
        <v>0</v>
      </c>
      <c r="K172" s="1">
        <f t="shared" si="6"/>
        <v>232.3</v>
      </c>
      <c r="L172" s="1">
        <f t="shared" si="7"/>
        <v>0</v>
      </c>
      <c r="M172" s="1">
        <f t="shared" si="8"/>
        <v>-232.3</v>
      </c>
    </row>
    <row r="173" spans="1:13">
      <c r="A173" s="3" t="s">
        <v>284</v>
      </c>
      <c r="B173" s="3" t="s">
        <v>285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685">
        <v>0</v>
      </c>
      <c r="K173" s="1">
        <f t="shared" si="6"/>
        <v>0</v>
      </c>
      <c r="L173" s="1">
        <f t="shared" si="7"/>
        <v>0</v>
      </c>
      <c r="M173" s="1">
        <f t="shared" si="8"/>
        <v>0</v>
      </c>
    </row>
    <row r="174" spans="1:13">
      <c r="A174" s="3" t="s">
        <v>286</v>
      </c>
      <c r="B174" s="3" t="s">
        <v>287</v>
      </c>
      <c r="C174" s="1">
        <v>0</v>
      </c>
      <c r="D174" s="1">
        <v>0</v>
      </c>
      <c r="E174" s="1">
        <v>0</v>
      </c>
      <c r="F174" s="1">
        <v>4344.0600000000004</v>
      </c>
      <c r="G174" s="1">
        <v>4344.0600000000004</v>
      </c>
      <c r="H174" s="1">
        <v>0</v>
      </c>
      <c r="I174" s="1">
        <v>0</v>
      </c>
      <c r="J174" s="1685">
        <v>0</v>
      </c>
      <c r="K174" s="1">
        <f t="shared" si="6"/>
        <v>0</v>
      </c>
      <c r="L174" s="1">
        <f t="shared" si="7"/>
        <v>0</v>
      </c>
      <c r="M174" s="1">
        <f t="shared" si="8"/>
        <v>0</v>
      </c>
    </row>
    <row r="175" spans="1:13">
      <c r="A175" s="3" t="s">
        <v>290</v>
      </c>
      <c r="B175" s="3" t="s">
        <v>291</v>
      </c>
      <c r="C175" s="1">
        <v>21132.61</v>
      </c>
      <c r="D175" s="1">
        <v>0</v>
      </c>
      <c r="E175" s="1">
        <v>21132.61</v>
      </c>
      <c r="F175" s="1">
        <v>0</v>
      </c>
      <c r="G175" s="1">
        <v>0</v>
      </c>
      <c r="H175" s="1">
        <v>21132.61</v>
      </c>
      <c r="I175" s="1">
        <v>0</v>
      </c>
      <c r="J175" s="1685">
        <v>21132.61</v>
      </c>
      <c r="K175" s="1">
        <f t="shared" si="6"/>
        <v>0</v>
      </c>
      <c r="L175" s="1">
        <f t="shared" si="7"/>
        <v>21132.61</v>
      </c>
      <c r="M175" s="1">
        <f t="shared" si="8"/>
        <v>0</v>
      </c>
    </row>
    <row r="176" spans="1:13">
      <c r="A176" s="3" t="s">
        <v>292</v>
      </c>
      <c r="B176" s="3" t="s">
        <v>293</v>
      </c>
      <c r="C176" s="1">
        <v>28881.63</v>
      </c>
      <c r="D176" s="1">
        <v>0</v>
      </c>
      <c r="E176" s="1">
        <v>28881.63</v>
      </c>
      <c r="F176" s="1">
        <v>0</v>
      </c>
      <c r="G176" s="1">
        <v>0</v>
      </c>
      <c r="H176" s="1">
        <v>28881.63</v>
      </c>
      <c r="I176" s="1">
        <v>0</v>
      </c>
      <c r="J176" s="1685">
        <v>28881.63</v>
      </c>
      <c r="K176" s="1">
        <f t="shared" si="6"/>
        <v>0</v>
      </c>
      <c r="L176" s="1">
        <f t="shared" si="7"/>
        <v>28881.63</v>
      </c>
      <c r="M176" s="1">
        <f t="shared" si="8"/>
        <v>0</v>
      </c>
    </row>
    <row r="177" spans="1:13">
      <c r="A177" s="3" t="s">
        <v>294</v>
      </c>
      <c r="B177" s="3" t="s">
        <v>295</v>
      </c>
      <c r="C177" s="1">
        <v>-21132.61</v>
      </c>
      <c r="D177" s="1">
        <v>0</v>
      </c>
      <c r="E177" s="1">
        <v>-21132.61</v>
      </c>
      <c r="F177" s="1">
        <v>0</v>
      </c>
      <c r="G177" s="1">
        <v>0</v>
      </c>
      <c r="H177" s="1">
        <v>0</v>
      </c>
      <c r="I177" s="1">
        <v>-21132.61</v>
      </c>
      <c r="J177" s="1685">
        <v>-21132.61</v>
      </c>
      <c r="K177" s="1">
        <f t="shared" si="6"/>
        <v>0</v>
      </c>
      <c r="L177" s="1">
        <f t="shared" si="7"/>
        <v>0</v>
      </c>
      <c r="M177" s="1">
        <f t="shared" si="8"/>
        <v>-21132.61</v>
      </c>
    </row>
    <row r="178" spans="1:13">
      <c r="A178" s="3" t="s">
        <v>2838</v>
      </c>
      <c r="B178" s="3" t="s">
        <v>2836</v>
      </c>
      <c r="C178" s="1">
        <v>-28881.63</v>
      </c>
      <c r="D178" s="1">
        <v>0</v>
      </c>
      <c r="E178" s="1">
        <v>-28881.63</v>
      </c>
      <c r="F178" s="1">
        <v>0</v>
      </c>
      <c r="G178" s="1">
        <v>0</v>
      </c>
      <c r="H178" s="1">
        <v>0</v>
      </c>
      <c r="I178" s="1">
        <v>-28881.63</v>
      </c>
      <c r="J178" s="1685">
        <v>-28881.63</v>
      </c>
      <c r="K178" s="1">
        <f t="shared" si="6"/>
        <v>0</v>
      </c>
      <c r="L178" s="1">
        <f t="shared" si="7"/>
        <v>0</v>
      </c>
      <c r="M178" s="1">
        <f t="shared" si="8"/>
        <v>-28881.63</v>
      </c>
    </row>
    <row r="179" spans="1:13">
      <c r="A179" s="3" t="s">
        <v>296</v>
      </c>
      <c r="B179" s="3" t="s">
        <v>297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685">
        <v>0</v>
      </c>
      <c r="K179" s="1">
        <f t="shared" si="6"/>
        <v>0</v>
      </c>
      <c r="L179" s="1">
        <f t="shared" si="7"/>
        <v>0</v>
      </c>
      <c r="M179" s="1">
        <f t="shared" si="8"/>
        <v>0</v>
      </c>
    </row>
    <row r="180" spans="1:13">
      <c r="A180" s="3" t="s">
        <v>298</v>
      </c>
      <c r="B180" s="3" t="s">
        <v>299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685">
        <v>0</v>
      </c>
      <c r="K180" s="1">
        <f t="shared" si="6"/>
        <v>0</v>
      </c>
      <c r="L180" s="1">
        <f t="shared" si="7"/>
        <v>0</v>
      </c>
      <c r="M180" s="1">
        <f t="shared" si="8"/>
        <v>0</v>
      </c>
    </row>
    <row r="181" spans="1:13">
      <c r="A181" s="3" t="s">
        <v>300</v>
      </c>
      <c r="B181" s="3" t="s">
        <v>301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685">
        <v>0</v>
      </c>
      <c r="K181" s="1">
        <f t="shared" si="6"/>
        <v>0</v>
      </c>
      <c r="L181" s="1">
        <f t="shared" si="7"/>
        <v>0</v>
      </c>
      <c r="M181" s="1">
        <f t="shared" si="8"/>
        <v>0</v>
      </c>
    </row>
    <row r="182" spans="1:13">
      <c r="A182" s="3" t="s">
        <v>302</v>
      </c>
      <c r="B182" s="3" t="s">
        <v>303</v>
      </c>
      <c r="C182" s="1">
        <v>0</v>
      </c>
      <c r="D182" s="1">
        <v>0</v>
      </c>
      <c r="E182" s="1">
        <v>0</v>
      </c>
      <c r="F182" s="1">
        <v>70556697.700000003</v>
      </c>
      <c r="G182" s="1">
        <v>70556697.700000003</v>
      </c>
      <c r="H182" s="1">
        <v>0</v>
      </c>
      <c r="I182" s="1">
        <v>0</v>
      </c>
      <c r="J182" s="1685">
        <v>0</v>
      </c>
      <c r="K182" s="1">
        <f t="shared" si="6"/>
        <v>0</v>
      </c>
      <c r="L182" s="1">
        <f t="shared" si="7"/>
        <v>0</v>
      </c>
      <c r="M182" s="1">
        <f t="shared" si="8"/>
        <v>0</v>
      </c>
    </row>
    <row r="183" spans="1:13">
      <c r="A183" s="3" t="s">
        <v>304</v>
      </c>
      <c r="B183" s="3" t="s">
        <v>305</v>
      </c>
      <c r="C183" s="1">
        <v>0</v>
      </c>
      <c r="D183" s="1">
        <v>0</v>
      </c>
      <c r="E183" s="1">
        <v>0</v>
      </c>
      <c r="F183" s="1">
        <v>5000000</v>
      </c>
      <c r="G183" s="1">
        <v>5000000</v>
      </c>
      <c r="H183" s="1">
        <v>0</v>
      </c>
      <c r="I183" s="1">
        <v>0</v>
      </c>
      <c r="J183" s="1685">
        <v>0</v>
      </c>
      <c r="K183" s="1">
        <f t="shared" si="6"/>
        <v>0</v>
      </c>
      <c r="L183" s="1">
        <f t="shared" si="7"/>
        <v>0</v>
      </c>
      <c r="M183" s="1">
        <f t="shared" si="8"/>
        <v>0</v>
      </c>
    </row>
    <row r="184" spans="1:13">
      <c r="A184" s="3" t="s">
        <v>3130</v>
      </c>
      <c r="B184" s="3" t="s">
        <v>305</v>
      </c>
      <c r="C184" s="1">
        <v>0</v>
      </c>
      <c r="D184" s="1">
        <v>0</v>
      </c>
      <c r="E184" s="1">
        <v>0</v>
      </c>
      <c r="F184" s="1">
        <v>1170077.24</v>
      </c>
      <c r="G184" s="1">
        <v>1170077.24</v>
      </c>
      <c r="H184" s="1">
        <v>0</v>
      </c>
      <c r="I184" s="1">
        <v>0</v>
      </c>
      <c r="J184" s="1685">
        <v>0</v>
      </c>
      <c r="K184" s="1">
        <f t="shared" si="6"/>
        <v>0</v>
      </c>
      <c r="L184" s="1">
        <f t="shared" si="7"/>
        <v>0</v>
      </c>
      <c r="M184" s="1">
        <f t="shared" si="8"/>
        <v>0</v>
      </c>
    </row>
    <row r="185" spans="1:13">
      <c r="A185" s="3" t="s">
        <v>306</v>
      </c>
      <c r="B185" s="3" t="s">
        <v>307</v>
      </c>
      <c r="C185" s="1">
        <v>0</v>
      </c>
      <c r="D185" s="1">
        <v>0</v>
      </c>
      <c r="E185" s="1">
        <v>0</v>
      </c>
      <c r="F185" s="1">
        <v>587909.43999999901</v>
      </c>
      <c r="G185" s="1">
        <v>587909.43999999901</v>
      </c>
      <c r="H185" s="1">
        <v>0</v>
      </c>
      <c r="I185" s="1">
        <v>0</v>
      </c>
      <c r="J185" s="1685">
        <v>0</v>
      </c>
      <c r="K185" s="1">
        <f t="shared" si="6"/>
        <v>0</v>
      </c>
      <c r="L185" s="1">
        <f t="shared" si="7"/>
        <v>0</v>
      </c>
      <c r="M185" s="1">
        <f t="shared" si="8"/>
        <v>0</v>
      </c>
    </row>
    <row r="186" spans="1:13">
      <c r="A186" s="3" t="s">
        <v>308</v>
      </c>
      <c r="B186" s="3" t="s">
        <v>4056</v>
      </c>
      <c r="C186" s="1">
        <v>0</v>
      </c>
      <c r="D186" s="1">
        <v>0</v>
      </c>
      <c r="E186" s="1">
        <v>0</v>
      </c>
      <c r="F186" s="1">
        <v>752.1</v>
      </c>
      <c r="G186" s="1">
        <v>752.1</v>
      </c>
      <c r="H186" s="1">
        <v>0</v>
      </c>
      <c r="I186" s="1">
        <v>0</v>
      </c>
      <c r="J186" s="1685">
        <v>0</v>
      </c>
      <c r="K186" s="1">
        <f t="shared" si="6"/>
        <v>0</v>
      </c>
      <c r="L186" s="1">
        <f t="shared" si="7"/>
        <v>0</v>
      </c>
      <c r="M186" s="1">
        <f t="shared" si="8"/>
        <v>0</v>
      </c>
    </row>
    <row r="187" spans="1:13">
      <c r="A187" s="3" t="s">
        <v>309</v>
      </c>
      <c r="B187" s="3" t="s">
        <v>310</v>
      </c>
      <c r="C187" s="1">
        <v>0</v>
      </c>
      <c r="D187" s="1">
        <v>0</v>
      </c>
      <c r="E187" s="1">
        <v>0</v>
      </c>
      <c r="F187" s="1">
        <v>13559721.0399999</v>
      </c>
      <c r="G187" s="1">
        <v>13559721.0399999</v>
      </c>
      <c r="H187" s="1">
        <v>0</v>
      </c>
      <c r="I187" s="1">
        <v>0</v>
      </c>
      <c r="J187" s="1685">
        <v>0</v>
      </c>
      <c r="K187" s="1">
        <f t="shared" si="6"/>
        <v>0</v>
      </c>
      <c r="L187" s="1">
        <f t="shared" si="7"/>
        <v>0</v>
      </c>
      <c r="M187" s="1">
        <f t="shared" si="8"/>
        <v>0</v>
      </c>
    </row>
    <row r="188" spans="1:13">
      <c r="A188" s="3" t="s">
        <v>311</v>
      </c>
      <c r="B188" s="3" t="s">
        <v>3900</v>
      </c>
      <c r="C188" s="1">
        <v>0</v>
      </c>
      <c r="D188" s="1">
        <v>0</v>
      </c>
      <c r="E188" s="1">
        <v>0</v>
      </c>
      <c r="F188" s="1">
        <v>95527.029999999897</v>
      </c>
      <c r="G188" s="1">
        <v>95527.029999999897</v>
      </c>
      <c r="H188" s="1">
        <v>0</v>
      </c>
      <c r="I188" s="1">
        <v>0</v>
      </c>
      <c r="J188" s="1685">
        <v>0</v>
      </c>
      <c r="K188" s="1">
        <f t="shared" si="6"/>
        <v>0</v>
      </c>
      <c r="L188" s="1">
        <f t="shared" si="7"/>
        <v>0</v>
      </c>
      <c r="M188" s="1">
        <f t="shared" si="8"/>
        <v>0</v>
      </c>
    </row>
    <row r="189" spans="1:13">
      <c r="A189" s="3" t="s">
        <v>312</v>
      </c>
      <c r="B189" s="3" t="s">
        <v>313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685">
        <v>0</v>
      </c>
      <c r="K189" s="1">
        <f t="shared" si="6"/>
        <v>0</v>
      </c>
      <c r="L189" s="1">
        <f t="shared" si="7"/>
        <v>0</v>
      </c>
      <c r="M189" s="1">
        <f t="shared" si="8"/>
        <v>0</v>
      </c>
    </row>
    <row r="190" spans="1:13">
      <c r="A190" s="3" t="s">
        <v>314</v>
      </c>
      <c r="B190" s="3" t="s">
        <v>315</v>
      </c>
      <c r="C190" s="1">
        <v>0</v>
      </c>
      <c r="D190" s="1">
        <v>0</v>
      </c>
      <c r="E190" s="1">
        <v>0</v>
      </c>
      <c r="F190" s="1">
        <v>1316698.48</v>
      </c>
      <c r="G190" s="1">
        <v>1316698.48</v>
      </c>
      <c r="H190" s="1">
        <v>0</v>
      </c>
      <c r="I190" s="1">
        <v>0</v>
      </c>
      <c r="J190" s="1685">
        <v>0</v>
      </c>
      <c r="K190" s="1">
        <f t="shared" si="6"/>
        <v>0</v>
      </c>
      <c r="L190" s="1">
        <f t="shared" si="7"/>
        <v>0</v>
      </c>
      <c r="M190" s="1">
        <f t="shared" si="8"/>
        <v>0</v>
      </c>
    </row>
    <row r="191" spans="1:13">
      <c r="A191" s="3" t="s">
        <v>316</v>
      </c>
      <c r="B191" s="3" t="s">
        <v>317</v>
      </c>
      <c r="C191" s="1">
        <v>0</v>
      </c>
      <c r="D191" s="1">
        <v>0</v>
      </c>
      <c r="E191" s="1">
        <v>0</v>
      </c>
      <c r="F191" s="1">
        <v>6200741.9299999904</v>
      </c>
      <c r="G191" s="1">
        <v>6200741.9299999904</v>
      </c>
      <c r="H191" s="1">
        <v>0</v>
      </c>
      <c r="I191" s="1">
        <v>0</v>
      </c>
      <c r="J191" s="1685">
        <v>0</v>
      </c>
      <c r="K191" s="1">
        <f t="shared" si="6"/>
        <v>0</v>
      </c>
      <c r="L191" s="1">
        <f t="shared" si="7"/>
        <v>0</v>
      </c>
      <c r="M191" s="1">
        <f t="shared" si="8"/>
        <v>0</v>
      </c>
    </row>
    <row r="192" spans="1:13">
      <c r="A192" s="3" t="s">
        <v>318</v>
      </c>
      <c r="B192" s="3" t="s">
        <v>319</v>
      </c>
      <c r="C192" s="1">
        <v>0</v>
      </c>
      <c r="D192" s="1">
        <v>0</v>
      </c>
      <c r="E192" s="1">
        <v>0</v>
      </c>
      <c r="F192" s="1">
        <v>1589154.6399999899</v>
      </c>
      <c r="G192" s="1">
        <v>1589154.6399999899</v>
      </c>
      <c r="H192" s="1">
        <v>0</v>
      </c>
      <c r="I192" s="1">
        <v>0</v>
      </c>
      <c r="J192" s="1685">
        <v>0</v>
      </c>
      <c r="K192" s="1">
        <f t="shared" si="6"/>
        <v>0</v>
      </c>
      <c r="L192" s="1">
        <f t="shared" si="7"/>
        <v>0</v>
      </c>
      <c r="M192" s="1">
        <f t="shared" si="8"/>
        <v>0</v>
      </c>
    </row>
    <row r="193" spans="1:13">
      <c r="A193" s="3" t="s">
        <v>320</v>
      </c>
      <c r="B193" s="3" t="s">
        <v>321</v>
      </c>
      <c r="C193" s="1">
        <v>0</v>
      </c>
      <c r="D193" s="1">
        <v>0</v>
      </c>
      <c r="E193" s="1">
        <v>0</v>
      </c>
      <c r="F193" s="1">
        <v>39583.82</v>
      </c>
      <c r="G193" s="1">
        <v>39583.82</v>
      </c>
      <c r="H193" s="1">
        <v>0</v>
      </c>
      <c r="I193" s="1">
        <v>0</v>
      </c>
      <c r="J193" s="1685">
        <v>0</v>
      </c>
      <c r="K193" s="1">
        <f t="shared" si="6"/>
        <v>0</v>
      </c>
      <c r="L193" s="1">
        <f t="shared" si="7"/>
        <v>0</v>
      </c>
      <c r="M193" s="1">
        <f t="shared" si="8"/>
        <v>0</v>
      </c>
    </row>
    <row r="194" spans="1:13">
      <c r="A194" s="3" t="s">
        <v>322</v>
      </c>
      <c r="B194" s="3" t="s">
        <v>323</v>
      </c>
      <c r="C194" s="1">
        <v>0</v>
      </c>
      <c r="D194" s="1">
        <v>0</v>
      </c>
      <c r="E194" s="1">
        <v>0</v>
      </c>
      <c r="F194" s="1">
        <v>908111.52</v>
      </c>
      <c r="G194" s="1">
        <v>908111.52</v>
      </c>
      <c r="H194" s="1">
        <v>0</v>
      </c>
      <c r="I194" s="1">
        <v>0</v>
      </c>
      <c r="J194" s="1685">
        <v>0</v>
      </c>
      <c r="K194" s="1">
        <f t="shared" si="6"/>
        <v>0</v>
      </c>
      <c r="L194" s="1">
        <f t="shared" si="7"/>
        <v>0</v>
      </c>
      <c r="M194" s="1">
        <f t="shared" si="8"/>
        <v>0</v>
      </c>
    </row>
    <row r="195" spans="1:13">
      <c r="A195" s="3" t="s">
        <v>324</v>
      </c>
      <c r="B195" s="3" t="s">
        <v>325</v>
      </c>
      <c r="C195" s="1">
        <v>0</v>
      </c>
      <c r="D195" s="1">
        <v>0</v>
      </c>
      <c r="E195" s="1">
        <v>0</v>
      </c>
      <c r="F195" s="1">
        <v>538738.88</v>
      </c>
      <c r="G195" s="1">
        <v>538738.88</v>
      </c>
      <c r="H195" s="1">
        <v>0</v>
      </c>
      <c r="I195" s="1">
        <v>0</v>
      </c>
      <c r="J195" s="1685">
        <v>0</v>
      </c>
      <c r="K195" s="1">
        <f t="shared" ref="K195:K259" si="9">J195-C195</f>
        <v>0</v>
      </c>
      <c r="L195" s="1">
        <f t="shared" ref="L195:L259" si="10">IF(C195&gt;0,C195,0)</f>
        <v>0</v>
      </c>
      <c r="M195" s="1">
        <f t="shared" ref="M195:M259" si="11">IF(C195&lt;0,C195,0)</f>
        <v>0</v>
      </c>
    </row>
    <row r="196" spans="1:13">
      <c r="A196" s="3" t="s">
        <v>326</v>
      </c>
      <c r="B196" s="3" t="s">
        <v>327</v>
      </c>
      <c r="C196" s="1">
        <v>7652.1199999999899</v>
      </c>
      <c r="D196" s="1">
        <v>0</v>
      </c>
      <c r="E196" s="1">
        <v>7652.1199999999899</v>
      </c>
      <c r="F196" s="1">
        <v>38804553.689999901</v>
      </c>
      <c r="G196" s="1">
        <v>38801940.840000004</v>
      </c>
      <c r="H196" s="1">
        <v>10264.969999999899</v>
      </c>
      <c r="I196" s="1">
        <v>0</v>
      </c>
      <c r="J196" s="1685">
        <v>10264.969999999899</v>
      </c>
      <c r="K196" s="1">
        <f t="shared" si="9"/>
        <v>2612.8499999999094</v>
      </c>
      <c r="L196" s="1">
        <f t="shared" si="10"/>
        <v>7652.1199999999899</v>
      </c>
      <c r="M196" s="1">
        <f t="shared" si="11"/>
        <v>0</v>
      </c>
    </row>
    <row r="197" spans="1:13">
      <c r="A197" s="3" t="s">
        <v>328</v>
      </c>
      <c r="B197" s="3" t="s">
        <v>329</v>
      </c>
      <c r="C197" s="1">
        <v>-7652.1199999999899</v>
      </c>
      <c r="D197" s="1">
        <v>0</v>
      </c>
      <c r="E197" s="1">
        <v>-7652.1199999999899</v>
      </c>
      <c r="F197" s="1">
        <v>4093759.77</v>
      </c>
      <c r="G197" s="1">
        <v>4096372.62</v>
      </c>
      <c r="H197" s="1">
        <v>0</v>
      </c>
      <c r="I197" s="1">
        <v>-10264.969999999899</v>
      </c>
      <c r="J197" s="1685">
        <v>-10264.969999999899</v>
      </c>
      <c r="K197" s="1">
        <f t="shared" si="9"/>
        <v>-2612.8499999999094</v>
      </c>
      <c r="L197" s="1">
        <f t="shared" si="10"/>
        <v>0</v>
      </c>
      <c r="M197" s="1">
        <f t="shared" si="11"/>
        <v>-7652.1199999999899</v>
      </c>
    </row>
    <row r="198" spans="1:13">
      <c r="A198" s="3" t="s">
        <v>330</v>
      </c>
      <c r="B198" s="3" t="s">
        <v>331</v>
      </c>
      <c r="C198" s="1">
        <v>3725.1199999999899</v>
      </c>
      <c r="D198" s="1">
        <v>0</v>
      </c>
      <c r="E198" s="1">
        <v>3725.1199999999899</v>
      </c>
      <c r="F198" s="1">
        <v>41044373.0499999</v>
      </c>
      <c r="G198" s="1">
        <v>41075241.880000003</v>
      </c>
      <c r="H198" s="1">
        <v>0</v>
      </c>
      <c r="I198" s="1">
        <v>-27143.709999999901</v>
      </c>
      <c r="J198" s="1685">
        <v>-27143.709999999901</v>
      </c>
      <c r="K198" s="1">
        <f t="shared" si="9"/>
        <v>-30868.829999999893</v>
      </c>
      <c r="L198" s="1">
        <f t="shared" si="10"/>
        <v>3725.1199999999899</v>
      </c>
      <c r="M198" s="1">
        <f t="shared" si="11"/>
        <v>0</v>
      </c>
    </row>
    <row r="199" spans="1:13">
      <c r="A199" s="3" t="s">
        <v>332</v>
      </c>
      <c r="B199" s="3" t="s">
        <v>333</v>
      </c>
      <c r="C199" s="1">
        <v>-3725.1199999999899</v>
      </c>
      <c r="D199" s="1">
        <v>0</v>
      </c>
      <c r="E199" s="1">
        <v>-3725.1199999999899</v>
      </c>
      <c r="F199" s="1">
        <v>1249979.97</v>
      </c>
      <c r="G199" s="1">
        <v>1219111.1399999899</v>
      </c>
      <c r="H199" s="1">
        <v>27143.709999999901</v>
      </c>
      <c r="I199" s="1">
        <v>0</v>
      </c>
      <c r="J199" s="1685">
        <v>27143.709999999901</v>
      </c>
      <c r="K199" s="1">
        <f t="shared" si="9"/>
        <v>30868.829999999893</v>
      </c>
      <c r="L199" s="1">
        <f t="shared" si="10"/>
        <v>0</v>
      </c>
      <c r="M199" s="1">
        <f t="shared" si="11"/>
        <v>-3725.1199999999899</v>
      </c>
    </row>
    <row r="200" spans="1:13">
      <c r="A200" s="3" t="s">
        <v>334</v>
      </c>
      <c r="B200" s="3" t="s">
        <v>335</v>
      </c>
      <c r="C200" s="1">
        <v>0</v>
      </c>
      <c r="D200" s="1">
        <v>0</v>
      </c>
      <c r="E200" s="1">
        <v>0</v>
      </c>
      <c r="F200" s="1">
        <v>1654825.36</v>
      </c>
      <c r="G200" s="1">
        <v>1654825.36</v>
      </c>
      <c r="H200" s="1">
        <v>0</v>
      </c>
      <c r="I200" s="1">
        <v>0</v>
      </c>
      <c r="J200" s="1685">
        <v>0</v>
      </c>
      <c r="K200" s="1">
        <f t="shared" si="9"/>
        <v>0</v>
      </c>
      <c r="L200" s="1">
        <f t="shared" si="10"/>
        <v>0</v>
      </c>
      <c r="M200" s="1">
        <f t="shared" si="11"/>
        <v>0</v>
      </c>
    </row>
    <row r="201" spans="1:13">
      <c r="A201" s="3" t="s">
        <v>3709</v>
      </c>
      <c r="B201" s="3" t="s">
        <v>3710</v>
      </c>
      <c r="C201" s="1">
        <v>0</v>
      </c>
      <c r="D201" s="1">
        <v>0</v>
      </c>
      <c r="E201" s="1">
        <v>0</v>
      </c>
      <c r="F201" s="1">
        <v>19136.82</v>
      </c>
      <c r="G201" s="1">
        <v>19136.82</v>
      </c>
      <c r="H201" s="1">
        <v>0</v>
      </c>
      <c r="I201" s="1">
        <v>0</v>
      </c>
      <c r="J201" s="1685">
        <v>0</v>
      </c>
      <c r="K201" s="1">
        <f t="shared" si="9"/>
        <v>0</v>
      </c>
      <c r="L201" s="1">
        <f t="shared" si="10"/>
        <v>0</v>
      </c>
      <c r="M201" s="1">
        <f t="shared" si="11"/>
        <v>0</v>
      </c>
    </row>
    <row r="202" spans="1:13">
      <c r="A202" s="3" t="s">
        <v>336</v>
      </c>
      <c r="B202" s="3" t="s">
        <v>337</v>
      </c>
      <c r="C202" s="1">
        <v>0</v>
      </c>
      <c r="D202" s="1">
        <v>0</v>
      </c>
      <c r="E202" s="1">
        <v>0</v>
      </c>
      <c r="F202" s="1">
        <v>1093278.1200000001</v>
      </c>
      <c r="G202" s="1">
        <v>1093278.1200000001</v>
      </c>
      <c r="H202" s="1">
        <v>0</v>
      </c>
      <c r="I202" s="1">
        <v>0</v>
      </c>
      <c r="J202" s="1685">
        <v>0</v>
      </c>
      <c r="K202" s="1">
        <f t="shared" si="9"/>
        <v>0</v>
      </c>
      <c r="L202" s="1">
        <f t="shared" si="10"/>
        <v>0</v>
      </c>
      <c r="M202" s="1">
        <f t="shared" si="11"/>
        <v>0</v>
      </c>
    </row>
    <row r="203" spans="1:13">
      <c r="A203" s="3" t="s">
        <v>338</v>
      </c>
      <c r="B203" s="3" t="s">
        <v>2476</v>
      </c>
      <c r="C203" s="1">
        <v>970</v>
      </c>
      <c r="D203" s="1">
        <v>0</v>
      </c>
      <c r="E203" s="1">
        <v>970</v>
      </c>
      <c r="F203" s="1">
        <v>970</v>
      </c>
      <c r="G203" s="1">
        <v>1940</v>
      </c>
      <c r="H203" s="1">
        <v>0</v>
      </c>
      <c r="I203" s="1">
        <v>0</v>
      </c>
      <c r="J203" s="1685">
        <v>0</v>
      </c>
      <c r="K203" s="1">
        <f t="shared" si="9"/>
        <v>-970</v>
      </c>
      <c r="L203" s="1">
        <f t="shared" si="10"/>
        <v>970</v>
      </c>
      <c r="M203" s="1">
        <f t="shared" si="11"/>
        <v>0</v>
      </c>
    </row>
    <row r="204" spans="1:13">
      <c r="A204" s="3" t="s">
        <v>339</v>
      </c>
      <c r="B204" s="3" t="s">
        <v>340</v>
      </c>
      <c r="C204" s="1">
        <v>0</v>
      </c>
      <c r="D204" s="1">
        <v>0</v>
      </c>
      <c r="E204" s="1">
        <v>0</v>
      </c>
      <c r="F204" s="1">
        <v>6522.26</v>
      </c>
      <c r="G204" s="1">
        <v>6522.26</v>
      </c>
      <c r="H204" s="1">
        <v>0</v>
      </c>
      <c r="I204" s="1">
        <v>0</v>
      </c>
      <c r="J204" s="1685">
        <v>0</v>
      </c>
      <c r="K204" s="1">
        <f t="shared" si="9"/>
        <v>0</v>
      </c>
      <c r="L204" s="1">
        <f t="shared" si="10"/>
        <v>0</v>
      </c>
      <c r="M204" s="1">
        <f t="shared" si="11"/>
        <v>0</v>
      </c>
    </row>
    <row r="205" spans="1:13">
      <c r="A205" s="3" t="s">
        <v>341</v>
      </c>
      <c r="B205" s="3" t="s">
        <v>342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685">
        <v>0</v>
      </c>
      <c r="K205" s="1">
        <f t="shared" si="9"/>
        <v>0</v>
      </c>
      <c r="L205" s="1">
        <f t="shared" si="10"/>
        <v>0</v>
      </c>
      <c r="M205" s="1">
        <f t="shared" si="11"/>
        <v>0</v>
      </c>
    </row>
    <row r="206" spans="1:13">
      <c r="A206" s="3" t="s">
        <v>343</v>
      </c>
      <c r="B206" s="3" t="s">
        <v>344</v>
      </c>
      <c r="C206" s="1">
        <v>0</v>
      </c>
      <c r="D206" s="1">
        <v>0</v>
      </c>
      <c r="E206" s="1">
        <v>0</v>
      </c>
      <c r="F206" s="1">
        <v>187900</v>
      </c>
      <c r="G206" s="1">
        <v>187900</v>
      </c>
      <c r="H206" s="1">
        <v>0</v>
      </c>
      <c r="I206" s="1">
        <v>0</v>
      </c>
      <c r="J206" s="1685">
        <v>0</v>
      </c>
      <c r="K206" s="1">
        <f t="shared" si="9"/>
        <v>0</v>
      </c>
      <c r="L206" s="1">
        <f t="shared" si="10"/>
        <v>0</v>
      </c>
      <c r="M206" s="1">
        <f t="shared" si="11"/>
        <v>0</v>
      </c>
    </row>
    <row r="207" spans="1:13">
      <c r="A207" s="3" t="s">
        <v>345</v>
      </c>
      <c r="B207" s="3" t="s">
        <v>346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685">
        <v>0</v>
      </c>
      <c r="K207" s="1">
        <f t="shared" si="9"/>
        <v>0</v>
      </c>
      <c r="L207" s="1">
        <f t="shared" si="10"/>
        <v>0</v>
      </c>
      <c r="M207" s="1">
        <f t="shared" si="11"/>
        <v>0</v>
      </c>
    </row>
    <row r="208" spans="1:13">
      <c r="A208" s="3" t="s">
        <v>347</v>
      </c>
      <c r="B208" s="3" t="s">
        <v>348</v>
      </c>
      <c r="C208" s="1">
        <v>0</v>
      </c>
      <c r="D208" s="1">
        <v>0</v>
      </c>
      <c r="E208" s="1">
        <v>0</v>
      </c>
      <c r="F208" s="1">
        <v>25050.7599999999</v>
      </c>
      <c r="G208" s="1">
        <v>25050.7599999999</v>
      </c>
      <c r="H208" s="1">
        <v>0</v>
      </c>
      <c r="I208" s="1">
        <v>0</v>
      </c>
      <c r="J208" s="1685">
        <v>0</v>
      </c>
      <c r="K208" s="1">
        <f t="shared" si="9"/>
        <v>0</v>
      </c>
      <c r="L208" s="1">
        <f t="shared" si="10"/>
        <v>0</v>
      </c>
      <c r="M208" s="1">
        <f t="shared" si="11"/>
        <v>0</v>
      </c>
    </row>
    <row r="209" spans="1:13">
      <c r="A209" s="3" t="s">
        <v>349</v>
      </c>
      <c r="B209" s="3" t="s">
        <v>350</v>
      </c>
      <c r="C209" s="1">
        <v>9283555.7400000002</v>
      </c>
      <c r="D209" s="1">
        <v>0</v>
      </c>
      <c r="E209" s="1">
        <v>9283555.7400000002</v>
      </c>
      <c r="F209" s="1">
        <v>1643692.9299999899</v>
      </c>
      <c r="G209" s="1">
        <v>1642887.28</v>
      </c>
      <c r="H209" s="1">
        <v>9284361.3900000006</v>
      </c>
      <c r="I209" s="1">
        <v>0</v>
      </c>
      <c r="J209" s="1685">
        <v>9284361.3900000006</v>
      </c>
      <c r="K209" s="1">
        <f t="shared" si="9"/>
        <v>805.65000000037253</v>
      </c>
      <c r="L209" s="1">
        <f t="shared" si="10"/>
        <v>9283555.7400000002</v>
      </c>
      <c r="M209" s="1">
        <f t="shared" si="11"/>
        <v>0</v>
      </c>
    </row>
    <row r="210" spans="1:13">
      <c r="A210" s="3" t="s">
        <v>351</v>
      </c>
      <c r="B210" s="3" t="s">
        <v>352</v>
      </c>
      <c r="C210" s="1">
        <v>3097152.93</v>
      </c>
      <c r="D210" s="1">
        <v>0</v>
      </c>
      <c r="E210" s="1">
        <v>3097152.93</v>
      </c>
      <c r="F210" s="1">
        <v>8541249.4399999902</v>
      </c>
      <c r="G210" s="1">
        <v>8928059.52999999</v>
      </c>
      <c r="H210" s="1">
        <v>2710342.8399999901</v>
      </c>
      <c r="I210" s="1">
        <v>0</v>
      </c>
      <c r="J210" s="1685">
        <v>2710342.8399999901</v>
      </c>
      <c r="K210" s="1">
        <f t="shared" si="9"/>
        <v>-386810.0900000101</v>
      </c>
      <c r="L210" s="1">
        <f t="shared" si="10"/>
        <v>3097152.93</v>
      </c>
      <c r="M210" s="1">
        <f t="shared" si="11"/>
        <v>0</v>
      </c>
    </row>
    <row r="211" spans="1:13">
      <c r="A211" s="3" t="s">
        <v>353</v>
      </c>
      <c r="B211" s="3" t="s">
        <v>354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685">
        <v>0</v>
      </c>
      <c r="K211" s="1">
        <f t="shared" si="9"/>
        <v>0</v>
      </c>
      <c r="L211" s="1">
        <f t="shared" si="10"/>
        <v>0</v>
      </c>
      <c r="M211" s="1">
        <f t="shared" si="11"/>
        <v>0</v>
      </c>
    </row>
    <row r="212" spans="1:13">
      <c r="A212" s="3" t="s">
        <v>355</v>
      </c>
      <c r="B212" s="3" t="s">
        <v>356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685">
        <v>0</v>
      </c>
      <c r="K212" s="1">
        <f t="shared" si="9"/>
        <v>0</v>
      </c>
      <c r="L212" s="1">
        <f t="shared" si="10"/>
        <v>0</v>
      </c>
      <c r="M212" s="1">
        <f t="shared" si="11"/>
        <v>0</v>
      </c>
    </row>
    <row r="213" spans="1:13">
      <c r="A213" s="3" t="s">
        <v>357</v>
      </c>
      <c r="B213" s="3" t="s">
        <v>358</v>
      </c>
      <c r="C213" s="1">
        <v>-1267309</v>
      </c>
      <c r="D213" s="1">
        <v>0</v>
      </c>
      <c r="E213" s="1">
        <v>-1267309</v>
      </c>
      <c r="F213" s="1">
        <v>351508.41999999899</v>
      </c>
      <c r="G213" s="1">
        <v>59515.11</v>
      </c>
      <c r="H213" s="1">
        <v>0</v>
      </c>
      <c r="I213" s="1">
        <v>-975315.68999999901</v>
      </c>
      <c r="J213" s="1685">
        <v>-975315.68999999901</v>
      </c>
      <c r="K213" s="1">
        <f t="shared" si="9"/>
        <v>291993.31000000099</v>
      </c>
      <c r="L213" s="1">
        <f t="shared" si="10"/>
        <v>0</v>
      </c>
      <c r="M213" s="1">
        <f t="shared" si="11"/>
        <v>-1267309</v>
      </c>
    </row>
    <row r="214" spans="1:13">
      <c r="A214" s="3" t="s">
        <v>359</v>
      </c>
      <c r="B214" s="3" t="s">
        <v>360</v>
      </c>
      <c r="C214" s="1">
        <v>0</v>
      </c>
      <c r="D214" s="1">
        <v>0</v>
      </c>
      <c r="E214" s="1">
        <v>0</v>
      </c>
      <c r="F214" s="1">
        <v>6926.25</v>
      </c>
      <c r="G214" s="1">
        <v>7066.7399999999898</v>
      </c>
      <c r="H214" s="1">
        <v>0</v>
      </c>
      <c r="I214" s="1">
        <v>-140.49</v>
      </c>
      <c r="J214" s="1685">
        <v>-140.49</v>
      </c>
      <c r="K214" s="1">
        <f t="shared" si="9"/>
        <v>-140.49</v>
      </c>
      <c r="L214" s="1">
        <f t="shared" si="10"/>
        <v>0</v>
      </c>
      <c r="M214" s="1">
        <f t="shared" si="11"/>
        <v>0</v>
      </c>
    </row>
    <row r="215" spans="1:13">
      <c r="A215" s="3" t="s">
        <v>361</v>
      </c>
      <c r="B215" s="3" t="s">
        <v>362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685">
        <v>0</v>
      </c>
      <c r="K215" s="1">
        <f t="shared" si="9"/>
        <v>0</v>
      </c>
      <c r="L215" s="1">
        <f t="shared" si="10"/>
        <v>0</v>
      </c>
      <c r="M215" s="1">
        <f t="shared" si="11"/>
        <v>0</v>
      </c>
    </row>
    <row r="216" spans="1:13">
      <c r="A216" s="3" t="s">
        <v>363</v>
      </c>
      <c r="B216" s="3" t="s">
        <v>3901</v>
      </c>
      <c r="C216" s="1">
        <v>0</v>
      </c>
      <c r="D216" s="1">
        <v>0</v>
      </c>
      <c r="E216" s="1">
        <v>0</v>
      </c>
      <c r="F216" s="1">
        <v>11170.52</v>
      </c>
      <c r="G216" s="1">
        <v>11170.52</v>
      </c>
      <c r="H216" s="1">
        <v>0</v>
      </c>
      <c r="I216" s="1">
        <v>0</v>
      </c>
      <c r="J216" s="1685">
        <v>0</v>
      </c>
      <c r="K216" s="1">
        <f t="shared" si="9"/>
        <v>0</v>
      </c>
      <c r="L216" s="1">
        <f t="shared" si="10"/>
        <v>0</v>
      </c>
      <c r="M216" s="1">
        <f t="shared" si="11"/>
        <v>0</v>
      </c>
    </row>
    <row r="217" spans="1:13">
      <c r="A217" s="3" t="s">
        <v>364</v>
      </c>
      <c r="B217" s="3" t="s">
        <v>365</v>
      </c>
      <c r="C217" s="1">
        <v>7652.1199999999899</v>
      </c>
      <c r="D217" s="1">
        <v>0</v>
      </c>
      <c r="E217" s="1">
        <v>7652.1199999999899</v>
      </c>
      <c r="F217" s="1">
        <v>130452.42</v>
      </c>
      <c r="G217" s="1">
        <v>114754.789999999</v>
      </c>
      <c r="H217" s="1">
        <v>23349.75</v>
      </c>
      <c r="I217" s="1">
        <v>0</v>
      </c>
      <c r="J217" s="1685">
        <v>23349.75</v>
      </c>
      <c r="K217" s="1">
        <f t="shared" si="9"/>
        <v>15697.63000000001</v>
      </c>
      <c r="L217" s="1">
        <f t="shared" si="10"/>
        <v>7652.1199999999899</v>
      </c>
      <c r="M217" s="1">
        <f t="shared" si="11"/>
        <v>0</v>
      </c>
    </row>
    <row r="218" spans="1:13">
      <c r="A218" s="3" t="s">
        <v>366</v>
      </c>
      <c r="B218" s="3" t="s">
        <v>3338</v>
      </c>
      <c r="C218" s="1">
        <v>9995.1200000000008</v>
      </c>
      <c r="D218" s="1">
        <v>0</v>
      </c>
      <c r="E218" s="1">
        <v>9995.1200000000008</v>
      </c>
      <c r="F218" s="1">
        <v>117145.039999999</v>
      </c>
      <c r="G218" s="1">
        <v>126545.87</v>
      </c>
      <c r="H218" s="1">
        <v>594.28999999999905</v>
      </c>
      <c r="I218" s="1">
        <v>0</v>
      </c>
      <c r="J218" s="1685">
        <v>594.28999999999905</v>
      </c>
      <c r="K218" s="1">
        <f t="shared" si="9"/>
        <v>-9400.8300000000017</v>
      </c>
      <c r="L218" s="1">
        <f t="shared" si="10"/>
        <v>9995.1200000000008</v>
      </c>
      <c r="M218" s="1">
        <f t="shared" si="11"/>
        <v>0</v>
      </c>
    </row>
    <row r="219" spans="1:13">
      <c r="A219" s="3" t="s">
        <v>3711</v>
      </c>
      <c r="B219" s="3" t="s">
        <v>3712</v>
      </c>
      <c r="C219" s="1">
        <v>0</v>
      </c>
      <c r="D219" s="1">
        <v>0</v>
      </c>
      <c r="E219" s="1">
        <v>0</v>
      </c>
      <c r="F219" s="1">
        <v>10536.82</v>
      </c>
      <c r="G219" s="1">
        <v>10536.82</v>
      </c>
      <c r="H219" s="1">
        <v>0</v>
      </c>
      <c r="I219" s="1">
        <v>0</v>
      </c>
      <c r="J219" s="1685">
        <v>0</v>
      </c>
      <c r="K219" s="1">
        <f t="shared" si="9"/>
        <v>0</v>
      </c>
      <c r="L219" s="1">
        <f t="shared" si="10"/>
        <v>0</v>
      </c>
      <c r="M219" s="1">
        <f t="shared" si="11"/>
        <v>0</v>
      </c>
    </row>
    <row r="220" spans="1:13">
      <c r="A220" s="3" t="s">
        <v>367</v>
      </c>
      <c r="B220" s="3" t="s">
        <v>4057</v>
      </c>
      <c r="C220" s="1">
        <v>0</v>
      </c>
      <c r="D220" s="1">
        <v>0</v>
      </c>
      <c r="E220" s="1">
        <v>0</v>
      </c>
      <c r="F220" s="1">
        <v>752.1</v>
      </c>
      <c r="G220" s="1">
        <v>752.1</v>
      </c>
      <c r="H220" s="1">
        <v>0</v>
      </c>
      <c r="I220" s="1">
        <v>0</v>
      </c>
      <c r="J220" s="1685">
        <v>0</v>
      </c>
      <c r="K220" s="1">
        <f t="shared" si="9"/>
        <v>0</v>
      </c>
      <c r="L220" s="1">
        <f t="shared" si="10"/>
        <v>0</v>
      </c>
      <c r="M220" s="1">
        <f t="shared" si="11"/>
        <v>0</v>
      </c>
    </row>
    <row r="221" spans="1:13">
      <c r="A221" s="3" t="s">
        <v>368</v>
      </c>
      <c r="B221" s="3" t="s">
        <v>3910</v>
      </c>
      <c r="C221" s="1">
        <v>0</v>
      </c>
      <c r="D221" s="1">
        <v>0</v>
      </c>
      <c r="E221" s="1">
        <v>0</v>
      </c>
      <c r="F221" s="1">
        <v>84356.509999999893</v>
      </c>
      <c r="G221" s="1">
        <v>84356.509999999893</v>
      </c>
      <c r="H221" s="1">
        <v>0</v>
      </c>
      <c r="I221" s="1">
        <v>0</v>
      </c>
      <c r="J221" s="1685">
        <v>0</v>
      </c>
      <c r="K221" s="1">
        <f t="shared" si="9"/>
        <v>0</v>
      </c>
      <c r="L221" s="1">
        <f t="shared" si="10"/>
        <v>0</v>
      </c>
      <c r="M221" s="1">
        <f t="shared" si="11"/>
        <v>0</v>
      </c>
    </row>
    <row r="222" spans="1:13">
      <c r="A222" s="3" t="s">
        <v>369</v>
      </c>
      <c r="B222" s="3" t="s">
        <v>3902</v>
      </c>
      <c r="C222" s="1">
        <v>0</v>
      </c>
      <c r="D222" s="1">
        <v>0</v>
      </c>
      <c r="E222" s="1">
        <v>0</v>
      </c>
      <c r="F222" s="1">
        <v>3965920.2</v>
      </c>
      <c r="G222" s="1">
        <v>3979004.98</v>
      </c>
      <c r="H222" s="1">
        <v>0</v>
      </c>
      <c r="I222" s="1">
        <v>-13084.78</v>
      </c>
      <c r="J222" s="1685">
        <v>-13084.78</v>
      </c>
      <c r="K222" s="1">
        <f t="shared" si="9"/>
        <v>-13084.78</v>
      </c>
      <c r="L222" s="1">
        <f t="shared" si="10"/>
        <v>0</v>
      </c>
      <c r="M222" s="1">
        <f t="shared" si="11"/>
        <v>0</v>
      </c>
    </row>
    <row r="223" spans="1:13">
      <c r="A223" s="3" t="s">
        <v>370</v>
      </c>
      <c r="B223" s="3" t="s">
        <v>371</v>
      </c>
      <c r="C223" s="1">
        <v>-6270</v>
      </c>
      <c r="D223" s="1">
        <v>0</v>
      </c>
      <c r="E223" s="1">
        <v>-6270</v>
      </c>
      <c r="F223" s="1">
        <v>1101966.1000000001</v>
      </c>
      <c r="G223" s="1">
        <v>1123434.1000000001</v>
      </c>
      <c r="H223" s="1">
        <v>0</v>
      </c>
      <c r="I223" s="1">
        <v>-27738</v>
      </c>
      <c r="J223" s="1685">
        <v>-27738</v>
      </c>
      <c r="K223" s="1">
        <f t="shared" si="9"/>
        <v>-21468</v>
      </c>
      <c r="L223" s="1">
        <f t="shared" si="10"/>
        <v>0</v>
      </c>
      <c r="M223" s="1">
        <f t="shared" si="11"/>
        <v>-6270</v>
      </c>
    </row>
    <row r="224" spans="1:13">
      <c r="A224" s="3" t="s">
        <v>3713</v>
      </c>
      <c r="B224" s="3" t="s">
        <v>3714</v>
      </c>
      <c r="C224" s="1">
        <v>0</v>
      </c>
      <c r="D224" s="1">
        <v>0</v>
      </c>
      <c r="E224" s="1">
        <v>0</v>
      </c>
      <c r="F224" s="1">
        <v>8600</v>
      </c>
      <c r="G224" s="1">
        <v>8600</v>
      </c>
      <c r="H224" s="1">
        <v>0</v>
      </c>
      <c r="I224" s="1">
        <v>0</v>
      </c>
      <c r="J224" s="1685">
        <v>0</v>
      </c>
      <c r="K224" s="1">
        <f t="shared" si="9"/>
        <v>0</v>
      </c>
      <c r="L224" s="1">
        <f t="shared" si="10"/>
        <v>0</v>
      </c>
      <c r="M224" s="1">
        <f t="shared" si="11"/>
        <v>0</v>
      </c>
    </row>
    <row r="225" spans="1:13">
      <c r="A225" s="3" t="s">
        <v>372</v>
      </c>
      <c r="B225" s="3" t="s">
        <v>373</v>
      </c>
      <c r="C225" s="1">
        <v>0</v>
      </c>
      <c r="D225" s="1">
        <v>0</v>
      </c>
      <c r="E225" s="1">
        <v>0</v>
      </c>
      <c r="F225" s="1">
        <v>1863669.71</v>
      </c>
      <c r="G225" s="1">
        <v>2.98</v>
      </c>
      <c r="H225" s="1">
        <v>1863666.73</v>
      </c>
      <c r="I225" s="1">
        <v>0</v>
      </c>
      <c r="J225" s="1685">
        <v>1863666.73</v>
      </c>
      <c r="K225" s="1">
        <f t="shared" si="9"/>
        <v>1863666.73</v>
      </c>
      <c r="L225" s="1">
        <f t="shared" si="10"/>
        <v>0</v>
      </c>
      <c r="M225" s="1">
        <f t="shared" si="11"/>
        <v>0</v>
      </c>
    </row>
    <row r="226" spans="1:13">
      <c r="A226" s="3" t="s">
        <v>374</v>
      </c>
      <c r="B226" s="3" t="s">
        <v>375</v>
      </c>
      <c r="C226" s="1">
        <v>0</v>
      </c>
      <c r="D226" s="1">
        <v>0</v>
      </c>
      <c r="E226" s="1">
        <v>0</v>
      </c>
      <c r="F226" s="1">
        <v>305701.52</v>
      </c>
      <c r="G226" s="1">
        <v>0</v>
      </c>
      <c r="H226" s="1">
        <v>305701.52</v>
      </c>
      <c r="I226" s="1">
        <v>0</v>
      </c>
      <c r="J226" s="1685">
        <v>305701.52</v>
      </c>
      <c r="K226" s="1">
        <f t="shared" si="9"/>
        <v>305701.52</v>
      </c>
      <c r="L226" s="1">
        <f t="shared" si="10"/>
        <v>0</v>
      </c>
      <c r="M226" s="1">
        <f t="shared" si="11"/>
        <v>0</v>
      </c>
    </row>
    <row r="227" spans="1:13">
      <c r="A227" s="3" t="s">
        <v>376</v>
      </c>
      <c r="B227" s="3" t="s">
        <v>377</v>
      </c>
      <c r="C227" s="1">
        <v>0</v>
      </c>
      <c r="D227" s="1">
        <v>0</v>
      </c>
      <c r="E227" s="1">
        <v>0</v>
      </c>
      <c r="F227" s="1">
        <v>16080.92</v>
      </c>
      <c r="G227" s="1">
        <v>0</v>
      </c>
      <c r="H227" s="1">
        <v>16080.92</v>
      </c>
      <c r="I227" s="1">
        <v>0</v>
      </c>
      <c r="J227" s="1685">
        <v>16080.92</v>
      </c>
      <c r="K227" s="1">
        <f t="shared" si="9"/>
        <v>16080.92</v>
      </c>
      <c r="L227" s="1">
        <f t="shared" si="10"/>
        <v>0</v>
      </c>
      <c r="M227" s="1">
        <f t="shared" si="11"/>
        <v>0</v>
      </c>
    </row>
    <row r="228" spans="1:13">
      <c r="A228" s="3" t="s">
        <v>378</v>
      </c>
      <c r="B228" s="3" t="s">
        <v>379</v>
      </c>
      <c r="C228" s="1">
        <v>0</v>
      </c>
      <c r="D228" s="1">
        <v>0</v>
      </c>
      <c r="E228" s="1">
        <v>0</v>
      </c>
      <c r="F228" s="1">
        <v>2679.17</v>
      </c>
      <c r="G228" s="1">
        <v>0</v>
      </c>
      <c r="H228" s="1">
        <v>2679.17</v>
      </c>
      <c r="I228" s="1">
        <v>0</v>
      </c>
      <c r="J228" s="1685">
        <v>2679.17</v>
      </c>
      <c r="K228" s="1">
        <f t="shared" si="9"/>
        <v>2679.17</v>
      </c>
      <c r="L228" s="1">
        <f t="shared" si="10"/>
        <v>0</v>
      </c>
      <c r="M228" s="1">
        <f t="shared" si="11"/>
        <v>0</v>
      </c>
    </row>
    <row r="229" spans="1:13">
      <c r="A229" s="3" t="s">
        <v>2344</v>
      </c>
      <c r="B229" s="3" t="s">
        <v>2345</v>
      </c>
      <c r="C229" s="1">
        <v>0</v>
      </c>
      <c r="D229" s="1">
        <v>0</v>
      </c>
      <c r="E229" s="1">
        <v>0</v>
      </c>
      <c r="F229" s="1">
        <v>7690.81</v>
      </c>
      <c r="G229" s="1">
        <v>0</v>
      </c>
      <c r="H229" s="1">
        <v>7690.81</v>
      </c>
      <c r="I229" s="1">
        <v>0</v>
      </c>
      <c r="J229" s="1685">
        <v>7690.81</v>
      </c>
      <c r="K229" s="1">
        <f t="shared" si="9"/>
        <v>7690.81</v>
      </c>
      <c r="L229" s="1">
        <f t="shared" si="10"/>
        <v>0</v>
      </c>
      <c r="M229" s="1">
        <f t="shared" si="11"/>
        <v>0</v>
      </c>
    </row>
    <row r="230" spans="1:13">
      <c r="A230" s="3" t="s">
        <v>382</v>
      </c>
      <c r="B230" s="3" t="s">
        <v>383</v>
      </c>
      <c r="C230" s="1">
        <v>0</v>
      </c>
      <c r="D230" s="1">
        <v>0</v>
      </c>
      <c r="E230" s="1">
        <v>0</v>
      </c>
      <c r="F230" s="1">
        <v>1501.97</v>
      </c>
      <c r="G230" s="1">
        <v>0</v>
      </c>
      <c r="H230" s="1">
        <v>1501.97</v>
      </c>
      <c r="I230" s="1">
        <v>0</v>
      </c>
      <c r="J230" s="1685">
        <v>1501.97</v>
      </c>
      <c r="K230" s="1">
        <f t="shared" si="9"/>
        <v>1501.97</v>
      </c>
      <c r="L230" s="1">
        <f t="shared" si="10"/>
        <v>0</v>
      </c>
      <c r="M230" s="1">
        <f t="shared" si="11"/>
        <v>0</v>
      </c>
    </row>
    <row r="231" spans="1:13">
      <c r="A231" s="3" t="s">
        <v>384</v>
      </c>
      <c r="B231" s="3" t="s">
        <v>385</v>
      </c>
      <c r="C231" s="1">
        <v>0</v>
      </c>
      <c r="D231" s="1">
        <v>0</v>
      </c>
      <c r="E231" s="1">
        <v>0</v>
      </c>
      <c r="F231" s="1">
        <v>1711448.6399999899</v>
      </c>
      <c r="G231" s="1">
        <v>14097.44</v>
      </c>
      <c r="H231" s="1">
        <v>1697351.2</v>
      </c>
      <c r="I231" s="1">
        <v>0</v>
      </c>
      <c r="J231" s="1685">
        <v>1697351.2</v>
      </c>
      <c r="K231" s="1">
        <f t="shared" si="9"/>
        <v>1697351.2</v>
      </c>
      <c r="L231" s="1">
        <f t="shared" si="10"/>
        <v>0</v>
      </c>
      <c r="M231" s="1">
        <f t="shared" si="11"/>
        <v>0</v>
      </c>
    </row>
    <row r="232" spans="1:13">
      <c r="A232" s="3" t="s">
        <v>386</v>
      </c>
      <c r="B232" s="3" t="s">
        <v>387</v>
      </c>
      <c r="C232" s="1">
        <v>0</v>
      </c>
      <c r="D232" s="1">
        <v>0</v>
      </c>
      <c r="E232" s="1">
        <v>0</v>
      </c>
      <c r="F232" s="1">
        <v>1976616.52</v>
      </c>
      <c r="G232" s="1">
        <v>75500.97</v>
      </c>
      <c r="H232" s="1">
        <v>1901115.55</v>
      </c>
      <c r="I232" s="1">
        <v>0</v>
      </c>
      <c r="J232" s="1685">
        <v>1901115.55</v>
      </c>
      <c r="K232" s="1">
        <f t="shared" si="9"/>
        <v>1901115.55</v>
      </c>
      <c r="L232" s="1">
        <f t="shared" si="10"/>
        <v>0</v>
      </c>
      <c r="M232" s="1">
        <f t="shared" si="11"/>
        <v>0</v>
      </c>
    </row>
    <row r="233" spans="1:13">
      <c r="A233" s="3" t="s">
        <v>388</v>
      </c>
      <c r="B233" s="3" t="s">
        <v>389</v>
      </c>
      <c r="C233" s="1">
        <v>0</v>
      </c>
      <c r="D233" s="1">
        <v>0</v>
      </c>
      <c r="E233" s="1">
        <v>0</v>
      </c>
      <c r="F233" s="1">
        <v>1810853.57</v>
      </c>
      <c r="G233" s="1">
        <v>564005.15</v>
      </c>
      <c r="H233" s="1">
        <v>1246848.4199999899</v>
      </c>
      <c r="I233" s="1">
        <v>0</v>
      </c>
      <c r="J233" s="1685">
        <v>1246848.4199999899</v>
      </c>
      <c r="K233" s="1">
        <f t="shared" si="9"/>
        <v>1246848.4199999899</v>
      </c>
      <c r="L233" s="1">
        <f t="shared" si="10"/>
        <v>0</v>
      </c>
      <c r="M233" s="1">
        <f t="shared" si="11"/>
        <v>0</v>
      </c>
    </row>
    <row r="234" spans="1:13">
      <c r="A234" s="3" t="s">
        <v>390</v>
      </c>
      <c r="B234" s="3" t="s">
        <v>391</v>
      </c>
      <c r="C234" s="1">
        <v>0</v>
      </c>
      <c r="D234" s="1">
        <v>0</v>
      </c>
      <c r="E234" s="1">
        <v>0</v>
      </c>
      <c r="F234" s="1">
        <v>10897618.439999901</v>
      </c>
      <c r="G234" s="1">
        <v>9423.4500000000007</v>
      </c>
      <c r="H234" s="1">
        <v>10888194.99</v>
      </c>
      <c r="I234" s="1">
        <v>0</v>
      </c>
      <c r="J234" s="1685">
        <v>10888194.99</v>
      </c>
      <c r="K234" s="1">
        <f t="shared" si="9"/>
        <v>10888194.99</v>
      </c>
      <c r="L234" s="1">
        <f t="shared" si="10"/>
        <v>0</v>
      </c>
      <c r="M234" s="1">
        <f t="shared" si="11"/>
        <v>0</v>
      </c>
    </row>
    <row r="235" spans="1:13">
      <c r="A235" s="3" t="s">
        <v>393</v>
      </c>
      <c r="B235" s="3" t="s">
        <v>394</v>
      </c>
      <c r="C235" s="1">
        <v>0</v>
      </c>
      <c r="D235" s="1">
        <v>0</v>
      </c>
      <c r="E235" s="1">
        <v>0</v>
      </c>
      <c r="F235" s="1">
        <v>498668.82</v>
      </c>
      <c r="G235" s="1">
        <v>7900.3999999999896</v>
      </c>
      <c r="H235" s="1">
        <v>490768.41999999899</v>
      </c>
      <c r="I235" s="1">
        <v>0</v>
      </c>
      <c r="J235" s="1685">
        <v>490768.41999999899</v>
      </c>
      <c r="K235" s="1">
        <f t="shared" si="9"/>
        <v>490768.41999999899</v>
      </c>
      <c r="L235" s="1">
        <f t="shared" si="10"/>
        <v>0</v>
      </c>
      <c r="M235" s="1">
        <f t="shared" si="11"/>
        <v>0</v>
      </c>
    </row>
    <row r="236" spans="1:13">
      <c r="A236" s="3" t="s">
        <v>395</v>
      </c>
      <c r="B236" s="3" t="s">
        <v>396</v>
      </c>
      <c r="C236" s="1">
        <v>0</v>
      </c>
      <c r="D236" s="1">
        <v>0</v>
      </c>
      <c r="E236" s="1">
        <v>0</v>
      </c>
      <c r="F236" s="1">
        <v>199425.13</v>
      </c>
      <c r="G236" s="1">
        <v>0</v>
      </c>
      <c r="H236" s="1">
        <v>199425.13</v>
      </c>
      <c r="I236" s="1">
        <v>0</v>
      </c>
      <c r="J236" s="1685">
        <v>199425.13</v>
      </c>
      <c r="K236" s="1">
        <f t="shared" si="9"/>
        <v>199425.13</v>
      </c>
      <c r="L236" s="1">
        <f t="shared" si="10"/>
        <v>0</v>
      </c>
      <c r="M236" s="1">
        <f t="shared" si="11"/>
        <v>0</v>
      </c>
    </row>
    <row r="237" spans="1:13">
      <c r="A237" s="3" t="s">
        <v>397</v>
      </c>
      <c r="B237" s="3" t="s">
        <v>398</v>
      </c>
      <c r="C237" s="1">
        <v>0</v>
      </c>
      <c r="D237" s="1">
        <v>0</v>
      </c>
      <c r="E237" s="1">
        <v>0</v>
      </c>
      <c r="F237" s="1">
        <v>187911.709999999</v>
      </c>
      <c r="G237" s="1">
        <v>44.579999999999899</v>
      </c>
      <c r="H237" s="1">
        <v>187867.13</v>
      </c>
      <c r="I237" s="1">
        <v>0</v>
      </c>
      <c r="J237" s="1685">
        <v>187867.13</v>
      </c>
      <c r="K237" s="1">
        <f t="shared" si="9"/>
        <v>187867.13</v>
      </c>
      <c r="L237" s="1">
        <f t="shared" si="10"/>
        <v>0</v>
      </c>
      <c r="M237" s="1">
        <f t="shared" si="11"/>
        <v>0</v>
      </c>
    </row>
    <row r="238" spans="1:13">
      <c r="A238" s="3" t="s">
        <v>399</v>
      </c>
      <c r="B238" s="3" t="s">
        <v>400</v>
      </c>
      <c r="C238" s="1">
        <v>0</v>
      </c>
      <c r="D238" s="1">
        <v>0</v>
      </c>
      <c r="E238" s="1">
        <v>0</v>
      </c>
      <c r="F238" s="1">
        <v>162607.59</v>
      </c>
      <c r="G238" s="1">
        <v>7143.3999999999896</v>
      </c>
      <c r="H238" s="1">
        <v>155464.19</v>
      </c>
      <c r="I238" s="1">
        <v>0</v>
      </c>
      <c r="J238" s="1685">
        <v>155464.19</v>
      </c>
      <c r="K238" s="1">
        <f t="shared" si="9"/>
        <v>155464.19</v>
      </c>
      <c r="L238" s="1">
        <f t="shared" si="10"/>
        <v>0</v>
      </c>
      <c r="M238" s="1">
        <f t="shared" si="11"/>
        <v>0</v>
      </c>
    </row>
    <row r="239" spans="1:13">
      <c r="A239" s="3" t="s">
        <v>401</v>
      </c>
      <c r="B239" s="3" t="s">
        <v>400</v>
      </c>
      <c r="C239" s="1">
        <v>0</v>
      </c>
      <c r="D239" s="1">
        <v>0</v>
      </c>
      <c r="E239" s="1">
        <v>0</v>
      </c>
      <c r="F239" s="1">
        <v>559.91999999999905</v>
      </c>
      <c r="G239" s="1">
        <v>0</v>
      </c>
      <c r="H239" s="1">
        <v>559.91999999999905</v>
      </c>
      <c r="I239" s="1">
        <v>0</v>
      </c>
      <c r="J239" s="1685">
        <v>559.91999999999905</v>
      </c>
      <c r="K239" s="1">
        <f t="shared" si="9"/>
        <v>559.91999999999905</v>
      </c>
      <c r="L239" s="1">
        <f t="shared" si="10"/>
        <v>0</v>
      </c>
      <c r="M239" s="1">
        <f t="shared" si="11"/>
        <v>0</v>
      </c>
    </row>
    <row r="240" spans="1:13">
      <c r="A240" s="3" t="s">
        <v>402</v>
      </c>
      <c r="B240" s="3" t="s">
        <v>403</v>
      </c>
      <c r="C240" s="1">
        <v>0</v>
      </c>
      <c r="D240" s="1">
        <v>0</v>
      </c>
      <c r="E240" s="1">
        <v>0</v>
      </c>
      <c r="F240" s="1">
        <v>353007.45</v>
      </c>
      <c r="G240" s="1">
        <v>15725.35</v>
      </c>
      <c r="H240" s="1">
        <v>337282.09999999899</v>
      </c>
      <c r="I240" s="1">
        <v>0</v>
      </c>
      <c r="J240" s="1685">
        <v>337282.09999999899</v>
      </c>
      <c r="K240" s="1">
        <f t="shared" si="9"/>
        <v>337282.09999999899</v>
      </c>
      <c r="L240" s="1">
        <f t="shared" si="10"/>
        <v>0</v>
      </c>
      <c r="M240" s="1">
        <f t="shared" si="11"/>
        <v>0</v>
      </c>
    </row>
    <row r="241" spans="1:13">
      <c r="A241" s="3" t="s">
        <v>404</v>
      </c>
      <c r="B241" s="3" t="s">
        <v>405</v>
      </c>
      <c r="C241" s="1">
        <v>0</v>
      </c>
      <c r="D241" s="1">
        <v>0</v>
      </c>
      <c r="E241" s="1">
        <v>0</v>
      </c>
      <c r="F241" s="1">
        <v>391185.929999999</v>
      </c>
      <c r="G241" s="1">
        <v>784.6</v>
      </c>
      <c r="H241" s="1">
        <v>390401.33</v>
      </c>
      <c r="I241" s="1">
        <v>0</v>
      </c>
      <c r="J241" s="1685">
        <v>390401.33</v>
      </c>
      <c r="K241" s="1">
        <f t="shared" si="9"/>
        <v>390401.33</v>
      </c>
      <c r="L241" s="1">
        <f t="shared" si="10"/>
        <v>0</v>
      </c>
      <c r="M241" s="1">
        <f t="shared" si="11"/>
        <v>0</v>
      </c>
    </row>
    <row r="242" spans="1:13">
      <c r="A242" s="3" t="s">
        <v>406</v>
      </c>
      <c r="B242" s="3" t="s">
        <v>407</v>
      </c>
      <c r="C242" s="1">
        <v>0</v>
      </c>
      <c r="D242" s="1">
        <v>0</v>
      </c>
      <c r="E242" s="1">
        <v>0</v>
      </c>
      <c r="F242" s="1">
        <v>4300</v>
      </c>
      <c r="G242" s="1">
        <v>17476.049999999901</v>
      </c>
      <c r="H242" s="1">
        <v>0</v>
      </c>
      <c r="I242" s="1">
        <v>-13176.049999999899</v>
      </c>
      <c r="J242" s="1685">
        <v>-13176.049999999899</v>
      </c>
      <c r="K242" s="1">
        <f t="shared" si="9"/>
        <v>-13176.049999999899</v>
      </c>
      <c r="L242" s="1">
        <f t="shared" si="10"/>
        <v>0</v>
      </c>
      <c r="M242" s="1">
        <f t="shared" si="11"/>
        <v>0</v>
      </c>
    </row>
    <row r="243" spans="1:13">
      <c r="A243" s="3" t="s">
        <v>408</v>
      </c>
      <c r="B243" s="3" t="s">
        <v>409</v>
      </c>
      <c r="C243" s="1">
        <v>0</v>
      </c>
      <c r="D243" s="1">
        <v>0</v>
      </c>
      <c r="E243" s="1">
        <v>0</v>
      </c>
      <c r="F243" s="1">
        <v>3738.21</v>
      </c>
      <c r="G243" s="1">
        <v>0</v>
      </c>
      <c r="H243" s="1">
        <v>3738.21</v>
      </c>
      <c r="I243" s="1">
        <v>0</v>
      </c>
      <c r="J243" s="1685">
        <v>3738.21</v>
      </c>
      <c r="K243" s="1">
        <f t="shared" si="9"/>
        <v>3738.21</v>
      </c>
      <c r="L243" s="1">
        <f t="shared" si="10"/>
        <v>0</v>
      </c>
      <c r="M243" s="1">
        <f t="shared" si="11"/>
        <v>0</v>
      </c>
    </row>
    <row r="244" spans="1:13">
      <c r="A244" s="3" t="s">
        <v>3156</v>
      </c>
      <c r="B244" s="3" t="s">
        <v>3157</v>
      </c>
      <c r="C244" s="1">
        <v>0</v>
      </c>
      <c r="D244" s="1">
        <v>0</v>
      </c>
      <c r="E244" s="1">
        <v>0</v>
      </c>
      <c r="F244" s="1">
        <v>8910</v>
      </c>
      <c r="G244" s="1">
        <v>0</v>
      </c>
      <c r="H244" s="1">
        <v>8910</v>
      </c>
      <c r="I244" s="1">
        <v>0</v>
      </c>
      <c r="J244" s="1685">
        <v>8910</v>
      </c>
      <c r="K244" s="1">
        <f t="shared" si="9"/>
        <v>8910</v>
      </c>
      <c r="L244" s="1">
        <f t="shared" si="10"/>
        <v>0</v>
      </c>
      <c r="M244" s="1">
        <f t="shared" si="11"/>
        <v>0</v>
      </c>
    </row>
    <row r="245" spans="1:13">
      <c r="A245" s="3" t="s">
        <v>410</v>
      </c>
      <c r="B245" s="3" t="s">
        <v>411</v>
      </c>
      <c r="C245" s="1">
        <v>0</v>
      </c>
      <c r="D245" s="1">
        <v>0</v>
      </c>
      <c r="E245" s="1">
        <v>0</v>
      </c>
      <c r="F245" s="1">
        <v>376603.07</v>
      </c>
      <c r="G245" s="1">
        <v>580</v>
      </c>
      <c r="H245" s="1">
        <v>376023.07</v>
      </c>
      <c r="I245" s="1">
        <v>0</v>
      </c>
      <c r="J245" s="1685">
        <v>376023.07</v>
      </c>
      <c r="K245" s="1">
        <f t="shared" si="9"/>
        <v>376023.07</v>
      </c>
      <c r="L245" s="1">
        <f t="shared" si="10"/>
        <v>0</v>
      </c>
      <c r="M245" s="1">
        <f t="shared" si="11"/>
        <v>0</v>
      </c>
    </row>
    <row r="246" spans="1:13">
      <c r="A246" s="3" t="s">
        <v>414</v>
      </c>
      <c r="B246" s="3" t="s">
        <v>415</v>
      </c>
      <c r="C246" s="1">
        <v>0</v>
      </c>
      <c r="D246" s="1">
        <v>0</v>
      </c>
      <c r="E246" s="1">
        <v>0</v>
      </c>
      <c r="F246" s="1">
        <v>23036.61</v>
      </c>
      <c r="G246" s="1">
        <v>6.75</v>
      </c>
      <c r="H246" s="1">
        <v>23029.86</v>
      </c>
      <c r="I246" s="1">
        <v>0</v>
      </c>
      <c r="J246" s="1685">
        <v>23029.86</v>
      </c>
      <c r="K246" s="1">
        <f t="shared" si="9"/>
        <v>23029.86</v>
      </c>
      <c r="L246" s="1">
        <f t="shared" si="10"/>
        <v>0</v>
      </c>
      <c r="M246" s="1">
        <f t="shared" si="11"/>
        <v>0</v>
      </c>
    </row>
    <row r="247" spans="1:13">
      <c r="A247" s="3" t="s">
        <v>416</v>
      </c>
      <c r="B247" s="3" t="s">
        <v>417</v>
      </c>
      <c r="C247" s="1">
        <v>0</v>
      </c>
      <c r="D247" s="1">
        <v>0</v>
      </c>
      <c r="E247" s="1">
        <v>0</v>
      </c>
      <c r="F247" s="1">
        <v>147943.26</v>
      </c>
      <c r="G247" s="1">
        <v>0</v>
      </c>
      <c r="H247" s="1">
        <v>147943.26</v>
      </c>
      <c r="I247" s="1">
        <v>0</v>
      </c>
      <c r="J247" s="1685">
        <v>147943.26</v>
      </c>
      <c r="K247" s="1">
        <f t="shared" si="9"/>
        <v>147943.26</v>
      </c>
      <c r="L247" s="1">
        <f t="shared" si="10"/>
        <v>0</v>
      </c>
      <c r="M247" s="1">
        <f t="shared" si="11"/>
        <v>0</v>
      </c>
    </row>
    <row r="248" spans="1:13">
      <c r="A248" s="3" t="s">
        <v>4064</v>
      </c>
      <c r="B248" s="3" t="s">
        <v>417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685">
        <v>0</v>
      </c>
      <c r="K248" s="1">
        <f t="shared" si="9"/>
        <v>0</v>
      </c>
      <c r="L248" s="1">
        <f t="shared" si="10"/>
        <v>0</v>
      </c>
      <c r="M248" s="1">
        <f t="shared" si="11"/>
        <v>0</v>
      </c>
    </row>
    <row r="249" spans="1:13">
      <c r="A249" s="3" t="s">
        <v>418</v>
      </c>
      <c r="B249" s="3" t="s">
        <v>419</v>
      </c>
      <c r="C249" s="1">
        <v>0</v>
      </c>
      <c r="D249" s="1">
        <v>0</v>
      </c>
      <c r="E249" s="1">
        <v>0</v>
      </c>
      <c r="F249" s="1">
        <v>15753.37</v>
      </c>
      <c r="G249" s="1">
        <v>138.88999999999899</v>
      </c>
      <c r="H249" s="1">
        <v>15614.48</v>
      </c>
      <c r="I249" s="1">
        <v>0</v>
      </c>
      <c r="J249" s="1685">
        <v>15614.48</v>
      </c>
      <c r="K249" s="1">
        <f t="shared" si="9"/>
        <v>15614.48</v>
      </c>
      <c r="L249" s="1">
        <f t="shared" si="10"/>
        <v>0</v>
      </c>
      <c r="M249" s="1">
        <f t="shared" si="11"/>
        <v>0</v>
      </c>
    </row>
    <row r="250" spans="1:13">
      <c r="A250" s="3" t="s">
        <v>421</v>
      </c>
      <c r="B250" s="3" t="s">
        <v>422</v>
      </c>
      <c r="C250" s="1">
        <v>0</v>
      </c>
      <c r="D250" s="1">
        <v>0</v>
      </c>
      <c r="E250" s="1">
        <v>0</v>
      </c>
      <c r="F250" s="1">
        <v>20785.82</v>
      </c>
      <c r="G250" s="1">
        <v>6368.02</v>
      </c>
      <c r="H250" s="1">
        <v>14417.799999999899</v>
      </c>
      <c r="I250" s="1">
        <v>0</v>
      </c>
      <c r="J250" s="1685">
        <v>14417.799999999899</v>
      </c>
      <c r="K250" s="1">
        <f t="shared" si="9"/>
        <v>14417.799999999899</v>
      </c>
      <c r="L250" s="1">
        <f t="shared" si="10"/>
        <v>0</v>
      </c>
      <c r="M250" s="1">
        <f t="shared" si="11"/>
        <v>0</v>
      </c>
    </row>
    <row r="251" spans="1:13">
      <c r="A251" s="3" t="s">
        <v>423</v>
      </c>
      <c r="B251" s="3" t="s">
        <v>424</v>
      </c>
      <c r="C251" s="1">
        <v>0</v>
      </c>
      <c r="D251" s="1">
        <v>0</v>
      </c>
      <c r="E251" s="1">
        <v>0</v>
      </c>
      <c r="F251" s="1">
        <v>5986.4899999999898</v>
      </c>
      <c r="G251" s="1">
        <v>0</v>
      </c>
      <c r="H251" s="1">
        <v>5986.4899999999898</v>
      </c>
      <c r="I251" s="1">
        <v>0</v>
      </c>
      <c r="J251" s="1685">
        <v>5986.4899999999898</v>
      </c>
      <c r="K251" s="1">
        <f t="shared" si="9"/>
        <v>5986.4899999999898</v>
      </c>
      <c r="L251" s="1">
        <f t="shared" si="10"/>
        <v>0</v>
      </c>
      <c r="M251" s="1">
        <f t="shared" si="11"/>
        <v>0</v>
      </c>
    </row>
    <row r="252" spans="1:13">
      <c r="A252" s="3" t="s">
        <v>425</v>
      </c>
      <c r="B252" s="3" t="s">
        <v>424</v>
      </c>
      <c r="C252" s="1">
        <v>0</v>
      </c>
      <c r="D252" s="1">
        <v>0</v>
      </c>
      <c r="E252" s="1">
        <v>0</v>
      </c>
      <c r="F252" s="1">
        <v>33.149999999999899</v>
      </c>
      <c r="G252" s="1">
        <v>0</v>
      </c>
      <c r="H252" s="1">
        <v>33.149999999999899</v>
      </c>
      <c r="I252" s="1">
        <v>0</v>
      </c>
      <c r="J252" s="1685">
        <v>33.149999999999899</v>
      </c>
      <c r="K252" s="1">
        <f t="shared" si="9"/>
        <v>33.149999999999899</v>
      </c>
      <c r="L252" s="1">
        <f t="shared" si="10"/>
        <v>0</v>
      </c>
      <c r="M252" s="1">
        <f t="shared" si="11"/>
        <v>0</v>
      </c>
    </row>
    <row r="253" spans="1:13">
      <c r="A253" s="3" t="s">
        <v>426</v>
      </c>
      <c r="B253" s="3" t="s">
        <v>427</v>
      </c>
      <c r="C253" s="1">
        <v>0</v>
      </c>
      <c r="D253" s="1">
        <v>0</v>
      </c>
      <c r="E253" s="1">
        <v>0</v>
      </c>
      <c r="F253" s="1">
        <v>15995.78</v>
      </c>
      <c r="G253" s="1">
        <v>0</v>
      </c>
      <c r="H253" s="1">
        <v>15995.78</v>
      </c>
      <c r="I253" s="1">
        <v>0</v>
      </c>
      <c r="J253" s="1685">
        <v>15995.78</v>
      </c>
      <c r="K253" s="1">
        <f t="shared" si="9"/>
        <v>15995.78</v>
      </c>
      <c r="L253" s="1">
        <f t="shared" si="10"/>
        <v>0</v>
      </c>
      <c r="M253" s="1">
        <f t="shared" si="11"/>
        <v>0</v>
      </c>
    </row>
    <row r="254" spans="1:13">
      <c r="A254" s="3" t="s">
        <v>428</v>
      </c>
      <c r="B254" s="3" t="s">
        <v>429</v>
      </c>
      <c r="C254" s="1">
        <v>0</v>
      </c>
      <c r="D254" s="1">
        <v>0</v>
      </c>
      <c r="E254" s="1">
        <v>0</v>
      </c>
      <c r="F254" s="1">
        <v>189581.38</v>
      </c>
      <c r="G254" s="1">
        <v>2127.75</v>
      </c>
      <c r="H254" s="1">
        <v>187453.63</v>
      </c>
      <c r="I254" s="1">
        <v>0</v>
      </c>
      <c r="J254" s="1685">
        <v>187453.63</v>
      </c>
      <c r="K254" s="1">
        <f t="shared" si="9"/>
        <v>187453.63</v>
      </c>
      <c r="L254" s="1">
        <f t="shared" si="10"/>
        <v>0</v>
      </c>
      <c r="M254" s="1">
        <f t="shared" si="11"/>
        <v>0</v>
      </c>
    </row>
    <row r="255" spans="1:13">
      <c r="A255" s="3" t="s">
        <v>430</v>
      </c>
      <c r="B255" s="3" t="s">
        <v>431</v>
      </c>
      <c r="C255" s="1">
        <v>0</v>
      </c>
      <c r="D255" s="1">
        <v>0</v>
      </c>
      <c r="E255" s="1">
        <v>0</v>
      </c>
      <c r="F255" s="1">
        <v>116776.47</v>
      </c>
      <c r="G255" s="1">
        <v>519.50999999999897</v>
      </c>
      <c r="H255" s="1">
        <v>116256.96000000001</v>
      </c>
      <c r="I255" s="1">
        <v>0</v>
      </c>
      <c r="J255" s="1685">
        <v>116256.96000000001</v>
      </c>
      <c r="K255" s="1">
        <f t="shared" si="9"/>
        <v>116256.96000000001</v>
      </c>
      <c r="L255" s="1">
        <f t="shared" si="10"/>
        <v>0</v>
      </c>
      <c r="M255" s="1">
        <f t="shared" si="11"/>
        <v>0</v>
      </c>
    </row>
    <row r="256" spans="1:13">
      <c r="A256" s="3" t="s">
        <v>434</v>
      </c>
      <c r="B256" s="3" t="s">
        <v>435</v>
      </c>
      <c r="C256" s="1">
        <v>0</v>
      </c>
      <c r="D256" s="1">
        <v>0</v>
      </c>
      <c r="E256" s="1">
        <v>0</v>
      </c>
      <c r="F256" s="1">
        <v>768294.96999999904</v>
      </c>
      <c r="G256" s="1">
        <v>1060288.28</v>
      </c>
      <c r="H256" s="1">
        <v>0</v>
      </c>
      <c r="I256" s="1">
        <v>-291993.31</v>
      </c>
      <c r="J256" s="1685">
        <v>-291993.31</v>
      </c>
      <c r="K256" s="1"/>
      <c r="L256" s="1"/>
      <c r="M256" s="1"/>
    </row>
    <row r="257" spans="1:13">
      <c r="A257" s="3" t="s">
        <v>436</v>
      </c>
      <c r="B257" s="3" t="s">
        <v>437</v>
      </c>
      <c r="C257" s="1">
        <v>0</v>
      </c>
      <c r="D257" s="1">
        <v>0</v>
      </c>
      <c r="E257" s="1">
        <v>0</v>
      </c>
      <c r="F257" s="1">
        <v>1196688.3500000001</v>
      </c>
      <c r="G257" s="1">
        <v>607626.91</v>
      </c>
      <c r="H257" s="1">
        <v>589061.43999999901</v>
      </c>
      <c r="I257" s="1">
        <v>0</v>
      </c>
      <c r="J257" s="1685">
        <v>589061.43999999901</v>
      </c>
      <c r="K257" s="1">
        <f t="shared" si="9"/>
        <v>589061.43999999901</v>
      </c>
      <c r="L257" s="1">
        <f t="shared" si="10"/>
        <v>0</v>
      </c>
      <c r="M257" s="1">
        <f t="shared" si="11"/>
        <v>0</v>
      </c>
    </row>
    <row r="258" spans="1:13">
      <c r="A258" s="3" t="s">
        <v>438</v>
      </c>
      <c r="B258" s="3" t="s">
        <v>439</v>
      </c>
      <c r="C258" s="1">
        <v>0</v>
      </c>
      <c r="D258" s="1">
        <v>0</v>
      </c>
      <c r="E258" s="1">
        <v>0</v>
      </c>
      <c r="F258" s="1">
        <v>3029965.64</v>
      </c>
      <c r="G258" s="1">
        <v>1514982.82</v>
      </c>
      <c r="H258" s="1">
        <v>1514982.82</v>
      </c>
      <c r="I258" s="1">
        <v>0</v>
      </c>
      <c r="J258" s="1685">
        <v>1514982.82</v>
      </c>
      <c r="K258" s="1">
        <f t="shared" si="9"/>
        <v>1514982.82</v>
      </c>
      <c r="L258" s="1">
        <f t="shared" si="10"/>
        <v>0</v>
      </c>
      <c r="M258" s="1">
        <f t="shared" si="11"/>
        <v>0</v>
      </c>
    </row>
    <row r="259" spans="1:13">
      <c r="A259" s="3" t="s">
        <v>440</v>
      </c>
      <c r="B259" s="3" t="s">
        <v>441</v>
      </c>
      <c r="C259" s="1">
        <v>0</v>
      </c>
      <c r="D259" s="1">
        <v>0</v>
      </c>
      <c r="E259" s="1">
        <v>0</v>
      </c>
      <c r="F259" s="1">
        <v>487724.46</v>
      </c>
      <c r="G259" s="1">
        <v>243862.23</v>
      </c>
      <c r="H259" s="1">
        <v>243862.23</v>
      </c>
      <c r="I259" s="1">
        <v>0</v>
      </c>
      <c r="J259" s="1685">
        <v>243862.23</v>
      </c>
      <c r="K259" s="1">
        <f t="shared" si="9"/>
        <v>243862.23</v>
      </c>
      <c r="L259" s="1">
        <f t="shared" si="10"/>
        <v>0</v>
      </c>
      <c r="M259" s="1">
        <f t="shared" si="11"/>
        <v>0</v>
      </c>
    </row>
    <row r="260" spans="1:13">
      <c r="A260" s="3" t="s">
        <v>442</v>
      </c>
      <c r="B260" s="3" t="s">
        <v>443</v>
      </c>
      <c r="C260" s="1">
        <v>0</v>
      </c>
      <c r="D260" s="1">
        <v>0</v>
      </c>
      <c r="E260" s="1">
        <v>0</v>
      </c>
      <c r="F260" s="1">
        <v>1625372.12</v>
      </c>
      <c r="G260" s="1">
        <v>53687.519999999902</v>
      </c>
      <c r="H260" s="1">
        <v>1571684.6</v>
      </c>
      <c r="I260" s="1">
        <v>0</v>
      </c>
      <c r="J260" s="1685">
        <v>1571684.6</v>
      </c>
      <c r="K260" s="1">
        <f t="shared" ref="K260:K323" si="12">J260-C260</f>
        <v>1571684.6</v>
      </c>
      <c r="L260" s="1">
        <f t="shared" ref="L260:L323" si="13">IF(C260&gt;0,C260,0)</f>
        <v>0</v>
      </c>
      <c r="M260" s="1">
        <f t="shared" ref="M260:M323" si="14">IF(C260&lt;0,C260,0)</f>
        <v>0</v>
      </c>
    </row>
    <row r="261" spans="1:13">
      <c r="A261" s="3" t="s">
        <v>446</v>
      </c>
      <c r="B261" s="3" t="s">
        <v>447</v>
      </c>
      <c r="C261" s="1">
        <v>0</v>
      </c>
      <c r="D261" s="1">
        <v>0</v>
      </c>
      <c r="E261" s="1">
        <v>0</v>
      </c>
      <c r="F261" s="1">
        <v>70669.47</v>
      </c>
      <c r="G261" s="1">
        <v>0</v>
      </c>
      <c r="H261" s="1">
        <v>70669.47</v>
      </c>
      <c r="I261" s="1">
        <v>0</v>
      </c>
      <c r="J261" s="1685">
        <v>70669.47</v>
      </c>
      <c r="K261" s="1">
        <f t="shared" si="12"/>
        <v>70669.47</v>
      </c>
      <c r="L261" s="1">
        <f t="shared" si="13"/>
        <v>0</v>
      </c>
      <c r="M261" s="1">
        <f t="shared" si="14"/>
        <v>0</v>
      </c>
    </row>
    <row r="262" spans="1:13">
      <c r="A262" s="3" t="s">
        <v>448</v>
      </c>
      <c r="B262" s="3" t="s">
        <v>449</v>
      </c>
      <c r="C262" s="1">
        <v>0</v>
      </c>
      <c r="D262" s="1">
        <v>0</v>
      </c>
      <c r="E262" s="1">
        <v>0</v>
      </c>
      <c r="F262" s="1">
        <v>41910.47</v>
      </c>
      <c r="G262" s="1">
        <v>0</v>
      </c>
      <c r="H262" s="1">
        <v>41910.47</v>
      </c>
      <c r="I262" s="1">
        <v>0</v>
      </c>
      <c r="J262" s="1685">
        <v>41910.47</v>
      </c>
      <c r="K262" s="1">
        <f t="shared" si="12"/>
        <v>41910.47</v>
      </c>
      <c r="L262" s="1">
        <f t="shared" si="13"/>
        <v>0</v>
      </c>
      <c r="M262" s="1">
        <f t="shared" si="14"/>
        <v>0</v>
      </c>
    </row>
    <row r="263" spans="1:13">
      <c r="A263" s="3" t="s">
        <v>450</v>
      </c>
      <c r="B263" s="3" t="s">
        <v>451</v>
      </c>
      <c r="C263" s="1">
        <v>0</v>
      </c>
      <c r="D263" s="1">
        <v>0</v>
      </c>
      <c r="E263" s="1">
        <v>0</v>
      </c>
      <c r="F263" s="1">
        <v>229640.51</v>
      </c>
      <c r="G263" s="1">
        <v>2712.1799999999898</v>
      </c>
      <c r="H263" s="1">
        <v>226928.329999999</v>
      </c>
      <c r="I263" s="1">
        <v>0</v>
      </c>
      <c r="J263" s="1685">
        <v>226928.329999999</v>
      </c>
      <c r="K263" s="1">
        <f t="shared" si="12"/>
        <v>226928.329999999</v>
      </c>
      <c r="L263" s="1">
        <f t="shared" si="13"/>
        <v>0</v>
      </c>
      <c r="M263" s="1">
        <f t="shared" si="14"/>
        <v>0</v>
      </c>
    </row>
    <row r="264" spans="1:13">
      <c r="A264" s="3" t="s">
        <v>3449</v>
      </c>
      <c r="B264" s="3" t="s">
        <v>3935</v>
      </c>
      <c r="C264" s="1">
        <v>0</v>
      </c>
      <c r="D264" s="1">
        <v>0</v>
      </c>
      <c r="E264" s="1">
        <v>0</v>
      </c>
      <c r="F264" s="1">
        <v>450</v>
      </c>
      <c r="G264" s="1">
        <v>0</v>
      </c>
      <c r="H264" s="1">
        <v>450</v>
      </c>
      <c r="I264" s="1">
        <v>0</v>
      </c>
      <c r="J264" s="1685">
        <v>450</v>
      </c>
      <c r="K264" s="1">
        <f t="shared" si="12"/>
        <v>450</v>
      </c>
      <c r="L264" s="1">
        <f t="shared" si="13"/>
        <v>0</v>
      </c>
      <c r="M264" s="1">
        <f t="shared" si="14"/>
        <v>0</v>
      </c>
    </row>
    <row r="265" spans="1:13">
      <c r="A265" s="3" t="s">
        <v>2346</v>
      </c>
      <c r="B265" s="3" t="s">
        <v>2347</v>
      </c>
      <c r="C265" s="1">
        <v>0</v>
      </c>
      <c r="D265" s="1">
        <v>0</v>
      </c>
      <c r="E265" s="1">
        <v>0</v>
      </c>
      <c r="F265" s="1">
        <v>9485</v>
      </c>
      <c r="G265" s="1">
        <v>85</v>
      </c>
      <c r="H265" s="1">
        <v>9400</v>
      </c>
      <c r="I265" s="1">
        <v>0</v>
      </c>
      <c r="J265" s="1685">
        <v>9400</v>
      </c>
      <c r="K265" s="1">
        <f t="shared" si="12"/>
        <v>9400</v>
      </c>
      <c r="L265" s="1">
        <f t="shared" si="13"/>
        <v>0</v>
      </c>
      <c r="M265" s="1">
        <f t="shared" si="14"/>
        <v>0</v>
      </c>
    </row>
    <row r="266" spans="1:13">
      <c r="A266" s="3" t="s">
        <v>452</v>
      </c>
      <c r="B266" s="3" t="s">
        <v>453</v>
      </c>
      <c r="C266" s="1">
        <v>0</v>
      </c>
      <c r="D266" s="1">
        <v>0</v>
      </c>
      <c r="E266" s="1">
        <v>0</v>
      </c>
      <c r="F266" s="1">
        <v>20560</v>
      </c>
      <c r="G266" s="1">
        <v>0</v>
      </c>
      <c r="H266" s="1">
        <v>20560</v>
      </c>
      <c r="I266" s="1">
        <v>0</v>
      </c>
      <c r="J266" s="1685">
        <v>20560</v>
      </c>
      <c r="K266" s="1">
        <f t="shared" si="12"/>
        <v>20560</v>
      </c>
      <c r="L266" s="1">
        <f t="shared" si="13"/>
        <v>0</v>
      </c>
      <c r="M266" s="1">
        <f t="shared" si="14"/>
        <v>0</v>
      </c>
    </row>
    <row r="267" spans="1:13">
      <c r="A267" s="3" t="s">
        <v>454</v>
      </c>
      <c r="B267" s="3" t="s">
        <v>455</v>
      </c>
      <c r="C267" s="1">
        <v>0</v>
      </c>
      <c r="D267" s="1">
        <v>0</v>
      </c>
      <c r="E267" s="1">
        <v>0</v>
      </c>
      <c r="F267" s="1">
        <v>3803225.39</v>
      </c>
      <c r="G267" s="1">
        <v>208.94999999999899</v>
      </c>
      <c r="H267" s="1">
        <v>3803016.4399999902</v>
      </c>
      <c r="I267" s="1">
        <v>0</v>
      </c>
      <c r="J267" s="1685">
        <v>3803016.4399999902</v>
      </c>
      <c r="K267" s="1">
        <f t="shared" si="12"/>
        <v>3803016.4399999902</v>
      </c>
      <c r="L267" s="1">
        <f t="shared" si="13"/>
        <v>0</v>
      </c>
      <c r="M267" s="1">
        <f t="shared" si="14"/>
        <v>0</v>
      </c>
    </row>
    <row r="268" spans="1:13">
      <c r="A268" s="3" t="s">
        <v>3369</v>
      </c>
      <c r="B268" s="3" t="s">
        <v>3926</v>
      </c>
      <c r="C268" s="1">
        <v>0</v>
      </c>
      <c r="D268" s="1">
        <v>0</v>
      </c>
      <c r="E268" s="1">
        <v>0</v>
      </c>
      <c r="F268" s="1">
        <v>0</v>
      </c>
      <c r="G268" s="1">
        <v>217408.149999999</v>
      </c>
      <c r="H268" s="1">
        <v>0</v>
      </c>
      <c r="I268" s="1">
        <v>-217408.149999999</v>
      </c>
      <c r="J268" s="1685">
        <v>-217408.149999999</v>
      </c>
      <c r="K268" s="1">
        <f t="shared" si="12"/>
        <v>-217408.149999999</v>
      </c>
      <c r="L268" s="1">
        <f t="shared" si="13"/>
        <v>0</v>
      </c>
      <c r="M268" s="1">
        <f t="shared" si="14"/>
        <v>0</v>
      </c>
    </row>
    <row r="269" spans="1:13">
      <c r="A269" s="3" t="s">
        <v>456</v>
      </c>
      <c r="B269" s="3" t="s">
        <v>455</v>
      </c>
      <c r="C269" s="1">
        <v>0</v>
      </c>
      <c r="D269" s="1">
        <v>0</v>
      </c>
      <c r="E269" s="1">
        <v>0</v>
      </c>
      <c r="F269" s="1">
        <v>202708.75</v>
      </c>
      <c r="G269" s="1">
        <v>0</v>
      </c>
      <c r="H269" s="1">
        <v>202708.75</v>
      </c>
      <c r="I269" s="1">
        <v>0</v>
      </c>
      <c r="J269" s="1685">
        <v>202708.75</v>
      </c>
      <c r="K269" s="1">
        <f t="shared" si="12"/>
        <v>202708.75</v>
      </c>
      <c r="L269" s="1">
        <f t="shared" si="13"/>
        <v>0</v>
      </c>
      <c r="M269" s="1">
        <f t="shared" si="14"/>
        <v>0</v>
      </c>
    </row>
    <row r="270" spans="1:13">
      <c r="A270" s="3" t="s">
        <v>457</v>
      </c>
      <c r="B270" s="3" t="s">
        <v>458</v>
      </c>
      <c r="C270" s="1">
        <v>0</v>
      </c>
      <c r="D270" s="1">
        <v>0</v>
      </c>
      <c r="E270" s="1">
        <v>0</v>
      </c>
      <c r="F270" s="1">
        <v>11300.37</v>
      </c>
      <c r="G270" s="1">
        <v>592.62</v>
      </c>
      <c r="H270" s="1">
        <v>10707.75</v>
      </c>
      <c r="I270" s="1">
        <v>0</v>
      </c>
      <c r="J270" s="1685">
        <v>10707.75</v>
      </c>
      <c r="K270" s="1">
        <f t="shared" si="12"/>
        <v>10707.75</v>
      </c>
      <c r="L270" s="1">
        <f t="shared" si="13"/>
        <v>0</v>
      </c>
      <c r="M270" s="1">
        <f t="shared" si="14"/>
        <v>0</v>
      </c>
    </row>
    <row r="271" spans="1:13">
      <c r="A271" s="3" t="s">
        <v>3753</v>
      </c>
      <c r="B271" s="3" t="s">
        <v>458</v>
      </c>
      <c r="C271" s="1">
        <v>0</v>
      </c>
      <c r="D271" s="1">
        <v>0</v>
      </c>
      <c r="E271" s="1">
        <v>0</v>
      </c>
      <c r="F271" s="1">
        <v>5325.93</v>
      </c>
      <c r="G271" s="1">
        <v>0</v>
      </c>
      <c r="H271" s="1">
        <v>5325.93</v>
      </c>
      <c r="I271" s="1">
        <v>0</v>
      </c>
      <c r="J271" s="1685">
        <v>5325.93</v>
      </c>
      <c r="K271" s="1">
        <f t="shared" si="12"/>
        <v>5325.93</v>
      </c>
      <c r="L271" s="1">
        <f t="shared" si="13"/>
        <v>0</v>
      </c>
      <c r="M271" s="1">
        <f t="shared" si="14"/>
        <v>0</v>
      </c>
    </row>
    <row r="272" spans="1:13">
      <c r="A272" s="3" t="s">
        <v>461</v>
      </c>
      <c r="B272" s="3" t="s">
        <v>462</v>
      </c>
      <c r="C272" s="1">
        <v>0</v>
      </c>
      <c r="D272" s="1">
        <v>0</v>
      </c>
      <c r="E272" s="1">
        <v>0</v>
      </c>
      <c r="F272" s="1">
        <v>44856.099999999897</v>
      </c>
      <c r="G272" s="1">
        <v>975.61</v>
      </c>
      <c r="H272" s="1">
        <v>43880.489999999903</v>
      </c>
      <c r="I272" s="1">
        <v>0</v>
      </c>
      <c r="J272" s="1685">
        <v>43880.489999999903</v>
      </c>
      <c r="K272" s="1">
        <f t="shared" si="12"/>
        <v>43880.489999999903</v>
      </c>
      <c r="L272" s="1">
        <f t="shared" si="13"/>
        <v>0</v>
      </c>
      <c r="M272" s="1">
        <f t="shared" si="14"/>
        <v>0</v>
      </c>
    </row>
    <row r="273" spans="1:58">
      <c r="A273" s="3" t="s">
        <v>463</v>
      </c>
      <c r="B273" s="3" t="s">
        <v>464</v>
      </c>
      <c r="C273" s="1">
        <v>0</v>
      </c>
      <c r="D273" s="1">
        <v>0</v>
      </c>
      <c r="E273" s="1">
        <v>0</v>
      </c>
      <c r="F273" s="1">
        <v>2248</v>
      </c>
      <c r="G273" s="1">
        <v>2248</v>
      </c>
      <c r="H273" s="1">
        <v>0</v>
      </c>
      <c r="I273" s="1">
        <v>0</v>
      </c>
      <c r="J273" s="1685">
        <v>0</v>
      </c>
      <c r="K273" s="1">
        <f t="shared" si="12"/>
        <v>0</v>
      </c>
      <c r="L273" s="1">
        <f t="shared" si="13"/>
        <v>0</v>
      </c>
      <c r="M273" s="1">
        <f t="shared" si="14"/>
        <v>0</v>
      </c>
    </row>
    <row r="274" spans="1:58" s="7" customFormat="1">
      <c r="A274" s="3" t="s">
        <v>465</v>
      </c>
      <c r="B274" s="3" t="s">
        <v>466</v>
      </c>
      <c r="C274" s="1">
        <v>0</v>
      </c>
      <c r="D274" s="1">
        <v>0</v>
      </c>
      <c r="E274" s="1">
        <v>0</v>
      </c>
      <c r="F274" s="1">
        <v>532847</v>
      </c>
      <c r="G274" s="1">
        <v>33433.989999999903</v>
      </c>
      <c r="H274" s="1">
        <v>499413.01</v>
      </c>
      <c r="I274" s="1">
        <v>0</v>
      </c>
      <c r="J274" s="1685">
        <v>499413.01</v>
      </c>
      <c r="K274" s="5">
        <f t="shared" si="12"/>
        <v>499413.01</v>
      </c>
      <c r="L274" s="5">
        <f t="shared" si="13"/>
        <v>0</v>
      </c>
      <c r="M274" s="5">
        <f t="shared" si="14"/>
        <v>0</v>
      </c>
      <c r="N274" s="384"/>
      <c r="O274" s="384"/>
      <c r="P274" s="384"/>
      <c r="Q274" s="384"/>
      <c r="R274" s="384"/>
      <c r="S274" s="384"/>
      <c r="T274" s="384"/>
      <c r="U274" s="384"/>
      <c r="V274" s="384"/>
      <c r="W274" s="384"/>
      <c r="X274" s="384"/>
      <c r="Y274" s="384"/>
      <c r="Z274" s="384"/>
      <c r="AA274" s="384"/>
      <c r="AB274" s="384"/>
      <c r="AC274" s="384"/>
      <c r="AD274" s="384"/>
      <c r="AE274" s="384"/>
      <c r="AF274" s="384"/>
      <c r="AG274" s="384"/>
      <c r="AH274" s="384"/>
      <c r="AI274" s="384"/>
      <c r="AJ274" s="384"/>
      <c r="AK274" s="384"/>
      <c r="AL274" s="384"/>
      <c r="AM274" s="384"/>
      <c r="AN274" s="384"/>
      <c r="AO274" s="384"/>
      <c r="AP274" s="384"/>
      <c r="AQ274" s="384"/>
      <c r="AR274" s="384"/>
      <c r="AS274" s="384"/>
      <c r="AT274" s="384"/>
      <c r="AU274" s="384"/>
      <c r="AV274" s="384"/>
      <c r="AW274" s="384"/>
      <c r="AX274" s="384"/>
      <c r="AY274" s="384"/>
      <c r="AZ274" s="384"/>
      <c r="BA274" s="384"/>
      <c r="BB274" s="384"/>
      <c r="BC274" s="384"/>
      <c r="BD274" s="384"/>
      <c r="BE274" s="384"/>
      <c r="BF274" s="384"/>
    </row>
    <row r="275" spans="1:58">
      <c r="A275" s="3" t="s">
        <v>467</v>
      </c>
      <c r="B275" s="3" t="s">
        <v>468</v>
      </c>
      <c r="C275" s="1">
        <v>0</v>
      </c>
      <c r="D275" s="1">
        <v>0</v>
      </c>
      <c r="E275" s="1">
        <v>0</v>
      </c>
      <c r="F275" s="1">
        <v>5005.51</v>
      </c>
      <c r="G275" s="1">
        <v>0</v>
      </c>
      <c r="H275" s="1">
        <v>5005.51</v>
      </c>
      <c r="I275" s="1">
        <v>0</v>
      </c>
      <c r="J275" s="1685">
        <v>5005.51</v>
      </c>
      <c r="K275" s="1">
        <f t="shared" si="12"/>
        <v>5005.51</v>
      </c>
      <c r="L275" s="1">
        <f t="shared" si="13"/>
        <v>0</v>
      </c>
      <c r="M275" s="1">
        <f t="shared" si="14"/>
        <v>0</v>
      </c>
    </row>
    <row r="276" spans="1:58">
      <c r="A276" s="3" t="s">
        <v>469</v>
      </c>
      <c r="B276" s="3" t="s">
        <v>470</v>
      </c>
      <c r="C276" s="1">
        <v>0</v>
      </c>
      <c r="D276" s="1">
        <v>0</v>
      </c>
      <c r="E276" s="1">
        <v>0</v>
      </c>
      <c r="F276" s="1">
        <v>145231.019999999</v>
      </c>
      <c r="G276" s="1">
        <v>48927.4</v>
      </c>
      <c r="H276" s="1">
        <v>96303.619999999893</v>
      </c>
      <c r="I276" s="1">
        <v>0</v>
      </c>
      <c r="J276" s="1685">
        <v>96303.619999999893</v>
      </c>
      <c r="K276" s="1">
        <f t="shared" si="12"/>
        <v>96303.619999999893</v>
      </c>
      <c r="L276" s="1">
        <f t="shared" si="13"/>
        <v>0</v>
      </c>
      <c r="M276" s="1">
        <f t="shared" si="14"/>
        <v>0</v>
      </c>
    </row>
    <row r="277" spans="1:58">
      <c r="A277" s="3" t="s">
        <v>471</v>
      </c>
      <c r="B277" s="3" t="s">
        <v>472</v>
      </c>
      <c r="C277" s="1">
        <v>0</v>
      </c>
      <c r="D277" s="1">
        <v>0</v>
      </c>
      <c r="E277" s="1">
        <v>0</v>
      </c>
      <c r="F277" s="1">
        <v>265562.25</v>
      </c>
      <c r="G277" s="1">
        <v>36354</v>
      </c>
      <c r="H277" s="1">
        <v>229208.25</v>
      </c>
      <c r="I277" s="1">
        <v>0</v>
      </c>
      <c r="J277" s="1685">
        <v>229208.25</v>
      </c>
      <c r="K277" s="1">
        <f t="shared" si="12"/>
        <v>229208.25</v>
      </c>
      <c r="L277" s="1">
        <f t="shared" si="13"/>
        <v>0</v>
      </c>
      <c r="M277" s="1">
        <f t="shared" si="14"/>
        <v>0</v>
      </c>
    </row>
    <row r="278" spans="1:58">
      <c r="A278" s="3" t="s">
        <v>3079</v>
      </c>
      <c r="B278" s="3" t="s">
        <v>3726</v>
      </c>
      <c r="C278" s="1">
        <v>0</v>
      </c>
      <c r="D278" s="1">
        <v>0</v>
      </c>
      <c r="E278" s="1">
        <v>0</v>
      </c>
      <c r="F278" s="1">
        <v>20388</v>
      </c>
      <c r="G278" s="1">
        <v>20388</v>
      </c>
      <c r="H278" s="1">
        <v>0</v>
      </c>
      <c r="I278" s="1">
        <v>0</v>
      </c>
      <c r="J278" s="1685">
        <v>0</v>
      </c>
      <c r="K278" s="1">
        <f t="shared" si="12"/>
        <v>0</v>
      </c>
      <c r="L278" s="1">
        <f t="shared" si="13"/>
        <v>0</v>
      </c>
      <c r="M278" s="1">
        <f t="shared" si="14"/>
        <v>0</v>
      </c>
    </row>
    <row r="279" spans="1:58">
      <c r="A279" s="3" t="s">
        <v>473</v>
      </c>
      <c r="B279" s="3" t="s">
        <v>474</v>
      </c>
      <c r="C279" s="1">
        <v>0</v>
      </c>
      <c r="D279" s="1">
        <v>0</v>
      </c>
      <c r="E279" s="1">
        <v>0</v>
      </c>
      <c r="F279" s="1">
        <v>2900</v>
      </c>
      <c r="G279" s="1">
        <v>2900</v>
      </c>
      <c r="H279" s="1">
        <v>0</v>
      </c>
      <c r="I279" s="1">
        <v>0</v>
      </c>
      <c r="J279" s="1685">
        <v>0</v>
      </c>
      <c r="K279" s="1">
        <f t="shared" si="12"/>
        <v>0</v>
      </c>
      <c r="L279" s="1">
        <f t="shared" si="13"/>
        <v>0</v>
      </c>
      <c r="M279" s="1">
        <f t="shared" si="14"/>
        <v>0</v>
      </c>
    </row>
    <row r="280" spans="1:58">
      <c r="A280" s="3" t="s">
        <v>475</v>
      </c>
      <c r="B280" s="3" t="s">
        <v>476</v>
      </c>
      <c r="C280" s="1">
        <v>0</v>
      </c>
      <c r="D280" s="1">
        <v>0</v>
      </c>
      <c r="E280" s="1">
        <v>0</v>
      </c>
      <c r="F280" s="1">
        <v>28276</v>
      </c>
      <c r="G280" s="1">
        <v>2550</v>
      </c>
      <c r="H280" s="1">
        <v>25726</v>
      </c>
      <c r="I280" s="1">
        <v>0</v>
      </c>
      <c r="J280" s="1685">
        <v>25726</v>
      </c>
      <c r="K280" s="1">
        <f t="shared" si="12"/>
        <v>25726</v>
      </c>
      <c r="L280" s="1">
        <f t="shared" si="13"/>
        <v>0</v>
      </c>
      <c r="M280" s="1">
        <f t="shared" si="14"/>
        <v>0</v>
      </c>
    </row>
    <row r="281" spans="1:58">
      <c r="A281" s="3" t="s">
        <v>477</v>
      </c>
      <c r="B281" s="3" t="s">
        <v>478</v>
      </c>
      <c r="C281" s="1">
        <v>0</v>
      </c>
      <c r="D281" s="1">
        <v>0</v>
      </c>
      <c r="E281" s="1">
        <v>0</v>
      </c>
      <c r="F281" s="1">
        <v>42500</v>
      </c>
      <c r="G281" s="1">
        <v>0</v>
      </c>
      <c r="H281" s="1">
        <v>42500</v>
      </c>
      <c r="I281" s="1">
        <v>0</v>
      </c>
      <c r="J281" s="1685">
        <v>42500</v>
      </c>
      <c r="K281" s="1">
        <f t="shared" si="12"/>
        <v>42500</v>
      </c>
      <c r="L281" s="1">
        <f t="shared" si="13"/>
        <v>0</v>
      </c>
      <c r="M281" s="1">
        <f t="shared" si="14"/>
        <v>0</v>
      </c>
    </row>
    <row r="282" spans="1:58">
      <c r="A282" s="3" t="s">
        <v>479</v>
      </c>
      <c r="B282" s="3" t="s">
        <v>480</v>
      </c>
      <c r="C282" s="1">
        <v>0</v>
      </c>
      <c r="D282" s="1">
        <v>0</v>
      </c>
      <c r="E282" s="1">
        <v>0</v>
      </c>
      <c r="F282" s="1">
        <v>9406</v>
      </c>
      <c r="G282" s="1">
        <v>0</v>
      </c>
      <c r="H282" s="1">
        <v>9406</v>
      </c>
      <c r="I282" s="1">
        <v>0</v>
      </c>
      <c r="J282" s="1685">
        <v>9406</v>
      </c>
      <c r="K282" s="1">
        <f t="shared" si="12"/>
        <v>9406</v>
      </c>
      <c r="L282" s="1">
        <f t="shared" si="13"/>
        <v>0</v>
      </c>
      <c r="M282" s="1">
        <f t="shared" si="14"/>
        <v>0</v>
      </c>
    </row>
    <row r="283" spans="1:58">
      <c r="A283" s="3" t="s">
        <v>2491</v>
      </c>
      <c r="B283" s="3" t="s">
        <v>2492</v>
      </c>
      <c r="C283" s="1">
        <v>0</v>
      </c>
      <c r="D283" s="1">
        <v>0</v>
      </c>
      <c r="E283" s="1">
        <v>0</v>
      </c>
      <c r="F283" s="1">
        <v>13794.99</v>
      </c>
      <c r="G283" s="1">
        <v>3098.67</v>
      </c>
      <c r="H283" s="1">
        <v>10696.32</v>
      </c>
      <c r="I283" s="1">
        <v>0</v>
      </c>
      <c r="J283" s="1685">
        <v>10696.32</v>
      </c>
      <c r="K283" s="1">
        <f t="shared" si="12"/>
        <v>10696.32</v>
      </c>
      <c r="L283" s="1">
        <f t="shared" si="13"/>
        <v>0</v>
      </c>
      <c r="M283" s="1">
        <f t="shared" si="14"/>
        <v>0</v>
      </c>
    </row>
    <row r="284" spans="1:58">
      <c r="A284" s="3" t="s">
        <v>3771</v>
      </c>
      <c r="B284" s="3" t="s">
        <v>2492</v>
      </c>
      <c r="C284" s="1">
        <v>0</v>
      </c>
      <c r="D284" s="1">
        <v>0</v>
      </c>
      <c r="E284" s="1">
        <v>0</v>
      </c>
      <c r="F284" s="1">
        <v>312.77999999999901</v>
      </c>
      <c r="G284" s="1">
        <v>0</v>
      </c>
      <c r="H284" s="1">
        <v>312.77999999999901</v>
      </c>
      <c r="I284" s="1">
        <v>0</v>
      </c>
      <c r="J284" s="1685">
        <v>312.77999999999901</v>
      </c>
      <c r="K284" s="1">
        <f t="shared" si="12"/>
        <v>312.77999999999901</v>
      </c>
      <c r="L284" s="1">
        <f t="shared" si="13"/>
        <v>0</v>
      </c>
      <c r="M284" s="1">
        <f t="shared" si="14"/>
        <v>0</v>
      </c>
    </row>
    <row r="285" spans="1:58">
      <c r="A285" s="3" t="s">
        <v>3102</v>
      </c>
      <c r="B285" s="3" t="s">
        <v>2492</v>
      </c>
      <c r="C285" s="1">
        <v>0</v>
      </c>
      <c r="D285" s="1">
        <v>0</v>
      </c>
      <c r="E285" s="1">
        <v>0</v>
      </c>
      <c r="F285" s="1">
        <v>0</v>
      </c>
      <c r="G285" s="1">
        <v>292.20999999999901</v>
      </c>
      <c r="H285" s="1">
        <v>0</v>
      </c>
      <c r="I285" s="1">
        <v>-292.20999999999901</v>
      </c>
      <c r="J285" s="1685">
        <v>-292.20999999999901</v>
      </c>
      <c r="K285" s="1">
        <f t="shared" si="12"/>
        <v>-292.20999999999901</v>
      </c>
      <c r="L285" s="1">
        <f t="shared" si="13"/>
        <v>0</v>
      </c>
      <c r="M285" s="1">
        <f t="shared" si="14"/>
        <v>0</v>
      </c>
    </row>
    <row r="286" spans="1:58">
      <c r="A286" s="3" t="s">
        <v>481</v>
      </c>
      <c r="B286" s="3" t="s">
        <v>482</v>
      </c>
      <c r="C286" s="1">
        <v>0</v>
      </c>
      <c r="D286" s="1">
        <v>0</v>
      </c>
      <c r="E286" s="1">
        <v>0</v>
      </c>
      <c r="F286" s="1">
        <v>35894.61</v>
      </c>
      <c r="G286" s="1">
        <v>35894.61</v>
      </c>
      <c r="H286" s="1">
        <v>0</v>
      </c>
      <c r="I286" s="1">
        <v>0</v>
      </c>
      <c r="J286" s="1685">
        <v>0</v>
      </c>
      <c r="K286" s="1">
        <f t="shared" si="12"/>
        <v>0</v>
      </c>
      <c r="L286" s="1">
        <f t="shared" si="13"/>
        <v>0</v>
      </c>
      <c r="M286" s="1">
        <f t="shared" si="14"/>
        <v>0</v>
      </c>
    </row>
    <row r="287" spans="1:58">
      <c r="A287" s="3" t="s">
        <v>483</v>
      </c>
      <c r="B287" s="3" t="s">
        <v>484</v>
      </c>
      <c r="C287" s="1">
        <v>0</v>
      </c>
      <c r="D287" s="1">
        <v>0</v>
      </c>
      <c r="E287" s="1">
        <v>0</v>
      </c>
      <c r="F287" s="1">
        <v>35894.61</v>
      </c>
      <c r="G287" s="1">
        <v>0</v>
      </c>
      <c r="H287" s="1">
        <v>35894.61</v>
      </c>
      <c r="I287" s="1">
        <v>0</v>
      </c>
      <c r="J287" s="1685">
        <v>35894.61</v>
      </c>
      <c r="K287" s="1">
        <f t="shared" si="12"/>
        <v>35894.61</v>
      </c>
      <c r="L287" s="1">
        <f t="shared" si="13"/>
        <v>0</v>
      </c>
      <c r="M287" s="1">
        <f t="shared" si="14"/>
        <v>0</v>
      </c>
    </row>
    <row r="288" spans="1:58">
      <c r="A288" s="3" t="s">
        <v>485</v>
      </c>
      <c r="B288" s="3" t="s">
        <v>486</v>
      </c>
      <c r="C288" s="1">
        <v>0</v>
      </c>
      <c r="D288" s="1">
        <v>0</v>
      </c>
      <c r="E288" s="1">
        <v>0</v>
      </c>
      <c r="F288" s="1">
        <v>396997.19</v>
      </c>
      <c r="G288" s="1">
        <v>32812.68</v>
      </c>
      <c r="H288" s="1">
        <v>364184.51</v>
      </c>
      <c r="I288" s="1">
        <v>0</v>
      </c>
      <c r="J288" s="1685">
        <v>364184.51</v>
      </c>
      <c r="K288" s="1">
        <f t="shared" si="12"/>
        <v>364184.51</v>
      </c>
      <c r="L288" s="1">
        <f t="shared" si="13"/>
        <v>0</v>
      </c>
      <c r="M288" s="1">
        <f t="shared" si="14"/>
        <v>0</v>
      </c>
    </row>
    <row r="289" spans="1:13">
      <c r="A289" s="3" t="s">
        <v>489</v>
      </c>
      <c r="B289" s="3" t="s">
        <v>490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685">
        <v>0</v>
      </c>
      <c r="K289" s="1">
        <f t="shared" si="12"/>
        <v>0</v>
      </c>
      <c r="L289" s="1">
        <f t="shared" si="13"/>
        <v>0</v>
      </c>
      <c r="M289" s="1">
        <f t="shared" si="14"/>
        <v>0</v>
      </c>
    </row>
    <row r="290" spans="1:13">
      <c r="A290" s="3" t="s">
        <v>491</v>
      </c>
      <c r="B290" s="3" t="s">
        <v>492</v>
      </c>
      <c r="C290" s="1">
        <v>0</v>
      </c>
      <c r="D290" s="1">
        <v>0</v>
      </c>
      <c r="E290" s="1">
        <v>0</v>
      </c>
      <c r="F290" s="1">
        <v>10080</v>
      </c>
      <c r="G290" s="1">
        <v>5040</v>
      </c>
      <c r="H290" s="1">
        <v>5040</v>
      </c>
      <c r="I290" s="1">
        <v>0</v>
      </c>
      <c r="J290" s="1685">
        <v>5040</v>
      </c>
      <c r="K290" s="1">
        <f t="shared" si="12"/>
        <v>5040</v>
      </c>
      <c r="L290" s="1">
        <f t="shared" si="13"/>
        <v>0</v>
      </c>
      <c r="M290" s="1">
        <f t="shared" si="14"/>
        <v>0</v>
      </c>
    </row>
    <row r="291" spans="1:13">
      <c r="A291" s="3" t="s">
        <v>493</v>
      </c>
      <c r="B291" s="3" t="s">
        <v>494</v>
      </c>
      <c r="C291" s="1">
        <v>0</v>
      </c>
      <c r="D291" s="1">
        <v>0</v>
      </c>
      <c r="E291" s="1">
        <v>0</v>
      </c>
      <c r="F291" s="1">
        <v>1479809</v>
      </c>
      <c r="G291" s="1">
        <v>636350.30000000005</v>
      </c>
      <c r="H291" s="1">
        <v>843458.69999999902</v>
      </c>
      <c r="I291" s="1">
        <v>0</v>
      </c>
      <c r="J291" s="1685">
        <v>843458.69999999902</v>
      </c>
      <c r="K291" s="1">
        <f t="shared" si="12"/>
        <v>843458.69999999902</v>
      </c>
      <c r="L291" s="1">
        <f t="shared" si="13"/>
        <v>0</v>
      </c>
      <c r="M291" s="1">
        <f t="shared" si="14"/>
        <v>0</v>
      </c>
    </row>
    <row r="292" spans="1:13">
      <c r="A292" s="3" t="s">
        <v>496</v>
      </c>
      <c r="B292" s="3" t="s">
        <v>497</v>
      </c>
      <c r="C292" s="1">
        <v>0</v>
      </c>
      <c r="D292" s="1">
        <v>0</v>
      </c>
      <c r="E292" s="1">
        <v>0</v>
      </c>
      <c r="F292" s="1">
        <v>118351.24</v>
      </c>
      <c r="G292" s="1">
        <v>0</v>
      </c>
      <c r="H292" s="1">
        <v>118351.24</v>
      </c>
      <c r="I292" s="1">
        <v>0</v>
      </c>
      <c r="J292" s="1685">
        <v>118351.24</v>
      </c>
      <c r="K292" s="1">
        <f t="shared" si="12"/>
        <v>118351.24</v>
      </c>
      <c r="L292" s="1">
        <f t="shared" si="13"/>
        <v>0</v>
      </c>
      <c r="M292" s="1">
        <f t="shared" si="14"/>
        <v>0</v>
      </c>
    </row>
    <row r="293" spans="1:13">
      <c r="A293" s="3" t="s">
        <v>498</v>
      </c>
      <c r="B293" s="3" t="s">
        <v>499</v>
      </c>
      <c r="C293" s="1">
        <v>0</v>
      </c>
      <c r="D293" s="1">
        <v>0</v>
      </c>
      <c r="E293" s="1">
        <v>0</v>
      </c>
      <c r="F293" s="1">
        <v>1573637.6399999899</v>
      </c>
      <c r="G293" s="1">
        <v>786413.81999999902</v>
      </c>
      <c r="H293" s="1">
        <v>787223.81999999902</v>
      </c>
      <c r="I293" s="1">
        <v>0</v>
      </c>
      <c r="J293" s="1685">
        <v>787223.81999999902</v>
      </c>
      <c r="K293" s="1">
        <f t="shared" si="12"/>
        <v>787223.81999999902</v>
      </c>
      <c r="L293" s="1">
        <f t="shared" si="13"/>
        <v>0</v>
      </c>
      <c r="M293" s="1">
        <f t="shared" si="14"/>
        <v>0</v>
      </c>
    </row>
    <row r="294" spans="1:13">
      <c r="A294" s="3" t="s">
        <v>3281</v>
      </c>
      <c r="B294" s="3" t="s">
        <v>3927</v>
      </c>
      <c r="C294" s="1">
        <v>0</v>
      </c>
      <c r="D294" s="1">
        <v>0</v>
      </c>
      <c r="E294" s="1">
        <v>0</v>
      </c>
      <c r="F294" s="1">
        <v>20990</v>
      </c>
      <c r="G294" s="1">
        <v>0</v>
      </c>
      <c r="H294" s="1">
        <v>20990</v>
      </c>
      <c r="I294" s="1">
        <v>0</v>
      </c>
      <c r="J294" s="1685">
        <v>20990</v>
      </c>
      <c r="K294" s="1">
        <f t="shared" si="12"/>
        <v>20990</v>
      </c>
      <c r="L294" s="1">
        <f t="shared" si="13"/>
        <v>0</v>
      </c>
      <c r="M294" s="1">
        <f t="shared" si="14"/>
        <v>0</v>
      </c>
    </row>
    <row r="295" spans="1:13">
      <c r="A295" s="3" t="s">
        <v>3678</v>
      </c>
      <c r="B295" s="3" t="s">
        <v>499</v>
      </c>
      <c r="C295" s="1">
        <v>0</v>
      </c>
      <c r="D295" s="1">
        <v>0</v>
      </c>
      <c r="E295" s="1">
        <v>0</v>
      </c>
      <c r="F295" s="1">
        <v>0</v>
      </c>
      <c r="G295" s="1">
        <v>22050</v>
      </c>
      <c r="H295" s="1">
        <v>0</v>
      </c>
      <c r="I295" s="1">
        <v>-22050</v>
      </c>
      <c r="J295" s="1685">
        <v>-22050</v>
      </c>
      <c r="K295" s="1">
        <f t="shared" si="12"/>
        <v>-22050</v>
      </c>
      <c r="L295" s="1">
        <f t="shared" si="13"/>
        <v>0</v>
      </c>
      <c r="M295" s="1">
        <f t="shared" si="14"/>
        <v>0</v>
      </c>
    </row>
    <row r="296" spans="1:13">
      <c r="A296" s="3" t="s">
        <v>500</v>
      </c>
      <c r="B296" s="3" t="s">
        <v>501</v>
      </c>
      <c r="C296" s="1">
        <v>0</v>
      </c>
      <c r="D296" s="1">
        <v>0</v>
      </c>
      <c r="E296" s="1">
        <v>0</v>
      </c>
      <c r="F296" s="1">
        <v>1699976.1</v>
      </c>
      <c r="G296" s="1">
        <v>734068.34999999905</v>
      </c>
      <c r="H296" s="1">
        <v>965907.75</v>
      </c>
      <c r="I296" s="1">
        <v>0</v>
      </c>
      <c r="J296" s="1685">
        <v>965907.75</v>
      </c>
      <c r="K296" s="1">
        <f t="shared" si="12"/>
        <v>965907.75</v>
      </c>
      <c r="L296" s="1">
        <f t="shared" si="13"/>
        <v>0</v>
      </c>
      <c r="M296" s="1">
        <f t="shared" si="14"/>
        <v>0</v>
      </c>
    </row>
    <row r="297" spans="1:13">
      <c r="A297" s="3" t="s">
        <v>3371</v>
      </c>
      <c r="B297" s="3" t="s">
        <v>3911</v>
      </c>
      <c r="C297" s="1">
        <v>0</v>
      </c>
      <c r="D297" s="1">
        <v>0</v>
      </c>
      <c r="E297" s="1">
        <v>0</v>
      </c>
      <c r="F297" s="1">
        <v>17270.75</v>
      </c>
      <c r="G297" s="1">
        <v>0</v>
      </c>
      <c r="H297" s="1">
        <v>17270.75</v>
      </c>
      <c r="I297" s="1">
        <v>0</v>
      </c>
      <c r="J297" s="1685">
        <v>17270.75</v>
      </c>
      <c r="K297" s="1">
        <f t="shared" si="12"/>
        <v>17270.75</v>
      </c>
      <c r="L297" s="1">
        <f t="shared" si="13"/>
        <v>0</v>
      </c>
      <c r="M297" s="1">
        <f t="shared" si="14"/>
        <v>0</v>
      </c>
    </row>
    <row r="298" spans="1:13">
      <c r="A298" s="3" t="s">
        <v>502</v>
      </c>
      <c r="B298" s="3" t="s">
        <v>503</v>
      </c>
      <c r="C298" s="1">
        <v>0</v>
      </c>
      <c r="D298" s="1">
        <v>0</v>
      </c>
      <c r="E298" s="1">
        <v>0</v>
      </c>
      <c r="F298" s="1">
        <v>76192</v>
      </c>
      <c r="G298" s="1">
        <v>33910</v>
      </c>
      <c r="H298" s="1">
        <v>42282</v>
      </c>
      <c r="I298" s="1">
        <v>0</v>
      </c>
      <c r="J298" s="1685">
        <v>42282</v>
      </c>
      <c r="K298" s="1">
        <f t="shared" si="12"/>
        <v>42282</v>
      </c>
      <c r="L298" s="1">
        <f t="shared" si="13"/>
        <v>0</v>
      </c>
      <c r="M298" s="1">
        <f t="shared" si="14"/>
        <v>0</v>
      </c>
    </row>
    <row r="299" spans="1:13">
      <c r="A299" s="3" t="s">
        <v>504</v>
      </c>
      <c r="B299" s="3" t="s">
        <v>505</v>
      </c>
      <c r="C299" s="1">
        <v>0</v>
      </c>
      <c r="D299" s="1">
        <v>0</v>
      </c>
      <c r="E299" s="1">
        <v>0</v>
      </c>
      <c r="F299" s="1">
        <v>12910.83</v>
      </c>
      <c r="G299" s="1">
        <v>0</v>
      </c>
      <c r="H299" s="1">
        <v>12910.83</v>
      </c>
      <c r="I299" s="1">
        <v>0</v>
      </c>
      <c r="J299" s="1685">
        <v>12910.83</v>
      </c>
      <c r="K299" s="1">
        <f t="shared" si="12"/>
        <v>12910.83</v>
      </c>
      <c r="L299" s="1">
        <f t="shared" si="13"/>
        <v>0</v>
      </c>
      <c r="M299" s="1">
        <f t="shared" si="14"/>
        <v>0</v>
      </c>
    </row>
    <row r="300" spans="1:13">
      <c r="A300" s="3" t="s">
        <v>506</v>
      </c>
      <c r="B300" s="3" t="s">
        <v>507</v>
      </c>
      <c r="C300" s="1">
        <v>0</v>
      </c>
      <c r="D300" s="1">
        <v>0</v>
      </c>
      <c r="E300" s="1">
        <v>0</v>
      </c>
      <c r="F300" s="1">
        <v>15263.1</v>
      </c>
      <c r="G300" s="1">
        <v>1.8</v>
      </c>
      <c r="H300" s="1">
        <v>15261.299999999899</v>
      </c>
      <c r="I300" s="1">
        <v>0</v>
      </c>
      <c r="J300" s="1685">
        <v>15261.299999999899</v>
      </c>
      <c r="K300" s="1">
        <f t="shared" si="12"/>
        <v>15261.299999999899</v>
      </c>
      <c r="L300" s="1">
        <f t="shared" si="13"/>
        <v>0</v>
      </c>
      <c r="M300" s="1">
        <f t="shared" si="14"/>
        <v>0</v>
      </c>
    </row>
    <row r="301" spans="1:13">
      <c r="A301" s="3" t="s">
        <v>508</v>
      </c>
      <c r="B301" s="3" t="s">
        <v>509</v>
      </c>
      <c r="C301" s="1">
        <v>0</v>
      </c>
      <c r="D301" s="1">
        <v>0</v>
      </c>
      <c r="E301" s="1">
        <v>0</v>
      </c>
      <c r="F301" s="1">
        <v>5518.26</v>
      </c>
      <c r="G301" s="1">
        <v>0</v>
      </c>
      <c r="H301" s="1">
        <v>5518.26</v>
      </c>
      <c r="I301" s="1">
        <v>0</v>
      </c>
      <c r="J301" s="1685">
        <v>5518.26</v>
      </c>
      <c r="K301" s="1">
        <f t="shared" si="12"/>
        <v>5518.26</v>
      </c>
      <c r="L301" s="1">
        <f t="shared" si="13"/>
        <v>0</v>
      </c>
      <c r="M301" s="1">
        <f t="shared" si="14"/>
        <v>0</v>
      </c>
    </row>
    <row r="302" spans="1:13">
      <c r="A302" s="3" t="s">
        <v>510</v>
      </c>
      <c r="B302" s="3" t="s">
        <v>511</v>
      </c>
      <c r="C302" s="1">
        <v>0</v>
      </c>
      <c r="D302" s="1">
        <v>0</v>
      </c>
      <c r="E302" s="1">
        <v>0</v>
      </c>
      <c r="F302" s="1">
        <v>21330</v>
      </c>
      <c r="G302" s="1">
        <v>0</v>
      </c>
      <c r="H302" s="1">
        <v>21330</v>
      </c>
      <c r="I302" s="1">
        <v>0</v>
      </c>
      <c r="J302" s="1685">
        <v>21330</v>
      </c>
      <c r="K302" s="1">
        <f t="shared" si="12"/>
        <v>21330</v>
      </c>
      <c r="L302" s="1">
        <f t="shared" si="13"/>
        <v>0</v>
      </c>
      <c r="M302" s="1">
        <f t="shared" si="14"/>
        <v>0</v>
      </c>
    </row>
    <row r="303" spans="1:13">
      <c r="A303" s="3" t="s">
        <v>3148</v>
      </c>
      <c r="B303" s="3" t="s">
        <v>3149</v>
      </c>
      <c r="C303" s="1">
        <v>0</v>
      </c>
      <c r="D303" s="1">
        <v>0</v>
      </c>
      <c r="E303" s="1">
        <v>0</v>
      </c>
      <c r="F303" s="1">
        <v>1275.02</v>
      </c>
      <c r="G303" s="1">
        <v>0</v>
      </c>
      <c r="H303" s="1">
        <v>1275.02</v>
      </c>
      <c r="I303" s="1">
        <v>0</v>
      </c>
      <c r="J303" s="1685">
        <v>1275.02</v>
      </c>
      <c r="K303" s="1">
        <f t="shared" si="12"/>
        <v>1275.02</v>
      </c>
      <c r="L303" s="1">
        <f t="shared" si="13"/>
        <v>0</v>
      </c>
      <c r="M303" s="1">
        <f t="shared" si="14"/>
        <v>0</v>
      </c>
    </row>
    <row r="304" spans="1:13">
      <c r="A304" s="3" t="s">
        <v>512</v>
      </c>
      <c r="B304" s="3" t="s">
        <v>513</v>
      </c>
      <c r="C304" s="1">
        <v>0</v>
      </c>
      <c r="D304" s="1">
        <v>0</v>
      </c>
      <c r="E304" s="1">
        <v>0</v>
      </c>
      <c r="F304" s="1">
        <v>9606.0499999999902</v>
      </c>
      <c r="G304" s="1">
        <v>0</v>
      </c>
      <c r="H304" s="1">
        <v>9606.0499999999902</v>
      </c>
      <c r="I304" s="1">
        <v>0</v>
      </c>
      <c r="J304" s="1685">
        <v>9606.0499999999902</v>
      </c>
      <c r="K304" s="1">
        <f t="shared" si="12"/>
        <v>9606.0499999999902</v>
      </c>
      <c r="L304" s="1">
        <f t="shared" si="13"/>
        <v>0</v>
      </c>
      <c r="M304" s="1">
        <f t="shared" si="14"/>
        <v>0</v>
      </c>
    </row>
    <row r="305" spans="1:13">
      <c r="A305" s="3" t="s">
        <v>2513</v>
      </c>
      <c r="B305" s="3" t="s">
        <v>515</v>
      </c>
      <c r="C305" s="1">
        <v>0</v>
      </c>
      <c r="D305" s="1">
        <v>0</v>
      </c>
      <c r="E305" s="1">
        <v>0</v>
      </c>
      <c r="F305" s="1">
        <v>1549.51</v>
      </c>
      <c r="G305" s="1">
        <v>0</v>
      </c>
      <c r="H305" s="1">
        <v>1549.51</v>
      </c>
      <c r="I305" s="1">
        <v>0</v>
      </c>
      <c r="J305" s="1685">
        <v>1549.51</v>
      </c>
      <c r="K305" s="1">
        <f t="shared" si="12"/>
        <v>1549.51</v>
      </c>
      <c r="L305" s="1">
        <f t="shared" si="13"/>
        <v>0</v>
      </c>
      <c r="M305" s="1">
        <f t="shared" si="14"/>
        <v>0</v>
      </c>
    </row>
    <row r="306" spans="1:13">
      <c r="A306" s="3" t="s">
        <v>516</v>
      </c>
      <c r="B306" s="3" t="s">
        <v>517</v>
      </c>
      <c r="C306" s="1">
        <v>0</v>
      </c>
      <c r="D306" s="1">
        <v>0</v>
      </c>
      <c r="E306" s="1">
        <v>0</v>
      </c>
      <c r="F306" s="1">
        <v>13948</v>
      </c>
      <c r="G306" s="1">
        <v>0</v>
      </c>
      <c r="H306" s="1">
        <v>13948</v>
      </c>
      <c r="I306" s="1">
        <v>0</v>
      </c>
      <c r="J306" s="1685">
        <v>13948</v>
      </c>
      <c r="K306" s="1">
        <f t="shared" si="12"/>
        <v>13948</v>
      </c>
      <c r="L306" s="1">
        <f t="shared" si="13"/>
        <v>0</v>
      </c>
      <c r="M306" s="1">
        <f t="shared" si="14"/>
        <v>0</v>
      </c>
    </row>
    <row r="307" spans="1:13">
      <c r="A307" s="3" t="s">
        <v>518</v>
      </c>
      <c r="B307" s="3" t="s">
        <v>519</v>
      </c>
      <c r="C307" s="1">
        <v>0</v>
      </c>
      <c r="D307" s="1">
        <v>0</v>
      </c>
      <c r="E307" s="1">
        <v>0</v>
      </c>
      <c r="F307" s="1">
        <v>16412426.1</v>
      </c>
      <c r="G307" s="1">
        <v>245052.03</v>
      </c>
      <c r="H307" s="1">
        <v>16167374.07</v>
      </c>
      <c r="I307" s="1">
        <v>0</v>
      </c>
      <c r="J307" s="1685">
        <v>16167374.07</v>
      </c>
      <c r="K307" s="1">
        <f t="shared" si="12"/>
        <v>16167374.07</v>
      </c>
      <c r="L307" s="1">
        <f t="shared" si="13"/>
        <v>0</v>
      </c>
      <c r="M307" s="1">
        <f t="shared" si="14"/>
        <v>0</v>
      </c>
    </row>
    <row r="308" spans="1:13">
      <c r="A308" s="3" t="s">
        <v>520</v>
      </c>
      <c r="B308" s="3" t="s">
        <v>521</v>
      </c>
      <c r="C308" s="1">
        <v>0</v>
      </c>
      <c r="D308" s="1">
        <v>0</v>
      </c>
      <c r="E308" s="1">
        <v>0</v>
      </c>
      <c r="F308" s="1">
        <v>88825.009999999893</v>
      </c>
      <c r="G308" s="1">
        <v>89583.949999999895</v>
      </c>
      <c r="H308" s="1">
        <v>0</v>
      </c>
      <c r="I308" s="1">
        <v>-758.94</v>
      </c>
      <c r="J308" s="1685">
        <v>-758.94</v>
      </c>
      <c r="K308" s="1">
        <f t="shared" si="12"/>
        <v>-758.94</v>
      </c>
      <c r="L308" s="1">
        <f t="shared" si="13"/>
        <v>0</v>
      </c>
      <c r="M308" s="1">
        <f t="shared" si="14"/>
        <v>0</v>
      </c>
    </row>
    <row r="309" spans="1:13">
      <c r="A309" s="3" t="s">
        <v>522</v>
      </c>
      <c r="B309" s="3" t="s">
        <v>523</v>
      </c>
      <c r="C309" s="1">
        <v>0</v>
      </c>
      <c r="D309" s="1">
        <v>0</v>
      </c>
      <c r="E309" s="1">
        <v>0</v>
      </c>
      <c r="F309" s="1">
        <v>300000</v>
      </c>
      <c r="G309" s="1">
        <v>305943.84999999899</v>
      </c>
      <c r="H309" s="1">
        <v>0</v>
      </c>
      <c r="I309" s="1">
        <v>-5943.85</v>
      </c>
      <c r="J309" s="1685">
        <v>-5943.85</v>
      </c>
      <c r="K309" s="1">
        <f t="shared" si="12"/>
        <v>-5943.85</v>
      </c>
      <c r="L309" s="1">
        <f t="shared" si="13"/>
        <v>0</v>
      </c>
      <c r="M309" s="1">
        <f t="shared" si="14"/>
        <v>0</v>
      </c>
    </row>
    <row r="310" spans="1:13">
      <c r="A310" s="3" t="s">
        <v>524</v>
      </c>
      <c r="B310" s="3" t="s">
        <v>525</v>
      </c>
      <c r="C310" s="1">
        <v>0</v>
      </c>
      <c r="D310" s="1">
        <v>0</v>
      </c>
      <c r="E310" s="1">
        <v>0</v>
      </c>
      <c r="F310" s="1">
        <v>23044235.039999899</v>
      </c>
      <c r="G310" s="1">
        <v>145</v>
      </c>
      <c r="H310" s="1">
        <v>23044090.039999899</v>
      </c>
      <c r="I310" s="1">
        <v>0</v>
      </c>
      <c r="J310" s="1685">
        <v>23044090.039999899</v>
      </c>
      <c r="K310" s="1">
        <f t="shared" si="12"/>
        <v>23044090.039999899</v>
      </c>
      <c r="L310" s="1">
        <f t="shared" si="13"/>
        <v>0</v>
      </c>
      <c r="M310" s="1">
        <f t="shared" si="14"/>
        <v>0</v>
      </c>
    </row>
    <row r="311" spans="1:13">
      <c r="A311" s="3" t="s">
        <v>526</v>
      </c>
      <c r="B311" s="3" t="s">
        <v>527</v>
      </c>
      <c r="C311" s="1">
        <v>0</v>
      </c>
      <c r="D311" s="1">
        <v>0</v>
      </c>
      <c r="E311" s="1">
        <v>0</v>
      </c>
      <c r="F311" s="1">
        <v>893499.03</v>
      </c>
      <c r="G311" s="1">
        <v>0</v>
      </c>
      <c r="H311" s="1">
        <v>893499.03</v>
      </c>
      <c r="I311" s="1">
        <v>0</v>
      </c>
      <c r="J311" s="1685">
        <v>893499.03</v>
      </c>
      <c r="K311" s="1">
        <f t="shared" si="12"/>
        <v>893499.03</v>
      </c>
      <c r="L311" s="1">
        <f t="shared" si="13"/>
        <v>0</v>
      </c>
      <c r="M311" s="1">
        <f t="shared" si="14"/>
        <v>0</v>
      </c>
    </row>
    <row r="312" spans="1:13">
      <c r="A312" s="3" t="s">
        <v>3103</v>
      </c>
      <c r="B312" s="3" t="s">
        <v>3104</v>
      </c>
      <c r="C312" s="1">
        <v>0</v>
      </c>
      <c r="D312" s="1">
        <v>0</v>
      </c>
      <c r="E312" s="1">
        <v>0</v>
      </c>
      <c r="F312" s="1">
        <v>5325.76</v>
      </c>
      <c r="G312" s="1">
        <v>0</v>
      </c>
      <c r="H312" s="1">
        <v>5325.76</v>
      </c>
      <c r="I312" s="1">
        <v>0</v>
      </c>
      <c r="J312" s="1685">
        <v>5325.76</v>
      </c>
      <c r="K312" s="1">
        <f t="shared" si="12"/>
        <v>5325.76</v>
      </c>
      <c r="L312" s="1">
        <f t="shared" si="13"/>
        <v>0</v>
      </c>
      <c r="M312" s="1">
        <f t="shared" si="14"/>
        <v>0</v>
      </c>
    </row>
    <row r="313" spans="1:13">
      <c r="A313" s="3" t="s">
        <v>528</v>
      </c>
      <c r="B313" s="3" t="s">
        <v>529</v>
      </c>
      <c r="C313" s="1">
        <v>0</v>
      </c>
      <c r="D313" s="1">
        <v>0</v>
      </c>
      <c r="E313" s="1">
        <v>0</v>
      </c>
      <c r="F313" s="1">
        <v>4033774.5899999901</v>
      </c>
      <c r="G313" s="1">
        <v>3060</v>
      </c>
      <c r="H313" s="1">
        <v>4030714.5899999901</v>
      </c>
      <c r="I313" s="1">
        <v>0</v>
      </c>
      <c r="J313" s="1685">
        <v>4030714.5899999901</v>
      </c>
      <c r="K313" s="1">
        <f t="shared" si="12"/>
        <v>4030714.5899999901</v>
      </c>
      <c r="L313" s="1">
        <f t="shared" si="13"/>
        <v>0</v>
      </c>
      <c r="M313" s="1">
        <f t="shared" si="14"/>
        <v>0</v>
      </c>
    </row>
    <row r="314" spans="1:13">
      <c r="A314" s="3" t="s">
        <v>530</v>
      </c>
      <c r="B314" s="3" t="s">
        <v>531</v>
      </c>
      <c r="C314" s="1">
        <v>0</v>
      </c>
      <c r="D314" s="1">
        <v>0</v>
      </c>
      <c r="E314" s="1">
        <v>0</v>
      </c>
      <c r="F314" s="1">
        <v>1799862.01</v>
      </c>
      <c r="G314" s="1">
        <v>0.93</v>
      </c>
      <c r="H314" s="1">
        <v>1799861.08</v>
      </c>
      <c r="I314" s="1">
        <v>0</v>
      </c>
      <c r="J314" s="1685">
        <v>1799861.08</v>
      </c>
      <c r="K314" s="1">
        <f t="shared" si="12"/>
        <v>1799861.08</v>
      </c>
      <c r="L314" s="1">
        <f t="shared" si="13"/>
        <v>0</v>
      </c>
      <c r="M314" s="1">
        <f t="shared" si="14"/>
        <v>0</v>
      </c>
    </row>
    <row r="315" spans="1:13">
      <c r="A315" s="3" t="s">
        <v>532</v>
      </c>
      <c r="B315" s="3" t="s">
        <v>533</v>
      </c>
      <c r="C315" s="1">
        <v>0</v>
      </c>
      <c r="D315" s="1">
        <v>0</v>
      </c>
      <c r="E315" s="1">
        <v>0</v>
      </c>
      <c r="F315" s="1">
        <v>2134955.8199999901</v>
      </c>
      <c r="G315" s="1">
        <v>0</v>
      </c>
      <c r="H315" s="1">
        <v>2134955.8199999901</v>
      </c>
      <c r="I315" s="1">
        <v>0</v>
      </c>
      <c r="J315" s="1685">
        <v>2134955.8199999901</v>
      </c>
      <c r="K315" s="1">
        <f t="shared" si="12"/>
        <v>2134955.8199999901</v>
      </c>
      <c r="L315" s="1">
        <f t="shared" si="13"/>
        <v>0</v>
      </c>
      <c r="M315" s="1">
        <f t="shared" si="14"/>
        <v>0</v>
      </c>
    </row>
    <row r="316" spans="1:13">
      <c r="A316" s="3" t="s">
        <v>534</v>
      </c>
      <c r="B316" s="3" t="s">
        <v>535</v>
      </c>
      <c r="C316" s="1">
        <v>0</v>
      </c>
      <c r="D316" s="1">
        <v>0</v>
      </c>
      <c r="E316" s="1">
        <v>0</v>
      </c>
      <c r="F316" s="1">
        <v>1790720.82</v>
      </c>
      <c r="G316" s="1">
        <v>0.08</v>
      </c>
      <c r="H316" s="1">
        <v>1790720.74</v>
      </c>
      <c r="I316" s="1">
        <v>0</v>
      </c>
      <c r="J316" s="1685">
        <v>1790720.74</v>
      </c>
      <c r="K316" s="1">
        <f t="shared" si="12"/>
        <v>1790720.74</v>
      </c>
      <c r="L316" s="1">
        <f t="shared" si="13"/>
        <v>0</v>
      </c>
      <c r="M316" s="1">
        <f t="shared" si="14"/>
        <v>0</v>
      </c>
    </row>
    <row r="317" spans="1:13">
      <c r="A317" s="3" t="s">
        <v>536</v>
      </c>
      <c r="B317" s="3" t="s">
        <v>537</v>
      </c>
      <c r="C317" s="1">
        <v>0</v>
      </c>
      <c r="D317" s="1">
        <v>0</v>
      </c>
      <c r="E317" s="1">
        <v>0</v>
      </c>
      <c r="F317" s="1">
        <v>3211029.3199999901</v>
      </c>
      <c r="G317" s="1">
        <v>0</v>
      </c>
      <c r="H317" s="1">
        <v>3211029.3199999901</v>
      </c>
      <c r="I317" s="1">
        <v>0</v>
      </c>
      <c r="J317" s="1685">
        <v>3211029.3199999901</v>
      </c>
      <c r="K317" s="1">
        <f t="shared" si="12"/>
        <v>3211029.3199999901</v>
      </c>
      <c r="L317" s="1">
        <f t="shared" si="13"/>
        <v>0</v>
      </c>
      <c r="M317" s="1">
        <f t="shared" si="14"/>
        <v>0</v>
      </c>
    </row>
    <row r="318" spans="1:13">
      <c r="A318" s="3" t="s">
        <v>538</v>
      </c>
      <c r="B318" s="3" t="s">
        <v>539</v>
      </c>
      <c r="C318" s="1">
        <v>0</v>
      </c>
      <c r="D318" s="1">
        <v>0</v>
      </c>
      <c r="E318" s="1">
        <v>0</v>
      </c>
      <c r="F318" s="1">
        <v>2532240.8399999901</v>
      </c>
      <c r="G318" s="1">
        <v>3214719.39</v>
      </c>
      <c r="H318" s="1">
        <v>0</v>
      </c>
      <c r="I318" s="1">
        <v>-682478.55</v>
      </c>
      <c r="J318" s="1685">
        <v>-682478.55</v>
      </c>
      <c r="K318" s="1">
        <f t="shared" si="12"/>
        <v>-682478.55</v>
      </c>
      <c r="L318" s="1">
        <f t="shared" si="13"/>
        <v>0</v>
      </c>
      <c r="M318" s="1">
        <f t="shared" si="14"/>
        <v>0</v>
      </c>
    </row>
    <row r="319" spans="1:13">
      <c r="A319" s="3" t="s">
        <v>540</v>
      </c>
      <c r="B319" s="3" t="s">
        <v>541</v>
      </c>
      <c r="C319" s="1">
        <v>0</v>
      </c>
      <c r="D319" s="1">
        <v>0</v>
      </c>
      <c r="E319" s="1">
        <v>0</v>
      </c>
      <c r="F319" s="1">
        <v>1593942</v>
      </c>
      <c r="G319" s="1">
        <v>6670</v>
      </c>
      <c r="H319" s="1">
        <v>1587272</v>
      </c>
      <c r="I319" s="1">
        <v>0</v>
      </c>
      <c r="J319" s="1685">
        <v>1587272</v>
      </c>
      <c r="K319" s="1">
        <f t="shared" si="12"/>
        <v>1587272</v>
      </c>
      <c r="L319" s="1">
        <f t="shared" si="13"/>
        <v>0</v>
      </c>
      <c r="M319" s="1">
        <f t="shared" si="14"/>
        <v>0</v>
      </c>
    </row>
    <row r="320" spans="1:13">
      <c r="A320" s="3" t="s">
        <v>542</v>
      </c>
      <c r="B320" s="3" t="s">
        <v>543</v>
      </c>
      <c r="C320" s="1">
        <v>0</v>
      </c>
      <c r="D320" s="1">
        <v>0</v>
      </c>
      <c r="E320" s="1">
        <v>0</v>
      </c>
      <c r="F320" s="1">
        <v>1624221.59</v>
      </c>
      <c r="G320" s="1">
        <v>1624221.59</v>
      </c>
      <c r="H320" s="1">
        <v>0</v>
      </c>
      <c r="I320" s="1">
        <v>0</v>
      </c>
      <c r="J320" s="1685">
        <v>0</v>
      </c>
      <c r="K320" s="1">
        <f t="shared" si="12"/>
        <v>0</v>
      </c>
      <c r="L320" s="1">
        <f t="shared" si="13"/>
        <v>0</v>
      </c>
      <c r="M320" s="1">
        <f t="shared" si="14"/>
        <v>0</v>
      </c>
    </row>
    <row r="321" spans="1:13">
      <c r="A321" s="3" t="s">
        <v>544</v>
      </c>
      <c r="B321" s="3" t="s">
        <v>545</v>
      </c>
      <c r="C321" s="1">
        <v>0</v>
      </c>
      <c r="D321" s="1">
        <v>0</v>
      </c>
      <c r="E321" s="1">
        <v>0</v>
      </c>
      <c r="F321" s="1">
        <v>9558481.3599999901</v>
      </c>
      <c r="G321" s="1">
        <v>5.5</v>
      </c>
      <c r="H321" s="1">
        <v>9558475.8599999901</v>
      </c>
      <c r="I321" s="1">
        <v>0</v>
      </c>
      <c r="J321" s="1685">
        <v>9558475.8599999901</v>
      </c>
      <c r="K321" s="1">
        <f t="shared" si="12"/>
        <v>9558475.8599999901</v>
      </c>
      <c r="L321" s="1">
        <f t="shared" si="13"/>
        <v>0</v>
      </c>
      <c r="M321" s="1">
        <f t="shared" si="14"/>
        <v>0</v>
      </c>
    </row>
    <row r="322" spans="1:13">
      <c r="A322" s="3" t="s">
        <v>546</v>
      </c>
      <c r="B322" s="3" t="s">
        <v>547</v>
      </c>
      <c r="C322" s="1">
        <v>0</v>
      </c>
      <c r="D322" s="1">
        <v>0</v>
      </c>
      <c r="E322" s="1">
        <v>0</v>
      </c>
      <c r="F322" s="1">
        <v>1050020</v>
      </c>
      <c r="G322" s="1">
        <v>9700</v>
      </c>
      <c r="H322" s="1">
        <v>1040320</v>
      </c>
      <c r="I322" s="1">
        <v>0</v>
      </c>
      <c r="J322" s="1685">
        <v>1040320</v>
      </c>
      <c r="K322" s="1">
        <f t="shared" si="12"/>
        <v>1040320</v>
      </c>
      <c r="L322" s="1">
        <f t="shared" si="13"/>
        <v>0</v>
      </c>
      <c r="M322" s="1">
        <f t="shared" si="14"/>
        <v>0</v>
      </c>
    </row>
    <row r="323" spans="1:13">
      <c r="A323" s="3" t="s">
        <v>548</v>
      </c>
      <c r="B323" s="3" t="s">
        <v>549</v>
      </c>
      <c r="C323" s="1">
        <v>0</v>
      </c>
      <c r="D323" s="1">
        <v>0</v>
      </c>
      <c r="E323" s="1">
        <v>0</v>
      </c>
      <c r="F323" s="1">
        <v>1190110.74</v>
      </c>
      <c r="G323" s="1">
        <v>0.08</v>
      </c>
      <c r="H323" s="1">
        <v>1190110.6599999899</v>
      </c>
      <c r="I323" s="1">
        <v>0</v>
      </c>
      <c r="J323" s="1685">
        <v>1190110.6599999899</v>
      </c>
      <c r="K323" s="1">
        <f t="shared" si="12"/>
        <v>1190110.6599999899</v>
      </c>
      <c r="L323" s="1">
        <f t="shared" si="13"/>
        <v>0</v>
      </c>
      <c r="M323" s="1">
        <f t="shared" si="14"/>
        <v>0</v>
      </c>
    </row>
    <row r="324" spans="1:13">
      <c r="A324" s="3" t="s">
        <v>550</v>
      </c>
      <c r="B324" s="3" t="s">
        <v>551</v>
      </c>
      <c r="C324" s="1">
        <v>0</v>
      </c>
      <c r="D324" s="1">
        <v>0</v>
      </c>
      <c r="E324" s="1">
        <v>0</v>
      </c>
      <c r="F324" s="1">
        <v>1167670.1299999901</v>
      </c>
      <c r="G324" s="1">
        <v>0.05</v>
      </c>
      <c r="H324" s="1">
        <v>1167670.08</v>
      </c>
      <c r="I324" s="1">
        <v>0</v>
      </c>
      <c r="J324" s="1685">
        <v>1167670.08</v>
      </c>
      <c r="K324" s="1">
        <f t="shared" ref="K324:K387" si="15">J324-C324</f>
        <v>1167670.08</v>
      </c>
      <c r="L324" s="1">
        <f t="shared" ref="L324:L387" si="16">IF(C324&gt;0,C324,0)</f>
        <v>0</v>
      </c>
      <c r="M324" s="1">
        <f t="shared" ref="M324:M387" si="17">IF(C324&lt;0,C324,0)</f>
        <v>0</v>
      </c>
    </row>
    <row r="325" spans="1:13">
      <c r="A325" s="3" t="s">
        <v>552</v>
      </c>
      <c r="B325" s="3" t="s">
        <v>553</v>
      </c>
      <c r="C325" s="1">
        <v>0</v>
      </c>
      <c r="D325" s="1">
        <v>0</v>
      </c>
      <c r="E325" s="1">
        <v>0</v>
      </c>
      <c r="F325" s="1">
        <v>1111135</v>
      </c>
      <c r="G325" s="1">
        <v>0</v>
      </c>
      <c r="H325" s="1">
        <v>1111135</v>
      </c>
      <c r="I325" s="1">
        <v>0</v>
      </c>
      <c r="J325" s="1685">
        <v>1111135</v>
      </c>
      <c r="K325" s="1">
        <f t="shared" si="15"/>
        <v>1111135</v>
      </c>
      <c r="L325" s="1">
        <f t="shared" si="16"/>
        <v>0</v>
      </c>
      <c r="M325" s="1">
        <f t="shared" si="17"/>
        <v>0</v>
      </c>
    </row>
    <row r="326" spans="1:13">
      <c r="A326" s="3" t="s">
        <v>554</v>
      </c>
      <c r="B326" s="3" t="s">
        <v>555</v>
      </c>
      <c r="C326" s="1">
        <v>0</v>
      </c>
      <c r="D326" s="1">
        <v>0</v>
      </c>
      <c r="E326" s="1">
        <v>0</v>
      </c>
      <c r="F326" s="1">
        <v>102088.55</v>
      </c>
      <c r="G326" s="1">
        <v>0</v>
      </c>
      <c r="H326" s="1">
        <v>102088.55</v>
      </c>
      <c r="I326" s="1">
        <v>0</v>
      </c>
      <c r="J326" s="1685">
        <v>102088.55</v>
      </c>
      <c r="K326" s="1">
        <f t="shared" si="15"/>
        <v>102088.55</v>
      </c>
      <c r="L326" s="1">
        <f t="shared" si="16"/>
        <v>0</v>
      </c>
      <c r="M326" s="1">
        <f t="shared" si="17"/>
        <v>0</v>
      </c>
    </row>
    <row r="327" spans="1:13">
      <c r="A327" s="3" t="s">
        <v>556</v>
      </c>
      <c r="B327" s="3" t="s">
        <v>557</v>
      </c>
      <c r="C327" s="1">
        <v>0</v>
      </c>
      <c r="D327" s="1">
        <v>0</v>
      </c>
      <c r="E327" s="1">
        <v>0</v>
      </c>
      <c r="F327" s="1">
        <v>471355.75</v>
      </c>
      <c r="G327" s="1">
        <v>0</v>
      </c>
      <c r="H327" s="1">
        <v>471355.75</v>
      </c>
      <c r="I327" s="1">
        <v>0</v>
      </c>
      <c r="J327" s="1685">
        <v>471355.75</v>
      </c>
      <c r="K327" s="1">
        <f t="shared" si="15"/>
        <v>471355.75</v>
      </c>
      <c r="L327" s="1">
        <f t="shared" si="16"/>
        <v>0</v>
      </c>
      <c r="M327" s="1">
        <f t="shared" si="17"/>
        <v>0</v>
      </c>
    </row>
    <row r="328" spans="1:13">
      <c r="A328" s="3" t="s">
        <v>558</v>
      </c>
      <c r="B328" s="3" t="s">
        <v>559</v>
      </c>
      <c r="C328" s="1">
        <v>0</v>
      </c>
      <c r="D328" s="1">
        <v>0</v>
      </c>
      <c r="E328" s="1">
        <v>0</v>
      </c>
      <c r="F328" s="1">
        <v>454629.609999999</v>
      </c>
      <c r="G328" s="1">
        <v>0</v>
      </c>
      <c r="H328" s="1">
        <v>454629.609999999</v>
      </c>
      <c r="I328" s="1">
        <v>0</v>
      </c>
      <c r="J328" s="1685">
        <v>454629.609999999</v>
      </c>
      <c r="K328" s="1">
        <f t="shared" si="15"/>
        <v>454629.609999999</v>
      </c>
      <c r="L328" s="1">
        <f t="shared" si="16"/>
        <v>0</v>
      </c>
      <c r="M328" s="1">
        <f t="shared" si="17"/>
        <v>0</v>
      </c>
    </row>
    <row r="329" spans="1:13">
      <c r="A329" s="3" t="s">
        <v>560</v>
      </c>
      <c r="B329" s="3" t="s">
        <v>561</v>
      </c>
      <c r="C329" s="1">
        <v>0</v>
      </c>
      <c r="D329" s="1">
        <v>0</v>
      </c>
      <c r="E329" s="1">
        <v>0</v>
      </c>
      <c r="F329" s="1">
        <v>158536.079999999</v>
      </c>
      <c r="G329" s="1">
        <v>0</v>
      </c>
      <c r="H329" s="1">
        <v>158536.079999999</v>
      </c>
      <c r="I329" s="1">
        <v>0</v>
      </c>
      <c r="J329" s="1685">
        <v>158536.079999999</v>
      </c>
      <c r="K329" s="1">
        <f t="shared" si="15"/>
        <v>158536.079999999</v>
      </c>
      <c r="L329" s="1">
        <f t="shared" si="16"/>
        <v>0</v>
      </c>
      <c r="M329" s="1">
        <f t="shared" si="17"/>
        <v>0</v>
      </c>
    </row>
    <row r="330" spans="1:13">
      <c r="A330" s="3" t="s">
        <v>562</v>
      </c>
      <c r="B330" s="3" t="s">
        <v>563</v>
      </c>
      <c r="C330" s="1">
        <v>0</v>
      </c>
      <c r="D330" s="1">
        <v>0</v>
      </c>
      <c r="E330" s="1">
        <v>0</v>
      </c>
      <c r="F330" s="1">
        <v>886520.09999999905</v>
      </c>
      <c r="G330" s="1">
        <v>280336.5</v>
      </c>
      <c r="H330" s="1">
        <v>606183.59999999905</v>
      </c>
      <c r="I330" s="1">
        <v>0</v>
      </c>
      <c r="J330" s="1685">
        <v>606183.59999999905</v>
      </c>
      <c r="K330" s="1">
        <f t="shared" si="15"/>
        <v>606183.59999999905</v>
      </c>
      <c r="L330" s="1">
        <f t="shared" si="16"/>
        <v>0</v>
      </c>
      <c r="M330" s="1">
        <f t="shared" si="17"/>
        <v>0</v>
      </c>
    </row>
    <row r="331" spans="1:13">
      <c r="A331" s="3" t="s">
        <v>3733</v>
      </c>
      <c r="B331" s="3" t="s">
        <v>3734</v>
      </c>
      <c r="C331" s="1">
        <v>0</v>
      </c>
      <c r="D331" s="1">
        <v>0</v>
      </c>
      <c r="E331" s="1">
        <v>0</v>
      </c>
      <c r="F331" s="1">
        <v>225598.5</v>
      </c>
      <c r="G331" s="1">
        <v>212291.6</v>
      </c>
      <c r="H331" s="1">
        <v>13306.9</v>
      </c>
      <c r="I331" s="1">
        <v>0</v>
      </c>
      <c r="J331" s="1685">
        <v>13306.9</v>
      </c>
      <c r="K331" s="1">
        <f t="shared" si="15"/>
        <v>13306.9</v>
      </c>
      <c r="L331" s="1">
        <f t="shared" si="16"/>
        <v>0</v>
      </c>
      <c r="M331" s="1">
        <f t="shared" si="17"/>
        <v>0</v>
      </c>
    </row>
    <row r="332" spans="1:13">
      <c r="A332" s="3" t="s">
        <v>564</v>
      </c>
      <c r="B332" s="3" t="s">
        <v>565</v>
      </c>
      <c r="C332" s="1">
        <v>0</v>
      </c>
      <c r="D332" s="1">
        <v>0</v>
      </c>
      <c r="E332" s="1">
        <v>0</v>
      </c>
      <c r="F332" s="1">
        <v>237186</v>
      </c>
      <c r="G332" s="1">
        <v>977880</v>
      </c>
      <c r="H332" s="1">
        <v>0</v>
      </c>
      <c r="I332" s="1">
        <v>-740694</v>
      </c>
      <c r="J332" s="1685">
        <v>-740694</v>
      </c>
      <c r="K332" s="1">
        <f t="shared" si="15"/>
        <v>-740694</v>
      </c>
      <c r="L332" s="1">
        <f t="shared" si="16"/>
        <v>0</v>
      </c>
      <c r="M332" s="1">
        <f t="shared" si="17"/>
        <v>0</v>
      </c>
    </row>
    <row r="333" spans="1:13">
      <c r="A333" s="3" t="s">
        <v>566</v>
      </c>
      <c r="B333" s="3" t="s">
        <v>567</v>
      </c>
      <c r="C333" s="1">
        <v>0</v>
      </c>
      <c r="D333" s="1">
        <v>0</v>
      </c>
      <c r="E333" s="1">
        <v>0</v>
      </c>
      <c r="F333" s="1">
        <v>73567</v>
      </c>
      <c r="G333" s="1">
        <v>477452</v>
      </c>
      <c r="H333" s="1">
        <v>0</v>
      </c>
      <c r="I333" s="1">
        <v>-403885</v>
      </c>
      <c r="J333" s="1685">
        <v>-403885</v>
      </c>
      <c r="K333" s="1">
        <f t="shared" si="15"/>
        <v>-403885</v>
      </c>
      <c r="L333" s="1">
        <f t="shared" si="16"/>
        <v>0</v>
      </c>
      <c r="M333" s="1">
        <f t="shared" si="17"/>
        <v>0</v>
      </c>
    </row>
    <row r="334" spans="1:13">
      <c r="A334" s="3" t="s">
        <v>570</v>
      </c>
      <c r="B334" s="3" t="s">
        <v>571</v>
      </c>
      <c r="C334" s="1">
        <v>0</v>
      </c>
      <c r="D334" s="1">
        <v>0</v>
      </c>
      <c r="E334" s="1">
        <v>0</v>
      </c>
      <c r="F334" s="1">
        <v>1922.78</v>
      </c>
      <c r="G334" s="1">
        <v>21081.18</v>
      </c>
      <c r="H334" s="1">
        <v>0</v>
      </c>
      <c r="I334" s="1">
        <v>-19158.400000000001</v>
      </c>
      <c r="J334" s="1685">
        <v>-19158.400000000001</v>
      </c>
      <c r="K334" s="1">
        <f t="shared" si="15"/>
        <v>-19158.400000000001</v>
      </c>
      <c r="L334" s="1">
        <f t="shared" si="16"/>
        <v>0</v>
      </c>
      <c r="M334" s="1">
        <f t="shared" si="17"/>
        <v>0</v>
      </c>
    </row>
    <row r="335" spans="1:13">
      <c r="A335" s="3" t="s">
        <v>574</v>
      </c>
      <c r="B335" s="3" t="s">
        <v>575</v>
      </c>
      <c r="C335" s="1">
        <v>0</v>
      </c>
      <c r="D335" s="1">
        <v>0</v>
      </c>
      <c r="E335" s="1">
        <v>0</v>
      </c>
      <c r="F335" s="1">
        <v>513307.89</v>
      </c>
      <c r="G335" s="1">
        <v>643265.33999999904</v>
      </c>
      <c r="H335" s="1">
        <v>0</v>
      </c>
      <c r="I335" s="1">
        <v>-129957.45</v>
      </c>
      <c r="J335" s="1685">
        <v>-129957.45</v>
      </c>
      <c r="K335" s="1">
        <f t="shared" si="15"/>
        <v>-129957.45</v>
      </c>
      <c r="L335" s="1">
        <f t="shared" si="16"/>
        <v>0</v>
      </c>
      <c r="M335" s="1">
        <f t="shared" si="17"/>
        <v>0</v>
      </c>
    </row>
    <row r="336" spans="1:13">
      <c r="A336" s="3" t="s">
        <v>576</v>
      </c>
      <c r="B336" s="3" t="s">
        <v>577</v>
      </c>
      <c r="C336" s="1">
        <v>0</v>
      </c>
      <c r="D336" s="1">
        <v>0</v>
      </c>
      <c r="E336" s="1">
        <v>0</v>
      </c>
      <c r="F336" s="1">
        <v>326678.88</v>
      </c>
      <c r="G336" s="1">
        <v>326678.88</v>
      </c>
      <c r="H336" s="1">
        <v>0</v>
      </c>
      <c r="I336" s="1">
        <v>0</v>
      </c>
      <c r="J336" s="1685">
        <v>0</v>
      </c>
      <c r="K336" s="1">
        <f t="shared" si="15"/>
        <v>0</v>
      </c>
      <c r="L336" s="1">
        <f t="shared" si="16"/>
        <v>0</v>
      </c>
      <c r="M336" s="1">
        <f t="shared" si="17"/>
        <v>0</v>
      </c>
    </row>
    <row r="337" spans="1:13">
      <c r="A337" s="3" t="s">
        <v>578</v>
      </c>
      <c r="B337" s="3" t="s">
        <v>579</v>
      </c>
      <c r="C337" s="1">
        <v>0</v>
      </c>
      <c r="D337" s="1">
        <v>0</v>
      </c>
      <c r="E337" s="1">
        <v>0</v>
      </c>
      <c r="F337" s="1">
        <v>4943829.07</v>
      </c>
      <c r="G337" s="1">
        <v>1012.48</v>
      </c>
      <c r="H337" s="1">
        <v>4942816.5899999896</v>
      </c>
      <c r="I337" s="1">
        <v>0</v>
      </c>
      <c r="J337" s="1685">
        <v>4942816.5899999896</v>
      </c>
      <c r="K337" s="1">
        <f t="shared" si="15"/>
        <v>4942816.5899999896</v>
      </c>
      <c r="L337" s="1">
        <f t="shared" si="16"/>
        <v>0</v>
      </c>
      <c r="M337" s="1">
        <f t="shared" si="17"/>
        <v>0</v>
      </c>
    </row>
    <row r="338" spans="1:13">
      <c r="A338" s="3" t="s">
        <v>580</v>
      </c>
      <c r="B338" s="3" t="s">
        <v>581</v>
      </c>
      <c r="C338" s="1">
        <v>0</v>
      </c>
      <c r="D338" s="1">
        <v>0</v>
      </c>
      <c r="E338" s="1">
        <v>0</v>
      </c>
      <c r="F338" s="1">
        <v>55974.779999999897</v>
      </c>
      <c r="G338" s="1">
        <v>7144.17</v>
      </c>
      <c r="H338" s="1">
        <v>48830.61</v>
      </c>
      <c r="I338" s="1">
        <v>0</v>
      </c>
      <c r="J338" s="1685">
        <v>48830.61</v>
      </c>
      <c r="K338" s="1">
        <f t="shared" si="15"/>
        <v>48830.61</v>
      </c>
      <c r="L338" s="1">
        <f t="shared" si="16"/>
        <v>0</v>
      </c>
      <c r="M338" s="1">
        <f t="shared" si="17"/>
        <v>0</v>
      </c>
    </row>
    <row r="339" spans="1:13">
      <c r="A339" s="3" t="s">
        <v>582</v>
      </c>
      <c r="B339" s="3" t="s">
        <v>583</v>
      </c>
      <c r="C339" s="1">
        <v>0</v>
      </c>
      <c r="D339" s="1">
        <v>0</v>
      </c>
      <c r="E339" s="1">
        <v>0</v>
      </c>
      <c r="F339" s="1">
        <v>3292509.25999999</v>
      </c>
      <c r="G339" s="1">
        <v>674.28999999999905</v>
      </c>
      <c r="H339" s="1">
        <v>3291834.97</v>
      </c>
      <c r="I339" s="1">
        <v>0</v>
      </c>
      <c r="J339" s="1685">
        <v>3291834.97</v>
      </c>
      <c r="K339" s="1">
        <f t="shared" si="15"/>
        <v>3291834.97</v>
      </c>
      <c r="L339" s="1">
        <f t="shared" si="16"/>
        <v>0</v>
      </c>
      <c r="M339" s="1">
        <f t="shared" si="17"/>
        <v>0</v>
      </c>
    </row>
    <row r="340" spans="1:13">
      <c r="A340" s="3" t="s">
        <v>584</v>
      </c>
      <c r="B340" s="3" t="s">
        <v>585</v>
      </c>
      <c r="C340" s="1">
        <v>0</v>
      </c>
      <c r="D340" s="1">
        <v>0</v>
      </c>
      <c r="E340" s="1">
        <v>0</v>
      </c>
      <c r="F340" s="1">
        <v>37278.419999999896</v>
      </c>
      <c r="G340" s="1">
        <v>4757.8999999999896</v>
      </c>
      <c r="H340" s="1">
        <v>32520.52</v>
      </c>
      <c r="I340" s="1">
        <v>0</v>
      </c>
      <c r="J340" s="1685">
        <v>32520.52</v>
      </c>
      <c r="K340" s="1">
        <f t="shared" si="15"/>
        <v>32520.52</v>
      </c>
      <c r="L340" s="1">
        <f t="shared" si="16"/>
        <v>0</v>
      </c>
      <c r="M340" s="1">
        <f t="shared" si="17"/>
        <v>0</v>
      </c>
    </row>
    <row r="341" spans="1:13">
      <c r="A341" s="3" t="s">
        <v>586</v>
      </c>
      <c r="B341" s="3" t="s">
        <v>587</v>
      </c>
      <c r="C341" s="1">
        <v>0</v>
      </c>
      <c r="D341" s="1">
        <v>0</v>
      </c>
      <c r="E341" s="1">
        <v>0</v>
      </c>
      <c r="F341" s="1">
        <v>748880.12</v>
      </c>
      <c r="G341" s="1">
        <v>183.56</v>
      </c>
      <c r="H341" s="1">
        <v>748696.56</v>
      </c>
      <c r="I341" s="1">
        <v>0</v>
      </c>
      <c r="J341" s="1685">
        <v>748696.56</v>
      </c>
      <c r="K341" s="1">
        <f t="shared" si="15"/>
        <v>748696.56</v>
      </c>
      <c r="L341" s="1">
        <f t="shared" si="16"/>
        <v>0</v>
      </c>
      <c r="M341" s="1">
        <f t="shared" si="17"/>
        <v>0</v>
      </c>
    </row>
    <row r="342" spans="1:13">
      <c r="A342" s="3" t="s">
        <v>588</v>
      </c>
      <c r="B342" s="3" t="s">
        <v>589</v>
      </c>
      <c r="C342" s="1">
        <v>0</v>
      </c>
      <c r="D342" s="1">
        <v>0</v>
      </c>
      <c r="E342" s="1">
        <v>0</v>
      </c>
      <c r="F342" s="1">
        <v>7478.7799999999897</v>
      </c>
      <c r="G342" s="1">
        <v>1094.48</v>
      </c>
      <c r="H342" s="1">
        <v>6384.3</v>
      </c>
      <c r="I342" s="1">
        <v>0</v>
      </c>
      <c r="J342" s="1685">
        <v>6384.3</v>
      </c>
      <c r="K342" s="1">
        <f t="shared" si="15"/>
        <v>6384.3</v>
      </c>
      <c r="L342" s="1">
        <f t="shared" si="16"/>
        <v>0</v>
      </c>
      <c r="M342" s="1">
        <f t="shared" si="17"/>
        <v>0</v>
      </c>
    </row>
    <row r="343" spans="1:13">
      <c r="A343" s="3" t="s">
        <v>590</v>
      </c>
      <c r="B343" s="3" t="s">
        <v>591</v>
      </c>
      <c r="C343" s="1">
        <v>0</v>
      </c>
      <c r="D343" s="1">
        <v>0</v>
      </c>
      <c r="E343" s="1">
        <v>0</v>
      </c>
      <c r="F343" s="1">
        <v>1046544.16</v>
      </c>
      <c r="G343" s="1">
        <v>237.65</v>
      </c>
      <c r="H343" s="1">
        <v>1046306.51</v>
      </c>
      <c r="I343" s="1">
        <v>0</v>
      </c>
      <c r="J343" s="1685">
        <v>1046306.51</v>
      </c>
      <c r="K343" s="1">
        <f t="shared" si="15"/>
        <v>1046306.51</v>
      </c>
      <c r="L343" s="1">
        <f t="shared" si="16"/>
        <v>0</v>
      </c>
      <c r="M343" s="1">
        <f t="shared" si="17"/>
        <v>0</v>
      </c>
    </row>
    <row r="344" spans="1:13">
      <c r="A344" s="3" t="s">
        <v>592</v>
      </c>
      <c r="B344" s="3" t="s">
        <v>593</v>
      </c>
      <c r="C344" s="1">
        <v>0</v>
      </c>
      <c r="D344" s="1">
        <v>0</v>
      </c>
      <c r="E344" s="1">
        <v>0</v>
      </c>
      <c r="F344" s="1">
        <v>7597.1499999999896</v>
      </c>
      <c r="G344" s="1">
        <v>372.39999999999901</v>
      </c>
      <c r="H344" s="1">
        <v>7224.75</v>
      </c>
      <c r="I344" s="1">
        <v>0</v>
      </c>
      <c r="J344" s="1685">
        <v>7224.75</v>
      </c>
      <c r="K344" s="1">
        <f t="shared" si="15"/>
        <v>7224.75</v>
      </c>
      <c r="L344" s="1">
        <f t="shared" si="16"/>
        <v>0</v>
      </c>
      <c r="M344" s="1">
        <f t="shared" si="17"/>
        <v>0</v>
      </c>
    </row>
    <row r="345" spans="1:13">
      <c r="A345" s="3" t="s">
        <v>594</v>
      </c>
      <c r="B345" s="3" t="s">
        <v>595</v>
      </c>
      <c r="C345" s="1">
        <v>0</v>
      </c>
      <c r="D345" s="1">
        <v>0</v>
      </c>
      <c r="E345" s="1">
        <v>0</v>
      </c>
      <c r="F345" s="1">
        <v>42716.15</v>
      </c>
      <c r="G345" s="1">
        <v>9.6999999999999904</v>
      </c>
      <c r="H345" s="1">
        <v>42706.449999999903</v>
      </c>
      <c r="I345" s="1">
        <v>0</v>
      </c>
      <c r="J345" s="1685">
        <v>42706.449999999903</v>
      </c>
      <c r="K345" s="1">
        <f t="shared" si="15"/>
        <v>42706.449999999903</v>
      </c>
      <c r="L345" s="1">
        <f t="shared" si="16"/>
        <v>0</v>
      </c>
      <c r="M345" s="1">
        <f t="shared" si="17"/>
        <v>0</v>
      </c>
    </row>
    <row r="346" spans="1:13">
      <c r="A346" s="3" t="s">
        <v>596</v>
      </c>
      <c r="B346" s="3" t="s">
        <v>597</v>
      </c>
      <c r="C346" s="1">
        <v>0</v>
      </c>
      <c r="D346" s="1">
        <v>0</v>
      </c>
      <c r="E346" s="1">
        <v>0</v>
      </c>
      <c r="F346" s="1">
        <v>191.19999999999899</v>
      </c>
      <c r="G346" s="1">
        <v>15.1999999999999</v>
      </c>
      <c r="H346" s="1">
        <v>176</v>
      </c>
      <c r="I346" s="1">
        <v>0</v>
      </c>
      <c r="J346" s="1685">
        <v>176</v>
      </c>
      <c r="K346" s="1">
        <f t="shared" si="15"/>
        <v>176</v>
      </c>
      <c r="L346" s="1">
        <f t="shared" si="16"/>
        <v>0</v>
      </c>
      <c r="M346" s="1">
        <f t="shared" si="17"/>
        <v>0</v>
      </c>
    </row>
    <row r="347" spans="1:13">
      <c r="A347" s="3" t="s">
        <v>598</v>
      </c>
      <c r="B347" s="3" t="s">
        <v>599</v>
      </c>
      <c r="C347" s="1">
        <v>0</v>
      </c>
      <c r="D347" s="1">
        <v>0</v>
      </c>
      <c r="E347" s="1">
        <v>0</v>
      </c>
      <c r="F347" s="1">
        <v>3314732.24</v>
      </c>
      <c r="G347" s="1">
        <v>0</v>
      </c>
      <c r="H347" s="1">
        <v>3314732.24</v>
      </c>
      <c r="I347" s="1">
        <v>0</v>
      </c>
      <c r="J347" s="1685">
        <v>3314732.24</v>
      </c>
      <c r="K347" s="1">
        <f t="shared" si="15"/>
        <v>3314732.24</v>
      </c>
      <c r="L347" s="1">
        <f t="shared" si="16"/>
        <v>0</v>
      </c>
      <c r="M347" s="1">
        <f t="shared" si="17"/>
        <v>0</v>
      </c>
    </row>
    <row r="348" spans="1:13">
      <c r="A348" s="3" t="s">
        <v>3731</v>
      </c>
      <c r="B348" s="3" t="s">
        <v>3732</v>
      </c>
      <c r="C348" s="1">
        <v>0</v>
      </c>
      <c r="D348" s="1">
        <v>0</v>
      </c>
      <c r="E348" s="1">
        <v>0</v>
      </c>
      <c r="F348" s="1">
        <v>2496044.4199999901</v>
      </c>
      <c r="G348" s="1">
        <v>3324727.37</v>
      </c>
      <c r="H348" s="1">
        <v>0</v>
      </c>
      <c r="I348" s="1">
        <v>-828682.94999999902</v>
      </c>
      <c r="J348" s="1685">
        <v>-828682.94999999902</v>
      </c>
      <c r="K348" s="1">
        <f t="shared" si="15"/>
        <v>-828682.94999999902</v>
      </c>
      <c r="L348" s="1">
        <f t="shared" si="16"/>
        <v>0</v>
      </c>
      <c r="M348" s="1">
        <f t="shared" si="17"/>
        <v>0</v>
      </c>
    </row>
    <row r="349" spans="1:13">
      <c r="A349" s="3" t="s">
        <v>600</v>
      </c>
      <c r="B349" s="3" t="s">
        <v>601</v>
      </c>
      <c r="C349" s="1">
        <v>0</v>
      </c>
      <c r="D349" s="1">
        <v>0</v>
      </c>
      <c r="E349" s="1">
        <v>0</v>
      </c>
      <c r="F349" s="1">
        <v>21829.91</v>
      </c>
      <c r="G349" s="1">
        <v>0</v>
      </c>
      <c r="H349" s="1">
        <v>21829.91</v>
      </c>
      <c r="I349" s="1">
        <v>0</v>
      </c>
      <c r="J349" s="1685">
        <v>21829.91</v>
      </c>
      <c r="K349" s="1">
        <f t="shared" si="15"/>
        <v>21829.91</v>
      </c>
      <c r="L349" s="1">
        <f t="shared" si="16"/>
        <v>0</v>
      </c>
      <c r="M349" s="1">
        <f t="shared" si="17"/>
        <v>0</v>
      </c>
    </row>
    <row r="350" spans="1:13">
      <c r="A350" s="3" t="s">
        <v>602</v>
      </c>
      <c r="B350" s="3" t="s">
        <v>603</v>
      </c>
      <c r="C350" s="1">
        <v>0</v>
      </c>
      <c r="D350" s="1">
        <v>0</v>
      </c>
      <c r="E350" s="1">
        <v>0</v>
      </c>
      <c r="F350" s="1">
        <v>151810.549999999</v>
      </c>
      <c r="G350" s="1">
        <v>0</v>
      </c>
      <c r="H350" s="1">
        <v>151810.549999999</v>
      </c>
      <c r="I350" s="1">
        <v>0</v>
      </c>
      <c r="J350" s="1685">
        <v>151810.549999999</v>
      </c>
      <c r="K350" s="1">
        <f t="shared" si="15"/>
        <v>151810.549999999</v>
      </c>
      <c r="L350" s="1">
        <f t="shared" si="16"/>
        <v>0</v>
      </c>
      <c r="M350" s="1">
        <f t="shared" si="17"/>
        <v>0</v>
      </c>
    </row>
    <row r="351" spans="1:13">
      <c r="A351" s="3" t="s">
        <v>997</v>
      </c>
      <c r="B351" s="3" t="s">
        <v>996</v>
      </c>
      <c r="C351" s="1">
        <v>0</v>
      </c>
      <c r="D351" s="1">
        <v>0</v>
      </c>
      <c r="E351" s="1">
        <v>0</v>
      </c>
      <c r="F351" s="1">
        <v>4000</v>
      </c>
      <c r="G351" s="1">
        <v>0</v>
      </c>
      <c r="H351" s="1">
        <v>4000</v>
      </c>
      <c r="I351" s="1">
        <v>0</v>
      </c>
      <c r="J351" s="1685">
        <v>4000</v>
      </c>
      <c r="K351" s="1">
        <f t="shared" si="15"/>
        <v>4000</v>
      </c>
      <c r="L351" s="1">
        <f t="shared" si="16"/>
        <v>0</v>
      </c>
      <c r="M351" s="1">
        <f t="shared" si="17"/>
        <v>0</v>
      </c>
    </row>
    <row r="352" spans="1:13">
      <c r="A352" s="3" t="s">
        <v>606</v>
      </c>
      <c r="B352" s="3" t="s">
        <v>607</v>
      </c>
      <c r="C352" s="1">
        <v>0</v>
      </c>
      <c r="D352" s="1">
        <v>0</v>
      </c>
      <c r="E352" s="1">
        <v>0</v>
      </c>
      <c r="F352" s="1">
        <v>442514</v>
      </c>
      <c r="G352" s="1">
        <v>0</v>
      </c>
      <c r="H352" s="1">
        <v>442514</v>
      </c>
      <c r="I352" s="1">
        <v>0</v>
      </c>
      <c r="J352" s="1685">
        <v>442514</v>
      </c>
      <c r="K352" s="1">
        <f t="shared" si="15"/>
        <v>442514</v>
      </c>
      <c r="L352" s="1">
        <f t="shared" si="16"/>
        <v>0</v>
      </c>
      <c r="M352" s="1">
        <f t="shared" si="17"/>
        <v>0</v>
      </c>
    </row>
    <row r="353" spans="1:13">
      <c r="A353" s="3" t="s">
        <v>608</v>
      </c>
      <c r="B353" s="3" t="s">
        <v>609</v>
      </c>
      <c r="C353" s="1">
        <v>0</v>
      </c>
      <c r="D353" s="1">
        <v>0</v>
      </c>
      <c r="E353" s="1">
        <v>0</v>
      </c>
      <c r="F353" s="1">
        <v>451733.87</v>
      </c>
      <c r="G353" s="1">
        <v>2104.36</v>
      </c>
      <c r="H353" s="1">
        <v>449629.51</v>
      </c>
      <c r="I353" s="1">
        <v>0</v>
      </c>
      <c r="J353" s="1685">
        <v>449629.51</v>
      </c>
      <c r="K353" s="1">
        <f t="shared" si="15"/>
        <v>449629.51</v>
      </c>
      <c r="L353" s="1">
        <f t="shared" si="16"/>
        <v>0</v>
      </c>
      <c r="M353" s="1">
        <f t="shared" si="17"/>
        <v>0</v>
      </c>
    </row>
    <row r="354" spans="1:13">
      <c r="A354" s="3" t="s">
        <v>612</v>
      </c>
      <c r="B354" s="3" t="s">
        <v>613</v>
      </c>
      <c r="C354" s="1">
        <v>0</v>
      </c>
      <c r="D354" s="1">
        <v>0</v>
      </c>
      <c r="E354" s="1">
        <v>0</v>
      </c>
      <c r="F354" s="1">
        <v>2365833.3199999901</v>
      </c>
      <c r="G354" s="1">
        <v>1246.3199999999899</v>
      </c>
      <c r="H354" s="1">
        <v>2364587</v>
      </c>
      <c r="I354" s="1">
        <v>0</v>
      </c>
      <c r="J354" s="1685">
        <v>2364587</v>
      </c>
      <c r="K354" s="1">
        <f t="shared" si="15"/>
        <v>2364587</v>
      </c>
      <c r="L354" s="1">
        <f t="shared" si="16"/>
        <v>0</v>
      </c>
      <c r="M354" s="1">
        <f t="shared" si="17"/>
        <v>0</v>
      </c>
    </row>
    <row r="355" spans="1:13">
      <c r="A355" s="3" t="s">
        <v>614</v>
      </c>
      <c r="B355" s="3" t="s">
        <v>615</v>
      </c>
      <c r="C355" s="1">
        <v>0</v>
      </c>
      <c r="D355" s="1">
        <v>0</v>
      </c>
      <c r="E355" s="1">
        <v>0</v>
      </c>
      <c r="F355" s="1">
        <v>258864.25</v>
      </c>
      <c r="G355" s="1">
        <v>302284.27</v>
      </c>
      <c r="H355" s="1">
        <v>0</v>
      </c>
      <c r="I355" s="1">
        <v>-43420.019999999902</v>
      </c>
      <c r="J355" s="1685">
        <v>-43420.019999999902</v>
      </c>
      <c r="K355" s="1">
        <f t="shared" si="15"/>
        <v>-43420.019999999902</v>
      </c>
      <c r="L355" s="1">
        <f t="shared" si="16"/>
        <v>0</v>
      </c>
      <c r="M355" s="1">
        <f t="shared" si="17"/>
        <v>0</v>
      </c>
    </row>
    <row r="356" spans="1:13">
      <c r="A356" s="3" t="s">
        <v>616</v>
      </c>
      <c r="B356" s="3" t="s">
        <v>617</v>
      </c>
      <c r="C356" s="1">
        <v>0</v>
      </c>
      <c r="D356" s="1">
        <v>0</v>
      </c>
      <c r="E356" s="1">
        <v>0</v>
      </c>
      <c r="F356" s="1">
        <v>1277653.27</v>
      </c>
      <c r="G356" s="1">
        <v>499.8</v>
      </c>
      <c r="H356" s="1">
        <v>1277153.47</v>
      </c>
      <c r="I356" s="1">
        <v>0</v>
      </c>
      <c r="J356" s="1685">
        <v>1277153.47</v>
      </c>
      <c r="K356" s="1">
        <f t="shared" si="15"/>
        <v>1277153.47</v>
      </c>
      <c r="L356" s="1">
        <f t="shared" si="16"/>
        <v>0</v>
      </c>
      <c r="M356" s="1">
        <f t="shared" si="17"/>
        <v>0</v>
      </c>
    </row>
    <row r="357" spans="1:13">
      <c r="A357" s="3" t="s">
        <v>618</v>
      </c>
      <c r="B357" s="3" t="s">
        <v>619</v>
      </c>
      <c r="C357" s="1">
        <v>0</v>
      </c>
      <c r="D357" s="1">
        <v>0</v>
      </c>
      <c r="E357" s="1">
        <v>0</v>
      </c>
      <c r="F357" s="1">
        <v>1207570.3400000001</v>
      </c>
      <c r="G357" s="1">
        <v>0.12</v>
      </c>
      <c r="H357" s="1">
        <v>1207570.22</v>
      </c>
      <c r="I357" s="1">
        <v>0</v>
      </c>
      <c r="J357" s="1685">
        <v>1207570.22</v>
      </c>
      <c r="K357" s="1">
        <f t="shared" si="15"/>
        <v>1207570.22</v>
      </c>
      <c r="L357" s="1">
        <f t="shared" si="16"/>
        <v>0</v>
      </c>
      <c r="M357" s="1">
        <f t="shared" si="17"/>
        <v>0</v>
      </c>
    </row>
    <row r="358" spans="1:13">
      <c r="A358" s="3" t="s">
        <v>620</v>
      </c>
      <c r="B358" s="3" t="s">
        <v>621</v>
      </c>
      <c r="C358" s="1">
        <v>0</v>
      </c>
      <c r="D358" s="1">
        <v>0</v>
      </c>
      <c r="E358" s="1">
        <v>0</v>
      </c>
      <c r="F358" s="1">
        <v>533070.18000000005</v>
      </c>
      <c r="G358" s="1">
        <v>533070.18000000005</v>
      </c>
      <c r="H358" s="1">
        <v>0</v>
      </c>
      <c r="I358" s="1">
        <v>0</v>
      </c>
      <c r="J358" s="1685">
        <v>0</v>
      </c>
      <c r="K358" s="1">
        <f t="shared" si="15"/>
        <v>0</v>
      </c>
      <c r="L358" s="1">
        <f t="shared" si="16"/>
        <v>0</v>
      </c>
      <c r="M358" s="1">
        <f t="shared" si="17"/>
        <v>0</v>
      </c>
    </row>
    <row r="359" spans="1:13">
      <c r="A359" s="3" t="s">
        <v>622</v>
      </c>
      <c r="B359" s="3" t="s">
        <v>623</v>
      </c>
      <c r="C359" s="1">
        <v>0</v>
      </c>
      <c r="D359" s="1">
        <v>0</v>
      </c>
      <c r="E359" s="1">
        <v>0</v>
      </c>
      <c r="F359" s="1">
        <v>532247.93999999901</v>
      </c>
      <c r="G359" s="1">
        <v>4325.9399999999896</v>
      </c>
      <c r="H359" s="1">
        <v>527922</v>
      </c>
      <c r="I359" s="1">
        <v>0</v>
      </c>
      <c r="J359" s="1685">
        <v>527922</v>
      </c>
      <c r="K359" s="1">
        <f t="shared" si="15"/>
        <v>527922</v>
      </c>
      <c r="L359" s="1">
        <f t="shared" si="16"/>
        <v>0</v>
      </c>
      <c r="M359" s="1">
        <f t="shared" si="17"/>
        <v>0</v>
      </c>
    </row>
    <row r="360" spans="1:13">
      <c r="A360" s="3" t="s">
        <v>624</v>
      </c>
      <c r="B360" s="3" t="s">
        <v>625</v>
      </c>
      <c r="C360" s="1">
        <v>0</v>
      </c>
      <c r="D360" s="1">
        <v>0</v>
      </c>
      <c r="E360" s="1">
        <v>0</v>
      </c>
      <c r="F360" s="1">
        <v>93000.119999999893</v>
      </c>
      <c r="G360" s="1">
        <v>69750.869999999893</v>
      </c>
      <c r="H360" s="1">
        <v>23249.25</v>
      </c>
      <c r="I360" s="1">
        <v>0</v>
      </c>
      <c r="J360" s="1685">
        <v>23249.25</v>
      </c>
      <c r="K360" s="1">
        <f t="shared" si="15"/>
        <v>23249.25</v>
      </c>
      <c r="L360" s="1">
        <f t="shared" si="16"/>
        <v>0</v>
      </c>
      <c r="M360" s="1">
        <f t="shared" si="17"/>
        <v>0</v>
      </c>
    </row>
    <row r="361" spans="1:13">
      <c r="A361" s="3" t="s">
        <v>626</v>
      </c>
      <c r="B361" s="3" t="s">
        <v>627</v>
      </c>
      <c r="C361" s="1">
        <v>0</v>
      </c>
      <c r="D361" s="1">
        <v>0</v>
      </c>
      <c r="E361" s="1">
        <v>0</v>
      </c>
      <c r="F361" s="1">
        <v>27513.8499999999</v>
      </c>
      <c r="G361" s="1">
        <v>821.45</v>
      </c>
      <c r="H361" s="1">
        <v>26692.400000000001</v>
      </c>
      <c r="I361" s="1">
        <v>0</v>
      </c>
      <c r="J361" s="1685">
        <v>26692.400000000001</v>
      </c>
      <c r="K361" s="1">
        <f t="shared" si="15"/>
        <v>26692.400000000001</v>
      </c>
      <c r="L361" s="1">
        <f t="shared" si="16"/>
        <v>0</v>
      </c>
      <c r="M361" s="1">
        <f t="shared" si="17"/>
        <v>0</v>
      </c>
    </row>
    <row r="362" spans="1:13">
      <c r="A362" s="3" t="s">
        <v>628</v>
      </c>
      <c r="B362" s="3" t="s">
        <v>627</v>
      </c>
      <c r="C362" s="1">
        <v>0</v>
      </c>
      <c r="D362" s="1">
        <v>0</v>
      </c>
      <c r="E362" s="1">
        <v>0</v>
      </c>
      <c r="F362" s="1">
        <v>14654.17</v>
      </c>
      <c r="G362" s="1">
        <v>0</v>
      </c>
      <c r="H362" s="1">
        <v>14654.17</v>
      </c>
      <c r="I362" s="1">
        <v>0</v>
      </c>
      <c r="J362" s="1685">
        <v>14654.17</v>
      </c>
      <c r="K362" s="1">
        <f t="shared" si="15"/>
        <v>14654.17</v>
      </c>
      <c r="L362" s="1">
        <f t="shared" si="16"/>
        <v>0</v>
      </c>
      <c r="M362" s="1">
        <f t="shared" si="17"/>
        <v>0</v>
      </c>
    </row>
    <row r="363" spans="1:13">
      <c r="A363" s="3" t="s">
        <v>629</v>
      </c>
      <c r="B363" s="3" t="s">
        <v>630</v>
      </c>
      <c r="C363" s="1">
        <v>0</v>
      </c>
      <c r="D363" s="1">
        <v>0</v>
      </c>
      <c r="E363" s="1">
        <v>0</v>
      </c>
      <c r="F363" s="1">
        <v>4873</v>
      </c>
      <c r="G363" s="1">
        <v>0</v>
      </c>
      <c r="H363" s="1">
        <v>4873</v>
      </c>
      <c r="I363" s="1">
        <v>0</v>
      </c>
      <c r="J363" s="1685">
        <v>4873</v>
      </c>
      <c r="K363" s="1">
        <f t="shared" si="15"/>
        <v>4873</v>
      </c>
      <c r="L363" s="1">
        <f t="shared" si="16"/>
        <v>0</v>
      </c>
      <c r="M363" s="1">
        <f t="shared" si="17"/>
        <v>0</v>
      </c>
    </row>
    <row r="364" spans="1:13">
      <c r="A364" s="3" t="s">
        <v>631</v>
      </c>
      <c r="B364" s="3" t="s">
        <v>632</v>
      </c>
      <c r="C364" s="1">
        <v>0</v>
      </c>
      <c r="D364" s="1">
        <v>0</v>
      </c>
      <c r="E364" s="1">
        <v>0</v>
      </c>
      <c r="F364" s="1">
        <v>730899</v>
      </c>
      <c r="G364" s="1">
        <v>183</v>
      </c>
      <c r="H364" s="1">
        <v>730716</v>
      </c>
      <c r="I364" s="1">
        <v>0</v>
      </c>
      <c r="J364" s="1685">
        <v>730716</v>
      </c>
      <c r="K364" s="1">
        <f t="shared" si="15"/>
        <v>730716</v>
      </c>
      <c r="L364" s="1">
        <f t="shared" si="16"/>
        <v>0</v>
      </c>
      <c r="M364" s="1">
        <f t="shared" si="17"/>
        <v>0</v>
      </c>
    </row>
    <row r="365" spans="1:13">
      <c r="A365" s="3" t="s">
        <v>633</v>
      </c>
      <c r="B365" s="3" t="s">
        <v>3912</v>
      </c>
      <c r="C365" s="1">
        <v>0</v>
      </c>
      <c r="D365" s="1">
        <v>0</v>
      </c>
      <c r="E365" s="1">
        <v>0</v>
      </c>
      <c r="F365" s="1">
        <v>656</v>
      </c>
      <c r="G365" s="1">
        <v>500</v>
      </c>
      <c r="H365" s="1">
        <v>156</v>
      </c>
      <c r="I365" s="1">
        <v>0</v>
      </c>
      <c r="J365" s="1685">
        <v>156</v>
      </c>
      <c r="K365" s="1">
        <f t="shared" si="15"/>
        <v>156</v>
      </c>
      <c r="L365" s="1">
        <f t="shared" si="16"/>
        <v>0</v>
      </c>
      <c r="M365" s="1">
        <f t="shared" si="17"/>
        <v>0</v>
      </c>
    </row>
    <row r="366" spans="1:13">
      <c r="A366" s="3" t="s">
        <v>3671</v>
      </c>
      <c r="B366" s="3" t="s">
        <v>3673</v>
      </c>
      <c r="C366" s="1">
        <v>0</v>
      </c>
      <c r="D366" s="1">
        <v>0</v>
      </c>
      <c r="E366" s="1">
        <v>0</v>
      </c>
      <c r="F366" s="1">
        <v>10010</v>
      </c>
      <c r="G366" s="1">
        <v>500</v>
      </c>
      <c r="H366" s="1">
        <v>9510</v>
      </c>
      <c r="I366" s="1">
        <v>0</v>
      </c>
      <c r="J366" s="1685">
        <v>9510</v>
      </c>
      <c r="K366" s="1">
        <f t="shared" si="15"/>
        <v>9510</v>
      </c>
      <c r="L366" s="1">
        <f t="shared" si="16"/>
        <v>0</v>
      </c>
      <c r="M366" s="1">
        <f t="shared" si="17"/>
        <v>0</v>
      </c>
    </row>
    <row r="367" spans="1:13">
      <c r="A367" s="3" t="s">
        <v>3672</v>
      </c>
      <c r="B367" s="3" t="s">
        <v>3675</v>
      </c>
      <c r="C367" s="1">
        <v>0</v>
      </c>
      <c r="D367" s="1">
        <v>0</v>
      </c>
      <c r="E367" s="1">
        <v>0</v>
      </c>
      <c r="F367" s="1">
        <v>2660.78</v>
      </c>
      <c r="G367" s="1">
        <v>0</v>
      </c>
      <c r="H367" s="1">
        <v>2660.78</v>
      </c>
      <c r="I367" s="1">
        <v>0</v>
      </c>
      <c r="J367" s="1685">
        <v>2660.78</v>
      </c>
      <c r="K367" s="1">
        <f t="shared" si="15"/>
        <v>2660.78</v>
      </c>
      <c r="L367" s="1">
        <f t="shared" si="16"/>
        <v>0</v>
      </c>
      <c r="M367" s="1">
        <f t="shared" si="17"/>
        <v>0</v>
      </c>
    </row>
    <row r="368" spans="1:13">
      <c r="A368" s="3" t="s">
        <v>634</v>
      </c>
      <c r="B368" s="3" t="s">
        <v>635</v>
      </c>
      <c r="C368" s="1">
        <v>0</v>
      </c>
      <c r="D368" s="1">
        <v>0</v>
      </c>
      <c r="E368" s="1">
        <v>0</v>
      </c>
      <c r="F368" s="1">
        <v>9261.44</v>
      </c>
      <c r="G368" s="1">
        <v>21</v>
      </c>
      <c r="H368" s="1">
        <v>9240.44</v>
      </c>
      <c r="I368" s="1">
        <v>0</v>
      </c>
      <c r="J368" s="1685">
        <v>9240.44</v>
      </c>
      <c r="K368" s="1">
        <f t="shared" si="15"/>
        <v>9240.44</v>
      </c>
      <c r="L368" s="1">
        <f t="shared" si="16"/>
        <v>0</v>
      </c>
      <c r="M368" s="1">
        <f t="shared" si="17"/>
        <v>0</v>
      </c>
    </row>
    <row r="369" spans="1:13">
      <c r="A369" s="3" t="s">
        <v>636</v>
      </c>
      <c r="B369" s="3" t="s">
        <v>637</v>
      </c>
      <c r="C369" s="1">
        <v>0</v>
      </c>
      <c r="D369" s="1">
        <v>0</v>
      </c>
      <c r="E369" s="1">
        <v>0</v>
      </c>
      <c r="F369" s="1">
        <v>91721.929999999906</v>
      </c>
      <c r="G369" s="1">
        <v>7535.2299999999896</v>
      </c>
      <c r="H369" s="1">
        <v>84186.699999999895</v>
      </c>
      <c r="I369" s="1">
        <v>0</v>
      </c>
      <c r="J369" s="1685">
        <v>84186.699999999895</v>
      </c>
      <c r="K369" s="1">
        <f t="shared" si="15"/>
        <v>84186.699999999895</v>
      </c>
      <c r="L369" s="1">
        <f t="shared" si="16"/>
        <v>0</v>
      </c>
      <c r="M369" s="1">
        <f t="shared" si="17"/>
        <v>0</v>
      </c>
    </row>
    <row r="370" spans="1:13">
      <c r="A370" s="3" t="s">
        <v>638</v>
      </c>
      <c r="B370" s="3" t="s">
        <v>639</v>
      </c>
      <c r="C370" s="1">
        <v>0</v>
      </c>
      <c r="D370" s="1">
        <v>0</v>
      </c>
      <c r="E370" s="1">
        <v>0</v>
      </c>
      <c r="F370" s="1">
        <v>8918.9099999999908</v>
      </c>
      <c r="G370" s="1">
        <v>0</v>
      </c>
      <c r="H370" s="1">
        <v>8918.9099999999908</v>
      </c>
      <c r="I370" s="1">
        <v>0</v>
      </c>
      <c r="J370" s="1685">
        <v>8918.9099999999908</v>
      </c>
      <c r="K370" s="1">
        <f t="shared" si="15"/>
        <v>8918.9099999999908</v>
      </c>
      <c r="L370" s="1">
        <f t="shared" si="16"/>
        <v>0</v>
      </c>
      <c r="M370" s="1">
        <f t="shared" si="17"/>
        <v>0</v>
      </c>
    </row>
    <row r="371" spans="1:13">
      <c r="A371" s="3" t="s">
        <v>640</v>
      </c>
      <c r="B371" s="3" t="s">
        <v>641</v>
      </c>
      <c r="C371" s="1">
        <v>0</v>
      </c>
      <c r="D371" s="1">
        <v>0</v>
      </c>
      <c r="E371" s="1">
        <v>0</v>
      </c>
      <c r="F371" s="1">
        <v>97246.86</v>
      </c>
      <c r="G371" s="1">
        <v>12113.389999999899</v>
      </c>
      <c r="H371" s="1">
        <v>85133.47</v>
      </c>
      <c r="I371" s="1">
        <v>0</v>
      </c>
      <c r="J371" s="1685">
        <v>85133.47</v>
      </c>
      <c r="K371" s="1">
        <f t="shared" si="15"/>
        <v>85133.47</v>
      </c>
      <c r="L371" s="1">
        <f t="shared" si="16"/>
        <v>0</v>
      </c>
      <c r="M371" s="1">
        <f t="shared" si="17"/>
        <v>0</v>
      </c>
    </row>
    <row r="372" spans="1:13">
      <c r="A372" s="3" t="s">
        <v>642</v>
      </c>
      <c r="B372" s="3" t="s">
        <v>643</v>
      </c>
      <c r="C372" s="1">
        <v>0</v>
      </c>
      <c r="D372" s="1">
        <v>0</v>
      </c>
      <c r="E372" s="1">
        <v>0</v>
      </c>
      <c r="F372" s="1">
        <v>6928</v>
      </c>
      <c r="G372" s="1">
        <v>0</v>
      </c>
      <c r="H372" s="1">
        <v>6928</v>
      </c>
      <c r="I372" s="1">
        <v>0</v>
      </c>
      <c r="J372" s="1685">
        <v>6928</v>
      </c>
      <c r="K372" s="1">
        <f t="shared" si="15"/>
        <v>6928</v>
      </c>
      <c r="L372" s="1">
        <f t="shared" si="16"/>
        <v>0</v>
      </c>
      <c r="M372" s="1">
        <f t="shared" si="17"/>
        <v>0</v>
      </c>
    </row>
    <row r="373" spans="1:13">
      <c r="A373" s="3" t="s">
        <v>644</v>
      </c>
      <c r="B373" s="3" t="s">
        <v>645</v>
      </c>
      <c r="C373" s="1">
        <v>0</v>
      </c>
      <c r="D373" s="1">
        <v>0</v>
      </c>
      <c r="E373" s="1">
        <v>0</v>
      </c>
      <c r="F373" s="1">
        <v>27303.75</v>
      </c>
      <c r="G373" s="1">
        <v>3937.5</v>
      </c>
      <c r="H373" s="1">
        <v>23366.25</v>
      </c>
      <c r="I373" s="1">
        <v>0</v>
      </c>
      <c r="J373" s="1685">
        <v>23366.25</v>
      </c>
      <c r="K373" s="1">
        <f t="shared" si="15"/>
        <v>23366.25</v>
      </c>
      <c r="L373" s="1">
        <f t="shared" si="16"/>
        <v>0</v>
      </c>
      <c r="M373" s="1">
        <f t="shared" si="17"/>
        <v>0</v>
      </c>
    </row>
    <row r="374" spans="1:13">
      <c r="A374" s="3" t="s">
        <v>646</v>
      </c>
      <c r="B374" s="3" t="s">
        <v>645</v>
      </c>
      <c r="C374" s="1">
        <v>0</v>
      </c>
      <c r="D374" s="1">
        <v>0</v>
      </c>
      <c r="E374" s="1">
        <v>0</v>
      </c>
      <c r="F374" s="1">
        <v>877.5</v>
      </c>
      <c r="G374" s="1">
        <v>0</v>
      </c>
      <c r="H374" s="1">
        <v>877.5</v>
      </c>
      <c r="I374" s="1">
        <v>0</v>
      </c>
      <c r="J374" s="1685">
        <v>877.5</v>
      </c>
      <c r="K374" s="1">
        <f t="shared" si="15"/>
        <v>877.5</v>
      </c>
      <c r="L374" s="1">
        <f t="shared" si="16"/>
        <v>0</v>
      </c>
      <c r="M374" s="1">
        <f t="shared" si="17"/>
        <v>0</v>
      </c>
    </row>
    <row r="375" spans="1:13">
      <c r="A375" s="3" t="s">
        <v>647</v>
      </c>
      <c r="B375" s="3" t="s">
        <v>648</v>
      </c>
      <c r="C375" s="1">
        <v>0</v>
      </c>
      <c r="D375" s="1">
        <v>0</v>
      </c>
      <c r="E375" s="1">
        <v>0</v>
      </c>
      <c r="F375" s="1">
        <v>1460</v>
      </c>
      <c r="G375" s="1">
        <v>1460</v>
      </c>
      <c r="H375" s="1">
        <v>0</v>
      </c>
      <c r="I375" s="1">
        <v>0</v>
      </c>
      <c r="J375" s="1685">
        <v>0</v>
      </c>
      <c r="K375" s="1">
        <f t="shared" si="15"/>
        <v>0</v>
      </c>
      <c r="L375" s="1">
        <f t="shared" si="16"/>
        <v>0</v>
      </c>
      <c r="M375" s="1">
        <f t="shared" si="17"/>
        <v>0</v>
      </c>
    </row>
    <row r="376" spans="1:13">
      <c r="A376" s="3" t="s">
        <v>651</v>
      </c>
      <c r="B376" s="3" t="s">
        <v>652</v>
      </c>
      <c r="C376" s="1">
        <v>0</v>
      </c>
      <c r="D376" s="1">
        <v>0</v>
      </c>
      <c r="E376" s="1">
        <v>0</v>
      </c>
      <c r="F376" s="1">
        <v>132812.47</v>
      </c>
      <c r="G376" s="1">
        <v>104388.149999999</v>
      </c>
      <c r="H376" s="1">
        <v>28424.32</v>
      </c>
      <c r="I376" s="1">
        <v>0</v>
      </c>
      <c r="J376" s="1685">
        <v>28424.32</v>
      </c>
      <c r="K376" s="1">
        <f t="shared" si="15"/>
        <v>28424.32</v>
      </c>
      <c r="L376" s="1">
        <f t="shared" si="16"/>
        <v>0</v>
      </c>
      <c r="M376" s="1">
        <f t="shared" si="17"/>
        <v>0</v>
      </c>
    </row>
    <row r="377" spans="1:13">
      <c r="A377" s="3" t="s">
        <v>653</v>
      </c>
      <c r="B377" s="3" t="s">
        <v>654</v>
      </c>
      <c r="C377" s="1">
        <v>0</v>
      </c>
      <c r="D377" s="1">
        <v>0</v>
      </c>
      <c r="E377" s="1">
        <v>0</v>
      </c>
      <c r="F377" s="1">
        <v>141502.28</v>
      </c>
      <c r="G377" s="1">
        <v>109889.50999999901</v>
      </c>
      <c r="H377" s="1">
        <v>31612.77</v>
      </c>
      <c r="I377" s="1">
        <v>0</v>
      </c>
      <c r="J377" s="1685">
        <v>31612.77</v>
      </c>
      <c r="K377" s="1">
        <f t="shared" si="15"/>
        <v>31612.77</v>
      </c>
      <c r="L377" s="1">
        <f t="shared" si="16"/>
        <v>0</v>
      </c>
      <c r="M377" s="1">
        <f t="shared" si="17"/>
        <v>0</v>
      </c>
    </row>
    <row r="378" spans="1:13">
      <c r="A378" s="3" t="s">
        <v>3896</v>
      </c>
      <c r="B378" s="3" t="s">
        <v>654</v>
      </c>
      <c r="C378" s="5">
        <v>0</v>
      </c>
      <c r="D378" s="5">
        <v>0</v>
      </c>
      <c r="E378" s="5">
        <v>0</v>
      </c>
      <c r="F378" s="5">
        <v>0</v>
      </c>
      <c r="G378" s="5">
        <v>289.87</v>
      </c>
      <c r="H378" s="5">
        <v>0</v>
      </c>
      <c r="I378" s="5">
        <v>-289.87</v>
      </c>
      <c r="J378" s="1685">
        <v>-289.87</v>
      </c>
      <c r="K378" s="1">
        <f t="shared" si="15"/>
        <v>-289.87</v>
      </c>
      <c r="L378" s="1">
        <f t="shared" si="16"/>
        <v>0</v>
      </c>
      <c r="M378" s="1">
        <f t="shared" si="17"/>
        <v>0</v>
      </c>
    </row>
    <row r="379" spans="1:13">
      <c r="A379" s="3" t="s">
        <v>655</v>
      </c>
      <c r="B379" s="3" t="s">
        <v>656</v>
      </c>
      <c r="C379" s="5">
        <v>0</v>
      </c>
      <c r="D379" s="5">
        <v>0</v>
      </c>
      <c r="E379" s="5">
        <v>0</v>
      </c>
      <c r="F379" s="5">
        <v>364409.21999999898</v>
      </c>
      <c r="G379" s="5">
        <v>272949.609999999</v>
      </c>
      <c r="H379" s="5">
        <v>91459.61</v>
      </c>
      <c r="I379" s="5">
        <v>0</v>
      </c>
      <c r="J379" s="1685">
        <v>91459.61</v>
      </c>
      <c r="K379" s="1">
        <f t="shared" si="15"/>
        <v>91459.61</v>
      </c>
      <c r="L379" s="1">
        <f t="shared" si="16"/>
        <v>0</v>
      </c>
      <c r="M379" s="1">
        <f t="shared" si="17"/>
        <v>0</v>
      </c>
    </row>
    <row r="380" spans="1:13">
      <c r="A380" s="3" t="s">
        <v>657</v>
      </c>
      <c r="B380" s="3" t="s">
        <v>658</v>
      </c>
      <c r="C380" s="5">
        <v>0</v>
      </c>
      <c r="D380" s="5">
        <v>0</v>
      </c>
      <c r="E380" s="5">
        <v>0</v>
      </c>
      <c r="F380" s="5">
        <v>3866.86</v>
      </c>
      <c r="G380" s="5">
        <v>1933.43</v>
      </c>
      <c r="H380" s="5">
        <v>1933.43</v>
      </c>
      <c r="I380" s="5">
        <v>0</v>
      </c>
      <c r="J380" s="1685">
        <v>1933.43</v>
      </c>
      <c r="K380" s="1">
        <f t="shared" si="15"/>
        <v>1933.43</v>
      </c>
      <c r="L380" s="1">
        <f t="shared" si="16"/>
        <v>0</v>
      </c>
      <c r="M380" s="1">
        <f t="shared" si="17"/>
        <v>0</v>
      </c>
    </row>
    <row r="381" spans="1:13">
      <c r="A381" s="3" t="s">
        <v>659</v>
      </c>
      <c r="B381" s="3" t="s">
        <v>660</v>
      </c>
      <c r="C381" s="5">
        <v>0</v>
      </c>
      <c r="D381" s="5">
        <v>0</v>
      </c>
      <c r="E381" s="5">
        <v>0</v>
      </c>
      <c r="F381" s="5">
        <v>76660.66</v>
      </c>
      <c r="G381" s="5">
        <v>59859.919999999896</v>
      </c>
      <c r="H381" s="5">
        <v>16800.740000000002</v>
      </c>
      <c r="I381" s="5">
        <v>0</v>
      </c>
      <c r="J381" s="1685">
        <v>16800.740000000002</v>
      </c>
      <c r="K381" s="1">
        <f t="shared" si="15"/>
        <v>16800.740000000002</v>
      </c>
      <c r="L381" s="1">
        <f t="shared" si="16"/>
        <v>0</v>
      </c>
      <c r="M381" s="1">
        <f t="shared" si="17"/>
        <v>0</v>
      </c>
    </row>
    <row r="382" spans="1:13">
      <c r="A382" s="3" t="s">
        <v>3897</v>
      </c>
      <c r="B382" s="3" t="s">
        <v>3898</v>
      </c>
      <c r="C382" s="5">
        <v>0</v>
      </c>
      <c r="D382" s="5">
        <v>0</v>
      </c>
      <c r="E382" s="5">
        <v>0</v>
      </c>
      <c r="F382" s="5">
        <v>77.599999999999895</v>
      </c>
      <c r="G382" s="5">
        <v>58.2</v>
      </c>
      <c r="H382" s="5">
        <v>19.399999999999899</v>
      </c>
      <c r="I382" s="5">
        <v>0</v>
      </c>
      <c r="J382" s="1685">
        <v>19.399999999999899</v>
      </c>
      <c r="K382" s="1">
        <f t="shared" si="15"/>
        <v>19.399999999999899</v>
      </c>
      <c r="L382" s="1">
        <f t="shared" si="16"/>
        <v>0</v>
      </c>
      <c r="M382" s="1">
        <f t="shared" si="17"/>
        <v>0</v>
      </c>
    </row>
    <row r="383" spans="1:13">
      <c r="A383" s="3" t="s">
        <v>665</v>
      </c>
      <c r="B383" s="3" t="s">
        <v>666</v>
      </c>
      <c r="C383" s="5">
        <v>0</v>
      </c>
      <c r="D383" s="5">
        <v>0</v>
      </c>
      <c r="E383" s="5">
        <v>0</v>
      </c>
      <c r="F383" s="5">
        <v>1808</v>
      </c>
      <c r="G383" s="5">
        <v>0</v>
      </c>
      <c r="H383" s="5">
        <v>1808</v>
      </c>
      <c r="I383" s="5">
        <v>0</v>
      </c>
      <c r="J383" s="1685">
        <v>1808</v>
      </c>
      <c r="K383" s="1">
        <f t="shared" si="15"/>
        <v>1808</v>
      </c>
      <c r="L383" s="1">
        <f t="shared" si="16"/>
        <v>0</v>
      </c>
      <c r="M383" s="1">
        <f t="shared" si="17"/>
        <v>0</v>
      </c>
    </row>
    <row r="384" spans="1:13">
      <c r="A384" s="3" t="s">
        <v>1794</v>
      </c>
      <c r="B384" s="3" t="s">
        <v>668</v>
      </c>
      <c r="C384" s="5">
        <v>0</v>
      </c>
      <c r="D384" s="5">
        <v>0</v>
      </c>
      <c r="E384" s="5">
        <v>0</v>
      </c>
      <c r="F384" s="5">
        <v>0</v>
      </c>
      <c r="G384" s="5">
        <v>0</v>
      </c>
      <c r="H384" s="5">
        <v>0</v>
      </c>
      <c r="I384" s="5">
        <v>0</v>
      </c>
      <c r="J384" s="1685">
        <v>0</v>
      </c>
      <c r="K384" s="1">
        <f t="shared" si="15"/>
        <v>0</v>
      </c>
      <c r="L384" s="1">
        <f t="shared" si="16"/>
        <v>0</v>
      </c>
      <c r="M384" s="1">
        <f t="shared" si="17"/>
        <v>0</v>
      </c>
    </row>
    <row r="385" spans="1:13">
      <c r="A385" s="3" t="s">
        <v>667</v>
      </c>
      <c r="B385" s="3" t="s">
        <v>668</v>
      </c>
      <c r="C385" s="5">
        <v>0</v>
      </c>
      <c r="D385" s="5">
        <v>0</v>
      </c>
      <c r="E385" s="5">
        <v>0</v>
      </c>
      <c r="F385" s="5">
        <v>696.64999999999895</v>
      </c>
      <c r="G385" s="5">
        <v>0</v>
      </c>
      <c r="H385" s="5">
        <v>696.64999999999895</v>
      </c>
      <c r="I385" s="5">
        <v>0</v>
      </c>
      <c r="J385" s="1685">
        <v>696.64999999999895</v>
      </c>
      <c r="K385" s="1">
        <f t="shared" si="15"/>
        <v>696.64999999999895</v>
      </c>
      <c r="L385" s="1">
        <f t="shared" si="16"/>
        <v>0</v>
      </c>
      <c r="M385" s="1">
        <f t="shared" si="17"/>
        <v>0</v>
      </c>
    </row>
    <row r="386" spans="1:13">
      <c r="A386" s="3" t="s">
        <v>669</v>
      </c>
      <c r="B386" s="3" t="s">
        <v>670</v>
      </c>
      <c r="C386" s="5">
        <v>0</v>
      </c>
      <c r="D386" s="5">
        <v>0</v>
      </c>
      <c r="E386" s="5">
        <v>0</v>
      </c>
      <c r="F386" s="5">
        <v>3377.4</v>
      </c>
      <c r="G386" s="5">
        <v>33.840000000000003</v>
      </c>
      <c r="H386" s="5">
        <v>3343.5599999999899</v>
      </c>
      <c r="I386" s="5">
        <v>0</v>
      </c>
      <c r="J386" s="1685">
        <v>3343.5599999999899</v>
      </c>
      <c r="K386" s="1">
        <f t="shared" si="15"/>
        <v>3343.5599999999899</v>
      </c>
      <c r="L386" s="1">
        <f t="shared" si="16"/>
        <v>0</v>
      </c>
      <c r="M386" s="1">
        <f t="shared" si="17"/>
        <v>0</v>
      </c>
    </row>
    <row r="387" spans="1:13">
      <c r="A387" s="3" t="s">
        <v>671</v>
      </c>
      <c r="B387" s="3" t="s">
        <v>672</v>
      </c>
      <c r="C387" s="5">
        <v>0</v>
      </c>
      <c r="D387" s="5">
        <v>0</v>
      </c>
      <c r="E387" s="5">
        <v>0</v>
      </c>
      <c r="F387" s="5">
        <v>972650.59999999905</v>
      </c>
      <c r="G387" s="5">
        <v>437952.96</v>
      </c>
      <c r="H387" s="5">
        <v>534697.64</v>
      </c>
      <c r="I387" s="5">
        <v>0</v>
      </c>
      <c r="J387" s="1685">
        <v>534697.64</v>
      </c>
      <c r="K387" s="1">
        <f t="shared" si="15"/>
        <v>534697.64</v>
      </c>
      <c r="L387" s="1">
        <f t="shared" si="16"/>
        <v>0</v>
      </c>
      <c r="M387" s="1">
        <f t="shared" si="17"/>
        <v>0</v>
      </c>
    </row>
    <row r="388" spans="1:13">
      <c r="A388" s="3" t="s">
        <v>673</v>
      </c>
      <c r="B388" s="3" t="s">
        <v>674</v>
      </c>
      <c r="C388" s="5">
        <v>0</v>
      </c>
      <c r="D388" s="5">
        <v>0</v>
      </c>
      <c r="E388" s="5">
        <v>0</v>
      </c>
      <c r="F388" s="5">
        <v>0</v>
      </c>
      <c r="G388" s="5">
        <v>155356.929999999</v>
      </c>
      <c r="H388" s="5">
        <v>0</v>
      </c>
      <c r="I388" s="5">
        <v>-155356.929999999</v>
      </c>
      <c r="J388" s="1685">
        <v>-155356.929999999</v>
      </c>
      <c r="K388" s="1">
        <f t="shared" ref="K388:K451" si="18">J388-C388</f>
        <v>-155356.929999999</v>
      </c>
      <c r="L388" s="1">
        <f t="shared" ref="L388:L451" si="19">IF(C388&gt;0,C388,0)</f>
        <v>0</v>
      </c>
      <c r="M388" s="1">
        <f t="shared" ref="M388:M451" si="20">IF(C388&lt;0,C388,0)</f>
        <v>0</v>
      </c>
    </row>
    <row r="389" spans="1:13">
      <c r="A389" s="3" t="s">
        <v>3735</v>
      </c>
      <c r="B389" s="3" t="s">
        <v>3736</v>
      </c>
      <c r="C389" s="5">
        <v>0</v>
      </c>
      <c r="D389" s="5">
        <v>0</v>
      </c>
      <c r="E389" s="5">
        <v>0</v>
      </c>
      <c r="F389" s="5">
        <v>368500</v>
      </c>
      <c r="G389" s="5">
        <v>366500</v>
      </c>
      <c r="H389" s="5">
        <v>2000</v>
      </c>
      <c r="I389" s="5">
        <v>0</v>
      </c>
      <c r="J389" s="1685">
        <v>2000</v>
      </c>
      <c r="K389" s="1">
        <f t="shared" si="18"/>
        <v>2000</v>
      </c>
      <c r="L389" s="1">
        <f t="shared" si="19"/>
        <v>0</v>
      </c>
      <c r="M389" s="1">
        <f t="shared" si="20"/>
        <v>0</v>
      </c>
    </row>
    <row r="390" spans="1:13">
      <c r="A390" s="3" t="s">
        <v>675</v>
      </c>
      <c r="B390" s="3" t="s">
        <v>676</v>
      </c>
      <c r="C390" s="5">
        <v>0</v>
      </c>
      <c r="D390" s="5">
        <v>0</v>
      </c>
      <c r="E390" s="5">
        <v>0</v>
      </c>
      <c r="F390" s="5">
        <v>27521.619999999901</v>
      </c>
      <c r="G390" s="5">
        <v>0</v>
      </c>
      <c r="H390" s="5">
        <v>27521.619999999901</v>
      </c>
      <c r="I390" s="5">
        <v>0</v>
      </c>
      <c r="J390" s="1685">
        <v>27521.619999999901</v>
      </c>
      <c r="K390" s="1">
        <f t="shared" si="18"/>
        <v>27521.619999999901</v>
      </c>
      <c r="L390" s="1">
        <f t="shared" si="19"/>
        <v>0</v>
      </c>
      <c r="M390" s="1">
        <f t="shared" si="20"/>
        <v>0</v>
      </c>
    </row>
    <row r="391" spans="1:13">
      <c r="A391" s="3" t="s">
        <v>677</v>
      </c>
      <c r="B391" s="3" t="s">
        <v>678</v>
      </c>
      <c r="C391" s="5">
        <v>0</v>
      </c>
      <c r="D391" s="5">
        <v>0</v>
      </c>
      <c r="E391" s="5">
        <v>0</v>
      </c>
      <c r="F391" s="5">
        <v>3312.42</v>
      </c>
      <c r="G391" s="5">
        <v>30292.5099999999</v>
      </c>
      <c r="H391" s="5">
        <v>0</v>
      </c>
      <c r="I391" s="5">
        <v>-26980.09</v>
      </c>
      <c r="J391" s="1685">
        <v>-26980.09</v>
      </c>
      <c r="K391" s="1">
        <f t="shared" si="18"/>
        <v>-26980.09</v>
      </c>
      <c r="L391" s="1">
        <f t="shared" si="19"/>
        <v>0</v>
      </c>
      <c r="M391" s="1">
        <f t="shared" si="20"/>
        <v>0</v>
      </c>
    </row>
    <row r="392" spans="1:13">
      <c r="A392" s="3" t="s">
        <v>679</v>
      </c>
      <c r="B392" s="3" t="s">
        <v>680</v>
      </c>
      <c r="C392" s="5">
        <v>0</v>
      </c>
      <c r="D392" s="5">
        <v>0</v>
      </c>
      <c r="E392" s="5">
        <v>0</v>
      </c>
      <c r="F392" s="5">
        <v>396671.02</v>
      </c>
      <c r="G392" s="5">
        <v>114025807.14</v>
      </c>
      <c r="H392" s="5">
        <v>0</v>
      </c>
      <c r="I392" s="5">
        <v>-113629136.12</v>
      </c>
      <c r="J392" s="1685">
        <v>-113629136.12</v>
      </c>
      <c r="K392" s="1">
        <f t="shared" si="18"/>
        <v>-113629136.12</v>
      </c>
      <c r="L392" s="1">
        <f t="shared" si="19"/>
        <v>0</v>
      </c>
      <c r="M392" s="1">
        <f t="shared" si="20"/>
        <v>0</v>
      </c>
    </row>
    <row r="393" spans="1:13">
      <c r="A393" s="3" t="s">
        <v>681</v>
      </c>
      <c r="B393" s="3" t="s">
        <v>682</v>
      </c>
      <c r="C393" s="5">
        <v>0</v>
      </c>
      <c r="D393" s="5">
        <v>0</v>
      </c>
      <c r="E393" s="5">
        <v>0</v>
      </c>
      <c r="F393" s="5">
        <v>22258637.109999899</v>
      </c>
      <c r="G393" s="5">
        <v>28334926.030000001</v>
      </c>
      <c r="H393" s="5">
        <v>0</v>
      </c>
      <c r="I393" s="5">
        <v>-6076288.9199999897</v>
      </c>
      <c r="J393" s="1685">
        <v>-6076288.9199999897</v>
      </c>
      <c r="K393" s="1">
        <f t="shared" si="18"/>
        <v>-6076288.9199999897</v>
      </c>
      <c r="L393" s="1">
        <f t="shared" si="19"/>
        <v>0</v>
      </c>
      <c r="M393" s="1">
        <f t="shared" si="20"/>
        <v>0</v>
      </c>
    </row>
    <row r="394" spans="1:13">
      <c r="A394" s="3" t="s">
        <v>3284</v>
      </c>
      <c r="B394" s="3" t="s">
        <v>3936</v>
      </c>
      <c r="C394" s="5">
        <v>0</v>
      </c>
      <c r="D394" s="5">
        <v>0</v>
      </c>
      <c r="E394" s="5">
        <v>0</v>
      </c>
      <c r="F394" s="5">
        <v>0</v>
      </c>
      <c r="G394" s="5">
        <v>48713.089999999902</v>
      </c>
      <c r="H394" s="5">
        <v>0</v>
      </c>
      <c r="I394" s="5">
        <v>-48713.089999999902</v>
      </c>
      <c r="J394" s="1685">
        <v>-48713.089999999902</v>
      </c>
      <c r="K394" s="1">
        <f t="shared" si="18"/>
        <v>-48713.089999999902</v>
      </c>
      <c r="L394" s="1">
        <f t="shared" si="19"/>
        <v>0</v>
      </c>
      <c r="M394" s="1">
        <f t="shared" si="20"/>
        <v>0</v>
      </c>
    </row>
    <row r="395" spans="1:13">
      <c r="A395" s="3" t="s">
        <v>684</v>
      </c>
      <c r="B395" s="3" t="s">
        <v>682</v>
      </c>
      <c r="C395" s="5">
        <v>0</v>
      </c>
      <c r="D395" s="5">
        <v>0</v>
      </c>
      <c r="E395" s="5">
        <v>0</v>
      </c>
      <c r="F395" s="5">
        <v>4499999.03</v>
      </c>
      <c r="G395" s="5">
        <v>6566441.1900000004</v>
      </c>
      <c r="H395" s="5">
        <v>0</v>
      </c>
      <c r="I395" s="5">
        <v>-2066442.1599999899</v>
      </c>
      <c r="J395" s="1685">
        <v>-2066442.1599999899</v>
      </c>
      <c r="K395" s="1">
        <f t="shared" si="18"/>
        <v>-2066442.1599999899</v>
      </c>
      <c r="L395" s="1">
        <f t="shared" si="19"/>
        <v>0</v>
      </c>
      <c r="M395" s="1">
        <f t="shared" si="20"/>
        <v>0</v>
      </c>
    </row>
    <row r="396" spans="1:13">
      <c r="A396" s="3" t="s">
        <v>685</v>
      </c>
      <c r="B396" s="3" t="s">
        <v>686</v>
      </c>
      <c r="C396" s="5">
        <v>5868.8699999999899</v>
      </c>
      <c r="D396" s="5">
        <v>0</v>
      </c>
      <c r="E396" s="5">
        <v>5868.8699999999899</v>
      </c>
      <c r="F396" s="5">
        <v>52166228.200000003</v>
      </c>
      <c r="G396" s="5">
        <v>46089939.280000001</v>
      </c>
      <c r="H396" s="5">
        <v>6082157.79</v>
      </c>
      <c r="I396" s="5">
        <v>0</v>
      </c>
      <c r="J396" s="1685">
        <v>6082157.79</v>
      </c>
      <c r="K396" s="1">
        <f t="shared" si="18"/>
        <v>6076288.9199999999</v>
      </c>
      <c r="L396" s="1">
        <f t="shared" si="19"/>
        <v>5868.8699999999899</v>
      </c>
      <c r="M396" s="1">
        <f t="shared" si="20"/>
        <v>0</v>
      </c>
    </row>
    <row r="397" spans="1:13">
      <c r="A397" s="3" t="s">
        <v>687</v>
      </c>
      <c r="B397" s="3" t="s">
        <v>688</v>
      </c>
      <c r="C397" s="5">
        <v>613207.68999999901</v>
      </c>
      <c r="D397" s="5">
        <v>0</v>
      </c>
      <c r="E397" s="5">
        <v>613207.68999999901</v>
      </c>
      <c r="F397" s="5">
        <v>9858.0599999999904</v>
      </c>
      <c r="G397" s="5">
        <v>0</v>
      </c>
      <c r="H397" s="5">
        <v>623065.75</v>
      </c>
      <c r="I397" s="5">
        <v>0</v>
      </c>
      <c r="J397" s="1685">
        <v>623065.75</v>
      </c>
      <c r="K397" s="1">
        <f t="shared" si="18"/>
        <v>9858.0600000009872</v>
      </c>
      <c r="L397" s="1">
        <f t="shared" si="19"/>
        <v>613207.68999999901</v>
      </c>
      <c r="M397" s="1">
        <f t="shared" si="20"/>
        <v>0</v>
      </c>
    </row>
    <row r="398" spans="1:13">
      <c r="A398" s="3" t="s">
        <v>689</v>
      </c>
      <c r="B398" s="3" t="s">
        <v>690</v>
      </c>
      <c r="C398" s="1">
        <v>303701.25</v>
      </c>
      <c r="D398" s="1">
        <v>0</v>
      </c>
      <c r="E398" s="1">
        <v>303701.25</v>
      </c>
      <c r="F398" s="1">
        <v>641460.16</v>
      </c>
      <c r="G398" s="1">
        <v>423071.489999999</v>
      </c>
      <c r="H398" s="1">
        <v>522089.91999999899</v>
      </c>
      <c r="I398" s="1">
        <v>0</v>
      </c>
      <c r="J398" s="1685">
        <v>522089.91999999899</v>
      </c>
      <c r="K398" s="1">
        <f t="shared" si="18"/>
        <v>218388.66999999899</v>
      </c>
      <c r="L398" s="1">
        <f t="shared" si="19"/>
        <v>303701.25</v>
      </c>
      <c r="M398" s="1">
        <f t="shared" si="20"/>
        <v>0</v>
      </c>
    </row>
    <row r="399" spans="1:13">
      <c r="A399" s="3" t="s">
        <v>691</v>
      </c>
      <c r="B399" s="3" t="s">
        <v>692</v>
      </c>
      <c r="C399" s="1">
        <v>220508.739999999</v>
      </c>
      <c r="D399" s="1">
        <v>0</v>
      </c>
      <c r="E399" s="1">
        <v>220508.739999999</v>
      </c>
      <c r="F399" s="1">
        <v>0</v>
      </c>
      <c r="G399" s="1">
        <v>51055.47</v>
      </c>
      <c r="H399" s="1">
        <v>169453.269999999</v>
      </c>
      <c r="I399" s="1">
        <v>0</v>
      </c>
      <c r="J399" s="1685">
        <v>169453.269999999</v>
      </c>
      <c r="K399" s="1">
        <f t="shared" si="18"/>
        <v>-51055.47</v>
      </c>
      <c r="L399" s="1">
        <f t="shared" si="19"/>
        <v>220508.739999999</v>
      </c>
      <c r="M399" s="1">
        <f t="shared" si="20"/>
        <v>0</v>
      </c>
    </row>
    <row r="400" spans="1:13">
      <c r="A400" s="3" t="s">
        <v>693</v>
      </c>
      <c r="B400" s="3" t="s">
        <v>694</v>
      </c>
      <c r="C400" s="1">
        <v>2126232.83</v>
      </c>
      <c r="D400" s="1">
        <v>0</v>
      </c>
      <c r="E400" s="1">
        <v>2126232.83</v>
      </c>
      <c r="F400" s="1">
        <v>62005.169999999896</v>
      </c>
      <c r="G400" s="1">
        <v>110218.62</v>
      </c>
      <c r="H400" s="1">
        <v>2078019.3799999901</v>
      </c>
      <c r="I400" s="1">
        <v>0</v>
      </c>
      <c r="J400" s="1685">
        <v>2078019.3799999901</v>
      </c>
      <c r="K400" s="1">
        <f t="shared" si="18"/>
        <v>-48213.450000009965</v>
      </c>
      <c r="L400" s="1">
        <f t="shared" si="19"/>
        <v>2126232.83</v>
      </c>
      <c r="M400" s="1">
        <f t="shared" si="20"/>
        <v>0</v>
      </c>
    </row>
    <row r="401" spans="1:13">
      <c r="A401" s="3" t="s">
        <v>695</v>
      </c>
      <c r="B401" s="3" t="s">
        <v>696</v>
      </c>
      <c r="C401" s="1">
        <v>770200.98999999894</v>
      </c>
      <c r="D401" s="1">
        <v>0</v>
      </c>
      <c r="E401" s="1">
        <v>770200.98999999894</v>
      </c>
      <c r="F401" s="1">
        <v>686063.64</v>
      </c>
      <c r="G401" s="1">
        <v>848676.28</v>
      </c>
      <c r="H401" s="1">
        <v>607588.34999999905</v>
      </c>
      <c r="I401" s="1">
        <v>0</v>
      </c>
      <c r="J401" s="1685">
        <v>607588.34999999905</v>
      </c>
      <c r="K401" s="1">
        <f t="shared" si="18"/>
        <v>-162612.6399999999</v>
      </c>
      <c r="L401" s="1">
        <f t="shared" si="19"/>
        <v>770200.98999999894</v>
      </c>
      <c r="M401" s="1">
        <f t="shared" si="20"/>
        <v>0</v>
      </c>
    </row>
    <row r="402" spans="1:13">
      <c r="A402" s="3" t="s">
        <v>697</v>
      </c>
      <c r="B402" s="3" t="s">
        <v>698</v>
      </c>
      <c r="C402" s="1">
        <v>429457.53999999899</v>
      </c>
      <c r="D402" s="1">
        <v>0</v>
      </c>
      <c r="E402" s="1">
        <v>429457.53999999899</v>
      </c>
      <c r="F402" s="1">
        <v>0</v>
      </c>
      <c r="G402" s="1">
        <v>0</v>
      </c>
      <c r="H402" s="1">
        <v>429457.53999999899</v>
      </c>
      <c r="I402" s="1">
        <v>0</v>
      </c>
      <c r="J402" s="1685">
        <v>429457.53999999899</v>
      </c>
      <c r="K402" s="1">
        <f t="shared" si="18"/>
        <v>0</v>
      </c>
      <c r="L402" s="1">
        <f t="shared" si="19"/>
        <v>429457.53999999899</v>
      </c>
      <c r="M402" s="1">
        <f t="shared" si="20"/>
        <v>0</v>
      </c>
    </row>
    <row r="403" spans="1:13">
      <c r="A403" s="3" t="s">
        <v>699</v>
      </c>
      <c r="B403" s="3" t="s">
        <v>688</v>
      </c>
      <c r="C403" s="1">
        <v>3383597.79</v>
      </c>
      <c r="D403" s="1">
        <v>0</v>
      </c>
      <c r="E403" s="1">
        <v>3383597.79</v>
      </c>
      <c r="F403" s="1">
        <v>869.19</v>
      </c>
      <c r="G403" s="1">
        <v>11714.549999999899</v>
      </c>
      <c r="H403" s="1">
        <v>3372752.43</v>
      </c>
      <c r="I403" s="1">
        <v>0</v>
      </c>
      <c r="J403" s="1685">
        <v>3372752.43</v>
      </c>
      <c r="K403" s="1">
        <f t="shared" si="18"/>
        <v>-10845.35999999987</v>
      </c>
      <c r="L403" s="1">
        <f t="shared" si="19"/>
        <v>3383597.79</v>
      </c>
      <c r="M403" s="1">
        <f t="shared" si="20"/>
        <v>0</v>
      </c>
    </row>
    <row r="404" spans="1:13">
      <c r="A404" s="3" t="s">
        <v>700</v>
      </c>
      <c r="B404" s="3" t="s">
        <v>701</v>
      </c>
      <c r="C404" s="1">
        <v>28555.18</v>
      </c>
      <c r="D404" s="1">
        <v>0</v>
      </c>
      <c r="E404" s="1">
        <v>28555.18</v>
      </c>
      <c r="F404" s="1">
        <v>657.98</v>
      </c>
      <c r="G404" s="1">
        <v>10031.84</v>
      </c>
      <c r="H404" s="1">
        <v>19181.32</v>
      </c>
      <c r="I404" s="1">
        <v>0</v>
      </c>
      <c r="J404" s="1685">
        <v>19181.32</v>
      </c>
      <c r="K404" s="1">
        <f t="shared" si="18"/>
        <v>-9373.86</v>
      </c>
      <c r="L404" s="1">
        <f t="shared" si="19"/>
        <v>28555.18</v>
      </c>
      <c r="M404" s="1">
        <f t="shared" si="20"/>
        <v>0</v>
      </c>
    </row>
    <row r="405" spans="1:13">
      <c r="A405" s="3" t="s">
        <v>702</v>
      </c>
      <c r="B405" s="3" t="s">
        <v>701</v>
      </c>
      <c r="C405" s="1">
        <v>240788.7</v>
      </c>
      <c r="D405" s="1">
        <v>0</v>
      </c>
      <c r="E405" s="1">
        <v>240788.7</v>
      </c>
      <c r="F405" s="1">
        <v>11307.87</v>
      </c>
      <c r="G405" s="1">
        <v>66786.600000000006</v>
      </c>
      <c r="H405" s="1">
        <v>185309.97</v>
      </c>
      <c r="I405" s="1">
        <v>0</v>
      </c>
      <c r="J405" s="1685">
        <v>185309.97</v>
      </c>
      <c r="K405" s="1">
        <f t="shared" si="18"/>
        <v>-55478.73000000001</v>
      </c>
      <c r="L405" s="1">
        <f t="shared" si="19"/>
        <v>240788.7</v>
      </c>
      <c r="M405" s="1">
        <f t="shared" si="20"/>
        <v>0</v>
      </c>
    </row>
    <row r="406" spans="1:13">
      <c r="A406" s="3" t="s">
        <v>703</v>
      </c>
      <c r="B406" s="3" t="s">
        <v>704</v>
      </c>
      <c r="C406" s="1">
        <v>1265498</v>
      </c>
      <c r="D406" s="1">
        <v>0</v>
      </c>
      <c r="E406" s="1">
        <v>1265498</v>
      </c>
      <c r="F406" s="1">
        <v>5892.64</v>
      </c>
      <c r="G406" s="1">
        <v>1257715.56</v>
      </c>
      <c r="H406" s="1">
        <v>13675.08</v>
      </c>
      <c r="I406" s="1">
        <v>0</v>
      </c>
      <c r="J406" s="1685">
        <v>13675.08</v>
      </c>
      <c r="K406" s="1">
        <f t="shared" si="18"/>
        <v>-1251822.92</v>
      </c>
      <c r="L406" s="1">
        <f t="shared" si="19"/>
        <v>1265498</v>
      </c>
      <c r="M406" s="1">
        <f t="shared" si="20"/>
        <v>0</v>
      </c>
    </row>
    <row r="407" spans="1:13">
      <c r="A407" s="3" t="s">
        <v>3359</v>
      </c>
      <c r="B407" s="3" t="s">
        <v>3360</v>
      </c>
      <c r="C407" s="1">
        <v>0</v>
      </c>
      <c r="D407" s="1">
        <v>0</v>
      </c>
      <c r="E407" s="1">
        <v>0</v>
      </c>
      <c r="F407" s="1">
        <v>813444.39</v>
      </c>
      <c r="G407" s="1">
        <v>813444.39</v>
      </c>
      <c r="H407" s="1">
        <v>0</v>
      </c>
      <c r="I407" s="1">
        <v>0</v>
      </c>
      <c r="J407" s="1685">
        <v>0</v>
      </c>
      <c r="K407" s="1">
        <f t="shared" si="18"/>
        <v>0</v>
      </c>
      <c r="L407" s="1">
        <f t="shared" si="19"/>
        <v>0</v>
      </c>
      <c r="M407" s="1">
        <f t="shared" si="20"/>
        <v>0</v>
      </c>
    </row>
    <row r="408" spans="1:13">
      <c r="A408" s="3" t="s">
        <v>705</v>
      </c>
      <c r="B408" s="3" t="s">
        <v>706</v>
      </c>
      <c r="C408" s="1">
        <v>668904.46999999904</v>
      </c>
      <c r="D408" s="1">
        <v>0</v>
      </c>
      <c r="E408" s="1">
        <v>668904.46999999904</v>
      </c>
      <c r="F408" s="1">
        <v>57000</v>
      </c>
      <c r="G408" s="1">
        <v>98916.91</v>
      </c>
      <c r="H408" s="1">
        <v>626987.56000000006</v>
      </c>
      <c r="I408" s="1">
        <v>0</v>
      </c>
      <c r="J408" s="1685">
        <v>626987.56000000006</v>
      </c>
      <c r="K408" s="1">
        <f t="shared" si="18"/>
        <v>-41916.909999998985</v>
      </c>
      <c r="L408" s="1">
        <f t="shared" si="19"/>
        <v>668904.46999999904</v>
      </c>
      <c r="M408" s="1">
        <f t="shared" si="20"/>
        <v>0</v>
      </c>
    </row>
    <row r="409" spans="1:13">
      <c r="A409" s="3" t="s">
        <v>707</v>
      </c>
      <c r="B409" s="3" t="s">
        <v>3308</v>
      </c>
      <c r="C409" s="1">
        <v>80853.419999999896</v>
      </c>
      <c r="D409" s="1">
        <v>0</v>
      </c>
      <c r="E409" s="1">
        <v>80853.419999999896</v>
      </c>
      <c r="F409" s="1">
        <v>0</v>
      </c>
      <c r="G409" s="1">
        <v>0</v>
      </c>
      <c r="H409" s="1">
        <v>80853.419999999896</v>
      </c>
      <c r="I409" s="1">
        <v>0</v>
      </c>
      <c r="J409" s="1685">
        <v>80853.419999999896</v>
      </c>
      <c r="K409" s="1">
        <f t="shared" si="18"/>
        <v>0</v>
      </c>
      <c r="L409" s="1">
        <f t="shared" si="19"/>
        <v>80853.419999999896</v>
      </c>
      <c r="M409" s="1">
        <f t="shared" si="20"/>
        <v>0</v>
      </c>
    </row>
    <row r="410" spans="1:13">
      <c r="A410" s="3" t="s">
        <v>708</v>
      </c>
      <c r="B410" s="3" t="s">
        <v>2846</v>
      </c>
      <c r="C410" s="1">
        <v>0</v>
      </c>
      <c r="D410" s="1">
        <v>0</v>
      </c>
      <c r="E410" s="1">
        <v>0</v>
      </c>
      <c r="F410" s="1">
        <v>140635.75</v>
      </c>
      <c r="G410" s="1">
        <v>140635.75</v>
      </c>
      <c r="H410" s="1">
        <v>0</v>
      </c>
      <c r="I410" s="1">
        <v>0</v>
      </c>
      <c r="J410" s="1685">
        <v>0</v>
      </c>
      <c r="K410" s="1">
        <f t="shared" si="18"/>
        <v>0</v>
      </c>
      <c r="L410" s="1">
        <f t="shared" si="19"/>
        <v>0</v>
      </c>
      <c r="M410" s="1">
        <f t="shared" si="20"/>
        <v>0</v>
      </c>
    </row>
    <row r="411" spans="1:13">
      <c r="A411" s="3" t="s">
        <v>709</v>
      </c>
      <c r="B411" s="3" t="s">
        <v>710</v>
      </c>
      <c r="C411" s="1">
        <v>1385112.9199999899</v>
      </c>
      <c r="D411" s="1">
        <v>0</v>
      </c>
      <c r="E411" s="1">
        <v>1385112.9199999899</v>
      </c>
      <c r="F411" s="1">
        <v>0</v>
      </c>
      <c r="G411" s="1">
        <v>44626.15</v>
      </c>
      <c r="H411" s="1">
        <v>1340486.77</v>
      </c>
      <c r="I411" s="1">
        <v>0</v>
      </c>
      <c r="J411" s="1685">
        <v>1340486.77</v>
      </c>
      <c r="K411" s="1">
        <f t="shared" si="18"/>
        <v>-44626.149999989895</v>
      </c>
      <c r="L411" s="1">
        <f t="shared" si="19"/>
        <v>1385112.9199999899</v>
      </c>
      <c r="M411" s="1">
        <f t="shared" si="20"/>
        <v>0</v>
      </c>
    </row>
    <row r="412" spans="1:13">
      <c r="A412" s="3" t="s">
        <v>711</v>
      </c>
      <c r="B412" s="3" t="s">
        <v>712</v>
      </c>
      <c r="C412" s="1">
        <v>78513.149999999907</v>
      </c>
      <c r="D412" s="1">
        <v>0</v>
      </c>
      <c r="E412" s="1">
        <v>78513.149999999907</v>
      </c>
      <c r="F412" s="1">
        <v>0</v>
      </c>
      <c r="G412" s="1">
        <v>0</v>
      </c>
      <c r="H412" s="1">
        <v>78513.149999999907</v>
      </c>
      <c r="I412" s="1">
        <v>0</v>
      </c>
      <c r="J412" s="1685">
        <v>78513.149999999907</v>
      </c>
      <c r="K412" s="1">
        <f t="shared" si="18"/>
        <v>0</v>
      </c>
      <c r="L412" s="1">
        <f t="shared" si="19"/>
        <v>78513.149999999907</v>
      </c>
      <c r="M412" s="1">
        <f t="shared" si="20"/>
        <v>0</v>
      </c>
    </row>
    <row r="413" spans="1:13">
      <c r="A413" s="3" t="s">
        <v>713</v>
      </c>
      <c r="B413" s="3" t="s">
        <v>714</v>
      </c>
      <c r="C413" s="1">
        <v>290314.22999999899</v>
      </c>
      <c r="D413" s="1">
        <v>0</v>
      </c>
      <c r="E413" s="1">
        <v>290314.22999999899</v>
      </c>
      <c r="F413" s="1">
        <v>0</v>
      </c>
      <c r="G413" s="1">
        <v>0</v>
      </c>
      <c r="H413" s="1">
        <v>290314.22999999899</v>
      </c>
      <c r="I413" s="1">
        <v>0</v>
      </c>
      <c r="J413" s="1685">
        <v>290314.22999999899</v>
      </c>
      <c r="K413" s="1">
        <f t="shared" si="18"/>
        <v>0</v>
      </c>
      <c r="L413" s="1">
        <f t="shared" si="19"/>
        <v>290314.22999999899</v>
      </c>
      <c r="M413" s="1">
        <f t="shared" si="20"/>
        <v>0</v>
      </c>
    </row>
    <row r="414" spans="1:13">
      <c r="A414" s="3" t="s">
        <v>715</v>
      </c>
      <c r="B414" s="3" t="s">
        <v>716</v>
      </c>
      <c r="C414" s="1">
        <v>0</v>
      </c>
      <c r="D414" s="1">
        <v>0</v>
      </c>
      <c r="E414" s="1">
        <v>0</v>
      </c>
      <c r="F414" s="1">
        <v>37971.550000000003</v>
      </c>
      <c r="G414" s="1">
        <v>28424.32</v>
      </c>
      <c r="H414" s="1">
        <v>9547.2299999999905</v>
      </c>
      <c r="I414" s="1">
        <v>0</v>
      </c>
      <c r="J414" s="1685">
        <v>9547.2299999999905</v>
      </c>
      <c r="K414" s="1">
        <f t="shared" si="18"/>
        <v>9547.2299999999905</v>
      </c>
      <c r="L414" s="1">
        <f t="shared" si="19"/>
        <v>0</v>
      </c>
      <c r="M414" s="1">
        <f t="shared" si="20"/>
        <v>0</v>
      </c>
    </row>
    <row r="415" spans="1:13">
      <c r="A415" s="3" t="s">
        <v>717</v>
      </c>
      <c r="B415" s="3" t="s">
        <v>718</v>
      </c>
      <c r="C415" s="1">
        <v>49998.32</v>
      </c>
      <c r="D415" s="1">
        <v>0</v>
      </c>
      <c r="E415" s="1">
        <v>49998.32</v>
      </c>
      <c r="F415" s="1">
        <v>90745</v>
      </c>
      <c r="G415" s="1">
        <v>93393.039999999906</v>
      </c>
      <c r="H415" s="1">
        <v>47350.279999999897</v>
      </c>
      <c r="I415" s="1">
        <v>0</v>
      </c>
      <c r="J415" s="1685">
        <v>47350.279999999897</v>
      </c>
      <c r="K415" s="1">
        <f t="shared" si="18"/>
        <v>-2648.0400000001027</v>
      </c>
      <c r="L415" s="1">
        <f t="shared" si="19"/>
        <v>49998.32</v>
      </c>
      <c r="M415" s="1">
        <f t="shared" si="20"/>
        <v>0</v>
      </c>
    </row>
    <row r="416" spans="1:13">
      <c r="A416" s="3" t="s">
        <v>719</v>
      </c>
      <c r="B416" s="3" t="s">
        <v>720</v>
      </c>
      <c r="C416" s="1">
        <v>0</v>
      </c>
      <c r="D416" s="1">
        <v>0</v>
      </c>
      <c r="E416" s="1">
        <v>0</v>
      </c>
      <c r="F416" s="1">
        <v>39971.97</v>
      </c>
      <c r="G416" s="1">
        <v>29945.529999999901</v>
      </c>
      <c r="H416" s="1">
        <v>10026.44</v>
      </c>
      <c r="I416" s="1">
        <v>0</v>
      </c>
      <c r="J416" s="1685">
        <v>10026.44</v>
      </c>
      <c r="K416" s="1">
        <f t="shared" si="18"/>
        <v>10026.44</v>
      </c>
      <c r="L416" s="1">
        <f t="shared" si="19"/>
        <v>0</v>
      </c>
      <c r="M416" s="1">
        <f t="shared" si="20"/>
        <v>0</v>
      </c>
    </row>
    <row r="417" spans="1:13">
      <c r="A417" s="3" t="s">
        <v>721</v>
      </c>
      <c r="B417" s="3" t="s">
        <v>716</v>
      </c>
      <c r="C417" s="1">
        <v>11438.95</v>
      </c>
      <c r="D417" s="1">
        <v>0</v>
      </c>
      <c r="E417" s="1">
        <v>11438.95</v>
      </c>
      <c r="F417" s="1">
        <v>21582.799999999901</v>
      </c>
      <c r="G417" s="1">
        <v>16839.54</v>
      </c>
      <c r="H417" s="1">
        <v>16182.209999999901</v>
      </c>
      <c r="I417" s="1">
        <v>0</v>
      </c>
      <c r="J417" s="1685">
        <v>16182.209999999901</v>
      </c>
      <c r="K417" s="1">
        <f t="shared" si="18"/>
        <v>4743.2599999999002</v>
      </c>
      <c r="L417" s="1">
        <f t="shared" si="19"/>
        <v>11438.95</v>
      </c>
      <c r="M417" s="1">
        <f t="shared" si="20"/>
        <v>0</v>
      </c>
    </row>
    <row r="418" spans="1:13">
      <c r="A418" s="3" t="s">
        <v>722</v>
      </c>
      <c r="B418" s="3" t="s">
        <v>723</v>
      </c>
      <c r="C418" s="1">
        <v>65996.399999999907</v>
      </c>
      <c r="D418" s="1">
        <v>0</v>
      </c>
      <c r="E418" s="1">
        <v>65996.399999999907</v>
      </c>
      <c r="F418" s="1">
        <v>306651.82</v>
      </c>
      <c r="G418" s="1">
        <v>323306.03999999899</v>
      </c>
      <c r="H418" s="1">
        <v>49342.18</v>
      </c>
      <c r="I418" s="1">
        <v>0</v>
      </c>
      <c r="J418" s="1685">
        <v>49342.18</v>
      </c>
      <c r="K418" s="1">
        <f t="shared" si="18"/>
        <v>-16654.219999999907</v>
      </c>
      <c r="L418" s="1">
        <f t="shared" si="19"/>
        <v>65996.399999999907</v>
      </c>
      <c r="M418" s="1">
        <f t="shared" si="20"/>
        <v>0</v>
      </c>
    </row>
    <row r="419" spans="1:13">
      <c r="A419" s="3" t="s">
        <v>724</v>
      </c>
      <c r="B419" s="3" t="s">
        <v>725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685">
        <v>0</v>
      </c>
      <c r="K419" s="1">
        <f t="shared" si="18"/>
        <v>0</v>
      </c>
      <c r="L419" s="1">
        <f t="shared" si="19"/>
        <v>0</v>
      </c>
      <c r="M419" s="1">
        <f t="shared" si="20"/>
        <v>0</v>
      </c>
    </row>
    <row r="420" spans="1:13">
      <c r="A420" s="3" t="s">
        <v>726</v>
      </c>
      <c r="B420" s="3" t="s">
        <v>727</v>
      </c>
      <c r="C420" s="1">
        <v>7789.17</v>
      </c>
      <c r="D420" s="1">
        <v>0</v>
      </c>
      <c r="E420" s="1">
        <v>7789.17</v>
      </c>
      <c r="F420" s="1">
        <v>42265.029999999897</v>
      </c>
      <c r="G420" s="1">
        <v>43801.22</v>
      </c>
      <c r="H420" s="1">
        <v>6252.9799999999896</v>
      </c>
      <c r="I420" s="1">
        <v>0</v>
      </c>
      <c r="J420" s="1685">
        <v>6252.9799999999896</v>
      </c>
      <c r="K420" s="1">
        <f t="shared" si="18"/>
        <v>-1536.1900000000105</v>
      </c>
      <c r="L420" s="1">
        <f t="shared" si="19"/>
        <v>7789.17</v>
      </c>
      <c r="M420" s="1">
        <f t="shared" si="20"/>
        <v>0</v>
      </c>
    </row>
    <row r="421" spans="1:13">
      <c r="A421" s="3" t="s">
        <v>728</v>
      </c>
      <c r="B421" s="3" t="s">
        <v>729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685">
        <v>0</v>
      </c>
      <c r="K421" s="1">
        <f t="shared" si="18"/>
        <v>0</v>
      </c>
      <c r="L421" s="1">
        <f t="shared" si="19"/>
        <v>0</v>
      </c>
      <c r="M421" s="1">
        <f t="shared" si="20"/>
        <v>0</v>
      </c>
    </row>
    <row r="422" spans="1:13">
      <c r="A422" s="3" t="s">
        <v>730</v>
      </c>
      <c r="B422" s="3" t="s">
        <v>731</v>
      </c>
      <c r="C422" s="1">
        <v>0</v>
      </c>
      <c r="D422" s="1">
        <v>0</v>
      </c>
      <c r="E422" s="1">
        <v>0</v>
      </c>
      <c r="F422" s="1">
        <v>30999.119999999901</v>
      </c>
      <c r="G422" s="1">
        <v>23249.369999999901</v>
      </c>
      <c r="H422" s="1">
        <v>7749.75</v>
      </c>
      <c r="I422" s="1">
        <v>0</v>
      </c>
      <c r="J422" s="1685">
        <v>7749.75</v>
      </c>
      <c r="K422" s="1">
        <f t="shared" si="18"/>
        <v>7749.75</v>
      </c>
      <c r="L422" s="1">
        <f t="shared" si="19"/>
        <v>0</v>
      </c>
      <c r="M422" s="1">
        <f t="shared" si="20"/>
        <v>0</v>
      </c>
    </row>
    <row r="423" spans="1:13">
      <c r="A423" s="3" t="s">
        <v>732</v>
      </c>
      <c r="B423" s="3" t="s">
        <v>733</v>
      </c>
      <c r="C423" s="1">
        <v>0</v>
      </c>
      <c r="D423" s="1">
        <v>0</v>
      </c>
      <c r="E423" s="1">
        <v>0</v>
      </c>
      <c r="F423" s="1">
        <v>3340755.91</v>
      </c>
      <c r="G423" s="1">
        <v>2512072.96</v>
      </c>
      <c r="H423" s="1">
        <v>828682.94999999902</v>
      </c>
      <c r="I423" s="1">
        <v>0</v>
      </c>
      <c r="J423" s="1685">
        <v>828682.94999999902</v>
      </c>
      <c r="K423" s="1">
        <f t="shared" si="18"/>
        <v>828682.94999999902</v>
      </c>
      <c r="L423" s="1">
        <f t="shared" si="19"/>
        <v>0</v>
      </c>
      <c r="M423" s="1">
        <f t="shared" si="20"/>
        <v>0</v>
      </c>
    </row>
    <row r="424" spans="1:13">
      <c r="A424" s="3" t="s">
        <v>734</v>
      </c>
      <c r="B424" s="3" t="s">
        <v>735</v>
      </c>
      <c r="C424" s="1">
        <v>7764.4799999999896</v>
      </c>
      <c r="D424" s="1">
        <v>0</v>
      </c>
      <c r="E424" s="1">
        <v>7764.4799999999896</v>
      </c>
      <c r="F424" s="1">
        <v>148251.09</v>
      </c>
      <c r="G424" s="1">
        <v>131241.06</v>
      </c>
      <c r="H424" s="1">
        <v>24774.5099999999</v>
      </c>
      <c r="I424" s="1">
        <v>0</v>
      </c>
      <c r="J424" s="1685">
        <v>24774.5099999999</v>
      </c>
      <c r="K424" s="1">
        <f t="shared" si="18"/>
        <v>17010.029999999912</v>
      </c>
      <c r="L424" s="1">
        <f t="shared" si="19"/>
        <v>7764.4799999999896</v>
      </c>
      <c r="M424" s="1">
        <f t="shared" si="20"/>
        <v>0</v>
      </c>
    </row>
    <row r="425" spans="1:13">
      <c r="A425" s="3" t="s">
        <v>736</v>
      </c>
      <c r="B425" s="3" t="s">
        <v>737</v>
      </c>
      <c r="C425" s="1">
        <v>1608192.1599999899</v>
      </c>
      <c r="D425" s="1">
        <v>0</v>
      </c>
      <c r="E425" s="1">
        <v>1608192.1599999899</v>
      </c>
      <c r="F425" s="1">
        <v>3177048.25</v>
      </c>
      <c r="G425" s="1">
        <v>3206874.02999999</v>
      </c>
      <c r="H425" s="1">
        <v>1578366.3799999901</v>
      </c>
      <c r="I425" s="1">
        <v>0</v>
      </c>
      <c r="J425" s="1685">
        <v>1578366.3799999901</v>
      </c>
      <c r="K425" s="5">
        <f t="shared" si="18"/>
        <v>-29825.779999999795</v>
      </c>
      <c r="L425" s="1">
        <f t="shared" si="19"/>
        <v>1608192.1599999899</v>
      </c>
      <c r="M425" s="1">
        <f t="shared" si="20"/>
        <v>0</v>
      </c>
    </row>
    <row r="426" spans="1:13">
      <c r="A426" s="3" t="s">
        <v>738</v>
      </c>
      <c r="B426" s="3" t="s">
        <v>739</v>
      </c>
      <c r="C426" s="1">
        <v>0</v>
      </c>
      <c r="D426" s="1">
        <v>0</v>
      </c>
      <c r="E426" s="1">
        <v>0</v>
      </c>
      <c r="F426" s="1">
        <v>116591.91</v>
      </c>
      <c r="G426" s="1">
        <v>233183.82</v>
      </c>
      <c r="H426" s="1">
        <v>0</v>
      </c>
      <c r="I426" s="1">
        <v>-116591.91</v>
      </c>
      <c r="J426" s="1685">
        <v>-116591.91</v>
      </c>
      <c r="K426" s="5">
        <f t="shared" si="18"/>
        <v>-116591.91</v>
      </c>
      <c r="L426" s="1">
        <f t="shared" si="19"/>
        <v>0</v>
      </c>
      <c r="M426" s="1">
        <f t="shared" si="20"/>
        <v>0</v>
      </c>
    </row>
    <row r="427" spans="1:13">
      <c r="A427" s="3" t="s">
        <v>3332</v>
      </c>
      <c r="B427" s="3" t="s">
        <v>3333</v>
      </c>
      <c r="C427" s="1">
        <v>0</v>
      </c>
      <c r="D427" s="1">
        <v>0</v>
      </c>
      <c r="E427" s="1">
        <v>0</v>
      </c>
      <c r="F427" s="1">
        <v>2354233.3599999901</v>
      </c>
      <c r="G427" s="1">
        <v>2430842.77999999</v>
      </c>
      <c r="H427" s="1">
        <v>0</v>
      </c>
      <c r="I427" s="1">
        <v>-76609.419999999896</v>
      </c>
      <c r="J427" s="1685">
        <v>-76609.419999999896</v>
      </c>
      <c r="K427" s="5">
        <f t="shared" si="18"/>
        <v>-76609.419999999896</v>
      </c>
      <c r="L427" s="1">
        <f t="shared" si="19"/>
        <v>0</v>
      </c>
      <c r="M427" s="1">
        <f t="shared" si="20"/>
        <v>0</v>
      </c>
    </row>
    <row r="428" spans="1:13">
      <c r="A428" s="3" t="s">
        <v>740</v>
      </c>
      <c r="B428" s="3" t="s">
        <v>741</v>
      </c>
      <c r="C428" s="1">
        <v>0</v>
      </c>
      <c r="D428" s="1">
        <v>0</v>
      </c>
      <c r="E428" s="1">
        <v>0</v>
      </c>
      <c r="F428" s="1">
        <v>5128829.6900000004</v>
      </c>
      <c r="G428" s="1">
        <v>124191939.16</v>
      </c>
      <c r="H428" s="1">
        <v>0</v>
      </c>
      <c r="I428" s="1">
        <v>-119063109.47</v>
      </c>
      <c r="J428" s="1685">
        <v>-119063109.47</v>
      </c>
      <c r="K428" s="5">
        <f t="shared" si="18"/>
        <v>-119063109.47</v>
      </c>
      <c r="L428" s="1">
        <f t="shared" si="19"/>
        <v>0</v>
      </c>
      <c r="M428" s="1">
        <f t="shared" si="20"/>
        <v>0</v>
      </c>
    </row>
    <row r="429" spans="1:13">
      <c r="A429" s="3" t="s">
        <v>742</v>
      </c>
      <c r="B429" s="3" t="s">
        <v>3928</v>
      </c>
      <c r="C429" s="1">
        <v>0</v>
      </c>
      <c r="D429" s="1">
        <v>0</v>
      </c>
      <c r="E429" s="1">
        <v>0</v>
      </c>
      <c r="F429" s="1">
        <v>8000</v>
      </c>
      <c r="G429" s="1">
        <v>0</v>
      </c>
      <c r="H429" s="1">
        <v>8000</v>
      </c>
      <c r="I429" s="1">
        <v>0</v>
      </c>
      <c r="J429" s="1685">
        <v>8000</v>
      </c>
      <c r="K429" s="5">
        <f t="shared" si="18"/>
        <v>8000</v>
      </c>
      <c r="L429" s="1">
        <f t="shared" si="19"/>
        <v>0</v>
      </c>
      <c r="M429" s="1">
        <f t="shared" si="20"/>
        <v>0</v>
      </c>
    </row>
    <row r="430" spans="1:13">
      <c r="A430" s="3" t="s">
        <v>745</v>
      </c>
      <c r="B430" s="3" t="s">
        <v>746</v>
      </c>
      <c r="C430" s="1">
        <v>0</v>
      </c>
      <c r="D430" s="1">
        <v>0</v>
      </c>
      <c r="E430" s="1">
        <v>0</v>
      </c>
      <c r="F430" s="1">
        <v>443.27999999999901</v>
      </c>
      <c r="G430" s="1">
        <v>18353.150000000001</v>
      </c>
      <c r="H430" s="1">
        <v>0</v>
      </c>
      <c r="I430" s="1">
        <v>-17909.869999999901</v>
      </c>
      <c r="J430" s="1685">
        <v>-17909.869999999901</v>
      </c>
      <c r="K430" s="5">
        <f t="shared" si="18"/>
        <v>-17909.869999999901</v>
      </c>
      <c r="L430" s="1">
        <f t="shared" si="19"/>
        <v>0</v>
      </c>
      <c r="M430" s="1">
        <f t="shared" si="20"/>
        <v>0</v>
      </c>
    </row>
    <row r="431" spans="1:13">
      <c r="A431" s="3" t="s">
        <v>747</v>
      </c>
      <c r="B431" s="3" t="s">
        <v>748</v>
      </c>
      <c r="C431" s="1">
        <v>0</v>
      </c>
      <c r="D431" s="1">
        <v>0</v>
      </c>
      <c r="E431" s="1">
        <v>0</v>
      </c>
      <c r="F431" s="1">
        <v>4046113.16</v>
      </c>
      <c r="G431" s="1">
        <v>2705599.25999999</v>
      </c>
      <c r="H431" s="1">
        <v>1340513.8999999899</v>
      </c>
      <c r="I431" s="1">
        <v>0</v>
      </c>
      <c r="J431" s="1685">
        <v>1340513.8999999899</v>
      </c>
      <c r="K431" s="5">
        <f t="shared" si="18"/>
        <v>1340513.8999999899</v>
      </c>
      <c r="L431" s="1">
        <f t="shared" si="19"/>
        <v>0</v>
      </c>
      <c r="M431" s="1">
        <f t="shared" si="20"/>
        <v>0</v>
      </c>
    </row>
    <row r="432" spans="1:13">
      <c r="A432" s="3" t="s">
        <v>749</v>
      </c>
      <c r="B432" s="3" t="s">
        <v>750</v>
      </c>
      <c r="C432" s="1">
        <v>0</v>
      </c>
      <c r="D432" s="1">
        <v>0</v>
      </c>
      <c r="E432" s="1">
        <v>0</v>
      </c>
      <c r="F432" s="1">
        <v>101914326</v>
      </c>
      <c r="G432" s="1">
        <v>396671.02</v>
      </c>
      <c r="H432" s="1">
        <v>101517654.98</v>
      </c>
      <c r="I432" s="1">
        <v>0</v>
      </c>
      <c r="J432" s="1685">
        <v>101517654.98</v>
      </c>
      <c r="K432" s="1">
        <f t="shared" si="18"/>
        <v>101517654.98</v>
      </c>
      <c r="L432" s="1">
        <f t="shared" si="19"/>
        <v>0</v>
      </c>
      <c r="M432" s="1">
        <f t="shared" si="20"/>
        <v>0</v>
      </c>
    </row>
    <row r="433" spans="1:13">
      <c r="A433" s="3" t="s">
        <v>751</v>
      </c>
      <c r="B433" s="3" t="s">
        <v>752</v>
      </c>
      <c r="C433" s="1">
        <v>0</v>
      </c>
      <c r="D433" s="1">
        <v>0</v>
      </c>
      <c r="E433" s="1">
        <v>0</v>
      </c>
      <c r="F433" s="1">
        <v>16649.43</v>
      </c>
      <c r="G433" s="1">
        <v>0</v>
      </c>
      <c r="H433" s="1">
        <v>16649.43</v>
      </c>
      <c r="I433" s="1">
        <v>0</v>
      </c>
      <c r="J433" s="1685">
        <v>16649.43</v>
      </c>
      <c r="K433" s="1">
        <f t="shared" si="18"/>
        <v>16649.43</v>
      </c>
      <c r="L433" s="1">
        <f t="shared" si="19"/>
        <v>0</v>
      </c>
      <c r="M433" s="1">
        <f t="shared" si="20"/>
        <v>0</v>
      </c>
    </row>
    <row r="434" spans="1:13">
      <c r="A434" s="3" t="s">
        <v>753</v>
      </c>
      <c r="B434" s="3" t="s">
        <v>754</v>
      </c>
      <c r="C434" s="1">
        <v>0</v>
      </c>
      <c r="D434" s="1">
        <v>0</v>
      </c>
      <c r="E434" s="1">
        <v>0</v>
      </c>
      <c r="F434" s="1">
        <v>15527396.41</v>
      </c>
      <c r="G434" s="1">
        <v>2689987.00999999</v>
      </c>
      <c r="H434" s="1">
        <v>12837409.4</v>
      </c>
      <c r="I434" s="1">
        <v>0</v>
      </c>
      <c r="J434" s="1685">
        <v>12837409.4</v>
      </c>
      <c r="K434" s="1">
        <f t="shared" si="18"/>
        <v>12837409.4</v>
      </c>
      <c r="L434" s="1">
        <f t="shared" si="19"/>
        <v>0</v>
      </c>
      <c r="M434" s="1">
        <f t="shared" si="20"/>
        <v>0</v>
      </c>
    </row>
    <row r="435" spans="1:13">
      <c r="A435" s="3" t="s">
        <v>755</v>
      </c>
      <c r="B435" s="3" t="s">
        <v>756</v>
      </c>
      <c r="C435" s="1">
        <v>0</v>
      </c>
      <c r="D435" s="1">
        <v>0</v>
      </c>
      <c r="E435" s="1">
        <v>0</v>
      </c>
      <c r="F435" s="1">
        <v>0.04</v>
      </c>
      <c r="G435" s="1">
        <v>2.04</v>
      </c>
      <c r="H435" s="1">
        <v>0</v>
      </c>
      <c r="I435" s="1">
        <v>-2</v>
      </c>
      <c r="J435" s="1685">
        <v>-2</v>
      </c>
      <c r="K435" s="1">
        <f t="shared" si="18"/>
        <v>-2</v>
      </c>
      <c r="L435" s="1">
        <f t="shared" si="19"/>
        <v>0</v>
      </c>
      <c r="M435" s="1">
        <f t="shared" si="20"/>
        <v>0</v>
      </c>
    </row>
    <row r="436" spans="1:13">
      <c r="A436" s="3" t="s">
        <v>3913</v>
      </c>
      <c r="B436" s="3" t="s">
        <v>3914</v>
      </c>
      <c r="C436" s="1">
        <v>0</v>
      </c>
      <c r="D436" s="1">
        <v>0</v>
      </c>
      <c r="E436" s="1">
        <v>0</v>
      </c>
      <c r="F436" s="1">
        <v>10970.91</v>
      </c>
      <c r="G436" s="1">
        <v>10970.91</v>
      </c>
      <c r="H436" s="1">
        <v>0</v>
      </c>
      <c r="I436" s="1">
        <v>0</v>
      </c>
      <c r="J436" s="1685">
        <v>0</v>
      </c>
      <c r="K436" s="1">
        <f t="shared" si="18"/>
        <v>0</v>
      </c>
      <c r="L436" s="1">
        <f t="shared" si="19"/>
        <v>0</v>
      </c>
      <c r="M436" s="1">
        <f t="shared" si="20"/>
        <v>0</v>
      </c>
    </row>
    <row r="437" spans="1:13">
      <c r="A437" s="3" t="s">
        <v>3915</v>
      </c>
      <c r="B437" s="3" t="s">
        <v>3916</v>
      </c>
      <c r="C437" s="1">
        <v>0</v>
      </c>
      <c r="D437" s="1">
        <v>0</v>
      </c>
      <c r="E437" s="1">
        <v>0</v>
      </c>
      <c r="F437" s="1">
        <v>0</v>
      </c>
      <c r="G437" s="1">
        <v>77.329999999999899</v>
      </c>
      <c r="H437" s="1">
        <v>0</v>
      </c>
      <c r="I437" s="1">
        <v>-77.329999999999899</v>
      </c>
      <c r="J437" s="1685">
        <v>-77.329999999999899</v>
      </c>
      <c r="K437" s="1">
        <f t="shared" si="18"/>
        <v>-77.329999999999899</v>
      </c>
      <c r="L437" s="1">
        <f t="shared" si="19"/>
        <v>0</v>
      </c>
      <c r="M437" s="1">
        <f t="shared" si="20"/>
        <v>0</v>
      </c>
    </row>
    <row r="438" spans="1:13">
      <c r="A438" s="3" t="s">
        <v>760</v>
      </c>
      <c r="B438" s="3" t="s">
        <v>758</v>
      </c>
      <c r="C438" s="1">
        <v>0</v>
      </c>
      <c r="D438" s="1">
        <v>0</v>
      </c>
      <c r="E438" s="1">
        <v>0</v>
      </c>
      <c r="F438" s="1">
        <v>0</v>
      </c>
      <c r="G438" s="1">
        <v>1679.65</v>
      </c>
      <c r="H438" s="1">
        <v>0</v>
      </c>
      <c r="I438" s="1">
        <v>-1679.65</v>
      </c>
      <c r="J438" s="1685">
        <v>-1679.65</v>
      </c>
      <c r="K438" s="1">
        <f t="shared" si="18"/>
        <v>-1679.65</v>
      </c>
      <c r="L438" s="1">
        <f t="shared" si="19"/>
        <v>0</v>
      </c>
      <c r="M438" s="1">
        <f t="shared" si="20"/>
        <v>0</v>
      </c>
    </row>
    <row r="439" spans="1:13">
      <c r="A439" s="3" t="s">
        <v>761</v>
      </c>
      <c r="B439" s="3" t="s">
        <v>758</v>
      </c>
      <c r="C439" s="1">
        <v>0</v>
      </c>
      <c r="D439" s="1">
        <v>0</v>
      </c>
      <c r="E439" s="1">
        <v>0</v>
      </c>
      <c r="F439" s="1">
        <v>1427.04</v>
      </c>
      <c r="G439" s="1">
        <v>3479.6199999999899</v>
      </c>
      <c r="H439" s="1">
        <v>0</v>
      </c>
      <c r="I439" s="1">
        <v>-2052.5799999999899</v>
      </c>
      <c r="J439" s="1685">
        <v>-2052.5799999999899</v>
      </c>
      <c r="K439" s="1">
        <f t="shared" si="18"/>
        <v>-2052.5799999999899</v>
      </c>
      <c r="L439" s="1">
        <f t="shared" si="19"/>
        <v>0</v>
      </c>
      <c r="M439" s="1">
        <f t="shared" si="20"/>
        <v>0</v>
      </c>
    </row>
    <row r="440" spans="1:13">
      <c r="A440" s="3" t="s">
        <v>762</v>
      </c>
      <c r="B440" s="3" t="s">
        <v>763</v>
      </c>
      <c r="C440" s="1">
        <v>0</v>
      </c>
      <c r="D440" s="1">
        <v>0</v>
      </c>
      <c r="E440" s="1">
        <v>0</v>
      </c>
      <c r="F440" s="1">
        <v>6.21999999999999</v>
      </c>
      <c r="G440" s="1">
        <v>108974.64</v>
      </c>
      <c r="H440" s="1">
        <v>0</v>
      </c>
      <c r="I440" s="1">
        <v>-108968.42</v>
      </c>
      <c r="J440" s="1685">
        <v>-108968.42</v>
      </c>
      <c r="K440" s="1">
        <f t="shared" si="18"/>
        <v>-108968.42</v>
      </c>
      <c r="L440" s="1">
        <f t="shared" si="19"/>
        <v>0</v>
      </c>
      <c r="M440" s="1">
        <f t="shared" si="20"/>
        <v>0</v>
      </c>
    </row>
    <row r="441" spans="1:13">
      <c r="A441" s="3" t="s">
        <v>764</v>
      </c>
      <c r="B441" s="3" t="s">
        <v>763</v>
      </c>
      <c r="C441" s="1">
        <v>0</v>
      </c>
      <c r="D441" s="1">
        <v>0</v>
      </c>
      <c r="E441" s="1">
        <v>0</v>
      </c>
      <c r="F441" s="1">
        <v>110948.75999999901</v>
      </c>
      <c r="G441" s="1">
        <v>125832.179999999</v>
      </c>
      <c r="H441" s="1">
        <v>0</v>
      </c>
      <c r="I441" s="1">
        <v>-14883.42</v>
      </c>
      <c r="J441" s="1685">
        <v>-14883.42</v>
      </c>
      <c r="K441" s="1">
        <f t="shared" si="18"/>
        <v>-14883.42</v>
      </c>
      <c r="L441" s="1">
        <f t="shared" si="19"/>
        <v>0</v>
      </c>
      <c r="M441" s="1">
        <f t="shared" si="20"/>
        <v>0</v>
      </c>
    </row>
    <row r="442" spans="1:13">
      <c r="A442" s="3" t="s">
        <v>1795</v>
      </c>
      <c r="B442" s="3" t="s">
        <v>766</v>
      </c>
      <c r="C442" s="1">
        <v>0</v>
      </c>
      <c r="D442" s="1">
        <v>0</v>
      </c>
      <c r="E442" s="1">
        <v>0</v>
      </c>
      <c r="F442" s="1">
        <v>0</v>
      </c>
      <c r="G442" s="1">
        <v>8297.7999999999902</v>
      </c>
      <c r="H442" s="1">
        <v>0</v>
      </c>
      <c r="I442" s="1">
        <v>-8297.7999999999902</v>
      </c>
      <c r="J442" s="1685">
        <v>-8297.7999999999902</v>
      </c>
      <c r="K442" s="1">
        <f t="shared" si="18"/>
        <v>-8297.7999999999902</v>
      </c>
      <c r="L442" s="1">
        <f t="shared" si="19"/>
        <v>0</v>
      </c>
      <c r="M442" s="1">
        <f t="shared" si="20"/>
        <v>0</v>
      </c>
    </row>
    <row r="443" spans="1:13">
      <c r="A443" s="3" t="s">
        <v>765</v>
      </c>
      <c r="B443" s="3" t="s">
        <v>766</v>
      </c>
      <c r="C443" s="1">
        <v>0</v>
      </c>
      <c r="D443" s="1">
        <v>0</v>
      </c>
      <c r="E443" s="1">
        <v>0</v>
      </c>
      <c r="F443" s="1">
        <v>8297.7999999999902</v>
      </c>
      <c r="G443" s="1">
        <v>16800.47</v>
      </c>
      <c r="H443" s="1">
        <v>0</v>
      </c>
      <c r="I443" s="1">
        <v>-8502.67</v>
      </c>
      <c r="J443" s="1685">
        <v>-8502.67</v>
      </c>
      <c r="K443" s="1">
        <f t="shared" si="18"/>
        <v>-8502.67</v>
      </c>
      <c r="L443" s="1">
        <f t="shared" si="19"/>
        <v>0</v>
      </c>
      <c r="M443" s="1">
        <f t="shared" si="20"/>
        <v>0</v>
      </c>
    </row>
    <row r="444" spans="1:13">
      <c r="A444" s="3" t="s">
        <v>767</v>
      </c>
      <c r="B444" s="3" t="s">
        <v>768</v>
      </c>
      <c r="C444" s="1">
        <v>0</v>
      </c>
      <c r="D444" s="1">
        <v>0</v>
      </c>
      <c r="E444" s="1">
        <v>0</v>
      </c>
      <c r="F444" s="1">
        <v>0</v>
      </c>
      <c r="G444" s="1">
        <v>15652.69</v>
      </c>
      <c r="H444" s="1">
        <v>0</v>
      </c>
      <c r="I444" s="1">
        <v>-15652.69</v>
      </c>
      <c r="J444" s="1685">
        <v>-15652.69</v>
      </c>
      <c r="K444" s="1">
        <f t="shared" si="18"/>
        <v>-15652.69</v>
      </c>
      <c r="L444" s="1">
        <f t="shared" si="19"/>
        <v>0</v>
      </c>
      <c r="M444" s="1">
        <f t="shared" si="20"/>
        <v>0</v>
      </c>
    </row>
    <row r="445" spans="1:13" ht="13.8" customHeight="1">
      <c r="A445" s="3" t="s">
        <v>769</v>
      </c>
      <c r="B445" s="3" t="s">
        <v>768</v>
      </c>
      <c r="C445" s="1">
        <v>0</v>
      </c>
      <c r="D445" s="1">
        <v>0</v>
      </c>
      <c r="E445" s="1">
        <v>0</v>
      </c>
      <c r="F445" s="1">
        <v>0</v>
      </c>
      <c r="G445" s="1">
        <v>4.1699999999999902</v>
      </c>
      <c r="H445" s="1">
        <v>0</v>
      </c>
      <c r="I445" s="1">
        <v>-4.1699999999999902</v>
      </c>
      <c r="J445" s="1685">
        <v>-4.1699999999999902</v>
      </c>
      <c r="K445" s="1">
        <f t="shared" si="18"/>
        <v>-4.1699999999999902</v>
      </c>
      <c r="L445" s="1">
        <f t="shared" si="19"/>
        <v>0</v>
      </c>
      <c r="M445" s="1">
        <f t="shared" si="20"/>
        <v>0</v>
      </c>
    </row>
    <row r="446" spans="1:13">
      <c r="A446" s="3" t="s">
        <v>3373</v>
      </c>
      <c r="B446" s="3" t="s">
        <v>3374</v>
      </c>
      <c r="C446" s="1">
        <v>0</v>
      </c>
      <c r="D446" s="1">
        <v>0</v>
      </c>
      <c r="E446" s="1">
        <v>0</v>
      </c>
      <c r="F446" s="1">
        <v>0</v>
      </c>
      <c r="G446" s="1">
        <v>7039.5799999999899</v>
      </c>
      <c r="H446" s="1">
        <v>0</v>
      </c>
      <c r="I446" s="1">
        <v>-7039.5799999999899</v>
      </c>
      <c r="J446" s="1685">
        <v>-7039.5799999999899</v>
      </c>
      <c r="K446" s="1">
        <f t="shared" si="18"/>
        <v>-7039.5799999999899</v>
      </c>
      <c r="L446" s="1">
        <f t="shared" si="19"/>
        <v>0</v>
      </c>
      <c r="M446" s="1">
        <f t="shared" si="20"/>
        <v>0</v>
      </c>
    </row>
    <row r="447" spans="1:13">
      <c r="A447" s="3" t="s">
        <v>3929</v>
      </c>
      <c r="B447" s="3" t="s">
        <v>3374</v>
      </c>
      <c r="C447" s="1">
        <v>0</v>
      </c>
      <c r="D447" s="1">
        <v>0</v>
      </c>
      <c r="E447" s="1">
        <v>0</v>
      </c>
      <c r="F447" s="1">
        <v>13991.62</v>
      </c>
      <c r="G447" s="1">
        <v>13991.66</v>
      </c>
      <c r="H447" s="1">
        <v>0</v>
      </c>
      <c r="I447" s="1">
        <v>-0.04</v>
      </c>
      <c r="J447" s="1685">
        <v>-0.04</v>
      </c>
      <c r="K447" s="1">
        <f t="shared" si="18"/>
        <v>-0.04</v>
      </c>
      <c r="L447" s="1">
        <f t="shared" si="19"/>
        <v>0</v>
      </c>
      <c r="M447" s="1">
        <f t="shared" si="20"/>
        <v>0</v>
      </c>
    </row>
    <row r="448" spans="1:13">
      <c r="A448" s="3" t="s">
        <v>3328</v>
      </c>
      <c r="B448" s="3" t="s">
        <v>3295</v>
      </c>
      <c r="C448" s="1">
        <v>0</v>
      </c>
      <c r="D448" s="1">
        <v>0</v>
      </c>
      <c r="E448" s="1">
        <v>0</v>
      </c>
      <c r="F448" s="1">
        <v>0</v>
      </c>
      <c r="G448" s="1">
        <v>147.19999999999899</v>
      </c>
      <c r="H448" s="1">
        <v>0</v>
      </c>
      <c r="I448" s="1">
        <v>-147.19999999999899</v>
      </c>
      <c r="J448" s="1685">
        <v>-147.19999999999899</v>
      </c>
      <c r="K448" s="1">
        <f t="shared" si="18"/>
        <v>-147.19999999999899</v>
      </c>
      <c r="L448" s="1">
        <f t="shared" si="19"/>
        <v>0</v>
      </c>
      <c r="M448" s="1">
        <f t="shared" si="20"/>
        <v>0</v>
      </c>
    </row>
    <row r="449" spans="1:13">
      <c r="A449" s="3" t="s">
        <v>3937</v>
      </c>
      <c r="B449" s="3" t="s">
        <v>3938</v>
      </c>
      <c r="C449" s="1">
        <v>0</v>
      </c>
      <c r="D449" s="1">
        <v>0</v>
      </c>
      <c r="E449" s="1">
        <v>0</v>
      </c>
      <c r="F449" s="1">
        <v>2709.38</v>
      </c>
      <c r="G449" s="1">
        <v>2709.38</v>
      </c>
      <c r="H449" s="1">
        <v>0</v>
      </c>
      <c r="I449" s="1">
        <v>0</v>
      </c>
      <c r="J449" s="1685">
        <v>0</v>
      </c>
      <c r="K449" s="1">
        <f t="shared" si="18"/>
        <v>0</v>
      </c>
      <c r="L449" s="1">
        <f t="shared" si="19"/>
        <v>0</v>
      </c>
      <c r="M449" s="1">
        <f t="shared" si="20"/>
        <v>0</v>
      </c>
    </row>
    <row r="450" spans="1:13">
      <c r="A450" s="3" t="s">
        <v>2847</v>
      </c>
      <c r="B450" s="3" t="s">
        <v>2525</v>
      </c>
      <c r="C450" s="1">
        <v>0</v>
      </c>
      <c r="D450" s="1">
        <v>0</v>
      </c>
      <c r="E450" s="1">
        <v>0</v>
      </c>
      <c r="F450" s="1">
        <v>218.16999999999899</v>
      </c>
      <c r="G450" s="1">
        <v>214.479999999999</v>
      </c>
      <c r="H450" s="1">
        <v>3.6899999999999902</v>
      </c>
      <c r="I450" s="1">
        <v>0</v>
      </c>
      <c r="J450" s="1685">
        <v>3.6899999999999902</v>
      </c>
      <c r="K450" s="1">
        <f t="shared" si="18"/>
        <v>3.6899999999999902</v>
      </c>
      <c r="L450" s="1">
        <f t="shared" si="19"/>
        <v>0</v>
      </c>
      <c r="M450" s="1">
        <f t="shared" si="20"/>
        <v>0</v>
      </c>
    </row>
    <row r="451" spans="1:13">
      <c r="A451" s="3" t="s">
        <v>3438</v>
      </c>
      <c r="B451" s="3" t="s">
        <v>3439</v>
      </c>
      <c r="C451" s="1">
        <v>0</v>
      </c>
      <c r="D451" s="1">
        <v>0</v>
      </c>
      <c r="E451" s="1">
        <v>0</v>
      </c>
      <c r="F451" s="1">
        <v>98.969999999999899</v>
      </c>
      <c r="G451" s="1">
        <v>731.61</v>
      </c>
      <c r="H451" s="1">
        <v>0</v>
      </c>
      <c r="I451" s="1">
        <v>-632.63999999999896</v>
      </c>
      <c r="J451" s="1685">
        <v>-632.63999999999896</v>
      </c>
      <c r="K451" s="1">
        <f t="shared" si="18"/>
        <v>-632.63999999999896</v>
      </c>
      <c r="L451" s="1">
        <f t="shared" si="19"/>
        <v>0</v>
      </c>
      <c r="M451" s="1">
        <f t="shared" si="20"/>
        <v>0</v>
      </c>
    </row>
    <row r="452" spans="1:13">
      <c r="A452" s="3" t="s">
        <v>3150</v>
      </c>
      <c r="B452" s="3" t="s">
        <v>3151</v>
      </c>
      <c r="C452" s="1">
        <v>0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685">
        <v>0</v>
      </c>
      <c r="K452" s="1">
        <f t="shared" ref="K452:K485" si="21">J452-C452</f>
        <v>0</v>
      </c>
      <c r="L452" s="1">
        <f t="shared" ref="L452:L485" si="22">IF(C452&gt;0,C452,0)</f>
        <v>0</v>
      </c>
      <c r="M452" s="1">
        <f t="shared" ref="M452:M485" si="23">IF(C452&lt;0,C452,0)</f>
        <v>0</v>
      </c>
    </row>
    <row r="453" spans="1:13">
      <c r="A453" s="3" t="s">
        <v>771</v>
      </c>
      <c r="B453" s="3" t="s">
        <v>772</v>
      </c>
      <c r="C453" s="1">
        <v>0</v>
      </c>
      <c r="D453" s="1">
        <v>0</v>
      </c>
      <c r="E453" s="1">
        <v>0</v>
      </c>
      <c r="F453" s="1">
        <v>241.11</v>
      </c>
      <c r="G453" s="1">
        <v>0</v>
      </c>
      <c r="H453" s="1">
        <v>241.11</v>
      </c>
      <c r="I453" s="1">
        <v>0</v>
      </c>
      <c r="J453" s="1685">
        <v>241.11</v>
      </c>
      <c r="K453" s="1">
        <f t="shared" si="21"/>
        <v>241.11</v>
      </c>
      <c r="L453" s="1">
        <f t="shared" si="22"/>
        <v>0</v>
      </c>
      <c r="M453" s="1">
        <f t="shared" si="23"/>
        <v>0</v>
      </c>
    </row>
    <row r="454" spans="1:13">
      <c r="A454" s="3" t="s">
        <v>773</v>
      </c>
      <c r="B454" s="3" t="s">
        <v>772</v>
      </c>
      <c r="C454" s="1">
        <v>0</v>
      </c>
      <c r="D454" s="1">
        <v>0</v>
      </c>
      <c r="E454" s="1">
        <v>0</v>
      </c>
      <c r="F454" s="1">
        <v>224573.859999999</v>
      </c>
      <c r="G454" s="1">
        <v>594.89999999999895</v>
      </c>
      <c r="H454" s="1">
        <v>223978.959999999</v>
      </c>
      <c r="I454" s="1">
        <v>0</v>
      </c>
      <c r="J454" s="1685">
        <v>223978.959999999</v>
      </c>
      <c r="K454" s="1">
        <f t="shared" si="21"/>
        <v>223978.959999999</v>
      </c>
      <c r="L454" s="1">
        <f t="shared" si="22"/>
        <v>0</v>
      </c>
      <c r="M454" s="1">
        <f t="shared" si="23"/>
        <v>0</v>
      </c>
    </row>
    <row r="455" spans="1:13">
      <c r="A455" s="3" t="s">
        <v>774</v>
      </c>
      <c r="B455" s="3" t="s">
        <v>772</v>
      </c>
      <c r="C455" s="1">
        <v>0</v>
      </c>
      <c r="D455" s="1">
        <v>0</v>
      </c>
      <c r="E455" s="1">
        <v>0</v>
      </c>
      <c r="F455" s="1">
        <v>13206.469999999899</v>
      </c>
      <c r="G455" s="1">
        <v>0</v>
      </c>
      <c r="H455" s="1">
        <v>13206.469999999899</v>
      </c>
      <c r="I455" s="1">
        <v>0</v>
      </c>
      <c r="J455" s="1685">
        <v>13206.469999999899</v>
      </c>
      <c r="K455" s="1">
        <f t="shared" si="21"/>
        <v>13206.469999999899</v>
      </c>
      <c r="L455" s="1">
        <f t="shared" si="22"/>
        <v>0</v>
      </c>
      <c r="M455" s="1">
        <f t="shared" si="23"/>
        <v>0</v>
      </c>
    </row>
    <row r="456" spans="1:13">
      <c r="A456" s="3" t="s">
        <v>775</v>
      </c>
      <c r="B456" s="3" t="s">
        <v>776</v>
      </c>
      <c r="C456" s="1">
        <v>0</v>
      </c>
      <c r="D456" s="1">
        <v>0</v>
      </c>
      <c r="E456" s="1">
        <v>0</v>
      </c>
      <c r="F456" s="1">
        <v>12630.82</v>
      </c>
      <c r="G456" s="1">
        <v>0</v>
      </c>
      <c r="H456" s="1">
        <v>12630.82</v>
      </c>
      <c r="I456" s="1">
        <v>0</v>
      </c>
      <c r="J456" s="1685">
        <v>12630.82</v>
      </c>
      <c r="K456" s="1">
        <f t="shared" si="21"/>
        <v>12630.82</v>
      </c>
      <c r="L456" s="1">
        <f t="shared" si="22"/>
        <v>0</v>
      </c>
      <c r="M456" s="1">
        <f t="shared" si="23"/>
        <v>0</v>
      </c>
    </row>
    <row r="457" spans="1:13">
      <c r="A457" s="3" t="s">
        <v>777</v>
      </c>
      <c r="B457" s="3" t="s">
        <v>778</v>
      </c>
      <c r="C457" s="1">
        <v>0</v>
      </c>
      <c r="D457" s="1">
        <v>0</v>
      </c>
      <c r="E457" s="1">
        <v>0</v>
      </c>
      <c r="F457" s="1">
        <v>1812.17</v>
      </c>
      <c r="G457" s="1">
        <v>10650.309999999899</v>
      </c>
      <c r="H457" s="1">
        <v>0</v>
      </c>
      <c r="I457" s="1">
        <v>-8838.1399999999903</v>
      </c>
      <c r="J457" s="1685">
        <v>-8838.1399999999903</v>
      </c>
      <c r="K457" s="1">
        <f t="shared" si="21"/>
        <v>-8838.1399999999903</v>
      </c>
      <c r="L457" s="1">
        <f t="shared" si="22"/>
        <v>0</v>
      </c>
      <c r="M457" s="1">
        <f t="shared" si="23"/>
        <v>0</v>
      </c>
    </row>
    <row r="458" spans="1:13">
      <c r="A458" s="3" t="s">
        <v>779</v>
      </c>
      <c r="B458" s="3" t="s">
        <v>780</v>
      </c>
      <c r="C458" s="1">
        <v>0</v>
      </c>
      <c r="D458" s="1">
        <v>0</v>
      </c>
      <c r="E458" s="1">
        <v>0</v>
      </c>
      <c r="F458" s="1">
        <v>4824.97</v>
      </c>
      <c r="G458" s="1">
        <v>0</v>
      </c>
      <c r="H458" s="1">
        <v>4824.97</v>
      </c>
      <c r="I458" s="1">
        <v>0</v>
      </c>
      <c r="J458" s="1685">
        <v>4824.97</v>
      </c>
      <c r="K458" s="1">
        <f t="shared" si="21"/>
        <v>4824.97</v>
      </c>
      <c r="L458" s="1">
        <f t="shared" si="22"/>
        <v>0</v>
      </c>
      <c r="M458" s="1">
        <f t="shared" si="23"/>
        <v>0</v>
      </c>
    </row>
    <row r="459" spans="1:13">
      <c r="A459" s="3" t="s">
        <v>781</v>
      </c>
      <c r="B459" s="3" t="s">
        <v>780</v>
      </c>
      <c r="C459" s="1">
        <v>0</v>
      </c>
      <c r="D459" s="1">
        <v>0</v>
      </c>
      <c r="E459" s="1">
        <v>0</v>
      </c>
      <c r="F459" s="1">
        <v>339.99</v>
      </c>
      <c r="G459" s="1">
        <v>4824.97</v>
      </c>
      <c r="H459" s="1">
        <v>0</v>
      </c>
      <c r="I459" s="1">
        <v>-4484.9799999999896</v>
      </c>
      <c r="J459" s="1685">
        <v>-4484.9799999999896</v>
      </c>
      <c r="K459" s="1">
        <f t="shared" si="21"/>
        <v>-4484.9799999999896</v>
      </c>
      <c r="L459" s="1">
        <f t="shared" si="22"/>
        <v>0</v>
      </c>
      <c r="M459" s="1">
        <f t="shared" si="23"/>
        <v>0</v>
      </c>
    </row>
    <row r="460" spans="1:13">
      <c r="A460" s="3" t="s">
        <v>782</v>
      </c>
      <c r="B460" s="3" t="s">
        <v>783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685">
        <v>0</v>
      </c>
      <c r="K460" s="1">
        <f t="shared" si="21"/>
        <v>0</v>
      </c>
      <c r="L460" s="1">
        <f t="shared" si="22"/>
        <v>0</v>
      </c>
      <c r="M460" s="1">
        <f t="shared" si="23"/>
        <v>0</v>
      </c>
    </row>
    <row r="461" spans="1:13">
      <c r="A461" s="3" t="s">
        <v>789</v>
      </c>
      <c r="B461" s="3" t="s">
        <v>787</v>
      </c>
      <c r="C461" s="1">
        <v>0</v>
      </c>
      <c r="D461" s="1">
        <v>0</v>
      </c>
      <c r="E461" s="1">
        <v>0</v>
      </c>
      <c r="F461" s="1">
        <v>15218.23</v>
      </c>
      <c r="G461" s="1">
        <v>0</v>
      </c>
      <c r="H461" s="1">
        <v>15218.23</v>
      </c>
      <c r="I461" s="1">
        <v>0</v>
      </c>
      <c r="J461" s="1685">
        <v>15218.23</v>
      </c>
      <c r="K461" s="1">
        <f t="shared" si="21"/>
        <v>15218.23</v>
      </c>
      <c r="L461" s="1">
        <f t="shared" si="22"/>
        <v>0</v>
      </c>
      <c r="M461" s="1">
        <f t="shared" si="23"/>
        <v>0</v>
      </c>
    </row>
    <row r="462" spans="1:13">
      <c r="A462" s="3" t="s">
        <v>790</v>
      </c>
      <c r="B462" s="3" t="s">
        <v>787</v>
      </c>
      <c r="C462" s="1">
        <v>0</v>
      </c>
      <c r="D462" s="1">
        <v>0</v>
      </c>
      <c r="E462" s="1">
        <v>0</v>
      </c>
      <c r="F462" s="1">
        <v>0</v>
      </c>
      <c r="G462" s="1">
        <v>29969.799999999901</v>
      </c>
      <c r="H462" s="1">
        <v>0</v>
      </c>
      <c r="I462" s="1">
        <v>-29969.799999999901</v>
      </c>
      <c r="J462" s="1685">
        <v>-29969.799999999901</v>
      </c>
      <c r="K462" s="1">
        <f t="shared" si="21"/>
        <v>-29969.799999999901</v>
      </c>
      <c r="L462" s="1">
        <f t="shared" si="22"/>
        <v>0</v>
      </c>
      <c r="M462" s="1">
        <f t="shared" si="23"/>
        <v>0</v>
      </c>
    </row>
    <row r="463" spans="1:13">
      <c r="A463" s="3" t="s">
        <v>791</v>
      </c>
      <c r="B463" s="3" t="s">
        <v>792</v>
      </c>
      <c r="C463" s="1">
        <v>0</v>
      </c>
      <c r="D463" s="1">
        <v>0</v>
      </c>
      <c r="E463" s="1">
        <v>0</v>
      </c>
      <c r="F463" s="1">
        <v>2519.46</v>
      </c>
      <c r="G463" s="1">
        <v>9</v>
      </c>
      <c r="H463" s="1">
        <v>2510.46</v>
      </c>
      <c r="I463" s="1">
        <v>0</v>
      </c>
      <c r="J463" s="1685">
        <v>2510.46</v>
      </c>
      <c r="K463" s="1">
        <f t="shared" si="21"/>
        <v>2510.46</v>
      </c>
      <c r="L463" s="1">
        <f t="shared" si="22"/>
        <v>0</v>
      </c>
      <c r="M463" s="1">
        <f t="shared" si="23"/>
        <v>0</v>
      </c>
    </row>
    <row r="464" spans="1:13">
      <c r="A464" s="3" t="s">
        <v>3375</v>
      </c>
      <c r="B464" s="3" t="s">
        <v>3376</v>
      </c>
      <c r="C464" s="1">
        <v>0</v>
      </c>
      <c r="D464" s="1">
        <v>0</v>
      </c>
      <c r="E464" s="1">
        <v>0</v>
      </c>
      <c r="F464" s="1">
        <v>24932.74</v>
      </c>
      <c r="G464" s="1">
        <v>0</v>
      </c>
      <c r="H464" s="1">
        <v>24932.74</v>
      </c>
      <c r="I464" s="1">
        <v>0</v>
      </c>
      <c r="J464" s="1685">
        <v>24932.74</v>
      </c>
      <c r="K464" s="1">
        <f t="shared" si="21"/>
        <v>24932.74</v>
      </c>
      <c r="L464" s="1">
        <f t="shared" si="22"/>
        <v>0</v>
      </c>
      <c r="M464" s="1">
        <f t="shared" si="23"/>
        <v>0</v>
      </c>
    </row>
    <row r="465" spans="1:13">
      <c r="A465" s="3" t="s">
        <v>3114</v>
      </c>
      <c r="B465" s="3" t="s">
        <v>3115</v>
      </c>
      <c r="C465" s="1">
        <v>0</v>
      </c>
      <c r="D465" s="1">
        <v>0</v>
      </c>
      <c r="E465" s="1">
        <v>0</v>
      </c>
      <c r="F465" s="1">
        <v>5418.8599999999897</v>
      </c>
      <c r="G465" s="1">
        <v>7660.09</v>
      </c>
      <c r="H465" s="1">
        <v>0</v>
      </c>
      <c r="I465" s="1">
        <v>-2241.23</v>
      </c>
      <c r="J465" s="1685">
        <v>-2241.23</v>
      </c>
      <c r="K465" s="1">
        <f t="shared" si="21"/>
        <v>-2241.23</v>
      </c>
      <c r="L465" s="1">
        <f t="shared" si="22"/>
        <v>0</v>
      </c>
      <c r="M465" s="1">
        <f t="shared" si="23"/>
        <v>0</v>
      </c>
    </row>
    <row r="466" spans="1:13">
      <c r="A466" s="3" t="s">
        <v>3329</v>
      </c>
      <c r="B466" s="3" t="s">
        <v>3153</v>
      </c>
      <c r="C466" s="1">
        <v>0</v>
      </c>
      <c r="D466" s="1">
        <v>0</v>
      </c>
      <c r="E466" s="1">
        <v>0</v>
      </c>
      <c r="F466" s="1">
        <v>13203.32</v>
      </c>
      <c r="G466" s="1">
        <v>0</v>
      </c>
      <c r="H466" s="1">
        <v>13203.32</v>
      </c>
      <c r="I466" s="1">
        <v>0</v>
      </c>
      <c r="J466" s="1685">
        <v>13203.32</v>
      </c>
      <c r="K466" s="1">
        <f t="shared" si="21"/>
        <v>13203.32</v>
      </c>
      <c r="L466" s="1">
        <f t="shared" si="22"/>
        <v>0</v>
      </c>
      <c r="M466" s="1">
        <f t="shared" si="23"/>
        <v>0</v>
      </c>
    </row>
    <row r="467" spans="1:13">
      <c r="A467" s="3" t="s">
        <v>3952</v>
      </c>
      <c r="B467" s="3" t="s">
        <v>3953</v>
      </c>
      <c r="C467" s="1">
        <v>0</v>
      </c>
      <c r="D467" s="1">
        <v>0</v>
      </c>
      <c r="E467" s="1">
        <v>0</v>
      </c>
      <c r="F467" s="1">
        <v>4859.4399999999896</v>
      </c>
      <c r="G467" s="1">
        <v>4859.4399999999896</v>
      </c>
      <c r="H467" s="1">
        <v>0</v>
      </c>
      <c r="I467" s="1">
        <v>0</v>
      </c>
      <c r="J467" s="1685">
        <v>0</v>
      </c>
      <c r="K467" s="1">
        <f t="shared" si="21"/>
        <v>0</v>
      </c>
      <c r="L467" s="1">
        <f t="shared" si="22"/>
        <v>0</v>
      </c>
      <c r="M467" s="1">
        <f t="shared" si="23"/>
        <v>0</v>
      </c>
    </row>
    <row r="468" spans="1:13">
      <c r="A468" s="3" t="s">
        <v>793</v>
      </c>
      <c r="B468" s="3" t="s">
        <v>794</v>
      </c>
      <c r="C468" s="1">
        <v>0</v>
      </c>
      <c r="D468" s="1">
        <v>0</v>
      </c>
      <c r="E468" s="1">
        <v>0</v>
      </c>
      <c r="F468" s="1">
        <v>358.85</v>
      </c>
      <c r="G468" s="1">
        <v>0</v>
      </c>
      <c r="H468" s="1">
        <v>358.85</v>
      </c>
      <c r="I468" s="1">
        <v>0</v>
      </c>
      <c r="J468" s="1685">
        <v>358.85</v>
      </c>
      <c r="K468" s="1">
        <f t="shared" si="21"/>
        <v>358.85</v>
      </c>
      <c r="L468" s="1">
        <f t="shared" si="22"/>
        <v>0</v>
      </c>
      <c r="M468" s="1">
        <f t="shared" si="23"/>
        <v>0</v>
      </c>
    </row>
    <row r="469" spans="1:13">
      <c r="A469" s="3" t="s">
        <v>795</v>
      </c>
      <c r="B469" s="3" t="s">
        <v>794</v>
      </c>
      <c r="C469" s="1">
        <v>0</v>
      </c>
      <c r="D469" s="1">
        <v>0</v>
      </c>
      <c r="E469" s="1">
        <v>0</v>
      </c>
      <c r="F469" s="1">
        <v>238.36</v>
      </c>
      <c r="G469" s="1">
        <v>2.64</v>
      </c>
      <c r="H469" s="1">
        <v>235.72</v>
      </c>
      <c r="I469" s="1">
        <v>0</v>
      </c>
      <c r="J469" s="1685">
        <v>235.72</v>
      </c>
      <c r="K469" s="1">
        <f t="shared" si="21"/>
        <v>235.72</v>
      </c>
      <c r="L469" s="1">
        <f t="shared" si="22"/>
        <v>0</v>
      </c>
      <c r="M469" s="1">
        <f t="shared" si="23"/>
        <v>0</v>
      </c>
    </row>
    <row r="470" spans="1:13">
      <c r="A470" s="3" t="s">
        <v>798</v>
      </c>
      <c r="B470" s="3" t="s">
        <v>799</v>
      </c>
      <c r="C470" s="1">
        <v>0</v>
      </c>
      <c r="D470" s="1">
        <v>0</v>
      </c>
      <c r="E470" s="1">
        <v>0</v>
      </c>
      <c r="F470" s="1">
        <v>234.509999999999</v>
      </c>
      <c r="G470" s="1">
        <v>0</v>
      </c>
      <c r="H470" s="1">
        <v>234.509999999999</v>
      </c>
      <c r="I470" s="1">
        <v>0</v>
      </c>
      <c r="J470" s="1685">
        <v>234.509999999999</v>
      </c>
      <c r="K470" s="1">
        <f t="shared" si="21"/>
        <v>234.509999999999</v>
      </c>
      <c r="L470" s="1">
        <f t="shared" si="22"/>
        <v>0</v>
      </c>
      <c r="M470" s="1">
        <f t="shared" si="23"/>
        <v>0</v>
      </c>
    </row>
    <row r="471" spans="1:13">
      <c r="A471" s="3" t="s">
        <v>800</v>
      </c>
      <c r="B471" s="3" t="s">
        <v>801</v>
      </c>
      <c r="C471" s="1">
        <v>0</v>
      </c>
      <c r="D471" s="1">
        <v>0</v>
      </c>
      <c r="E471" s="1">
        <v>0</v>
      </c>
      <c r="F471" s="1">
        <v>135172</v>
      </c>
      <c r="G471" s="1">
        <v>0</v>
      </c>
      <c r="H471" s="1">
        <v>135172</v>
      </c>
      <c r="I471" s="1">
        <v>0</v>
      </c>
      <c r="J471" s="1685">
        <v>135172</v>
      </c>
      <c r="K471" s="1">
        <f t="shared" si="21"/>
        <v>135172</v>
      </c>
      <c r="L471" s="1">
        <f t="shared" si="22"/>
        <v>0</v>
      </c>
      <c r="M471" s="1">
        <f t="shared" si="23"/>
        <v>0</v>
      </c>
    </row>
    <row r="472" spans="1:13">
      <c r="A472" s="3" t="s">
        <v>802</v>
      </c>
      <c r="B472" s="3" t="s">
        <v>803</v>
      </c>
      <c r="C472" s="1">
        <v>0</v>
      </c>
      <c r="D472" s="1">
        <v>0</v>
      </c>
      <c r="E472" s="1">
        <v>0</v>
      </c>
      <c r="F472" s="1">
        <v>486939</v>
      </c>
      <c r="G472" s="1">
        <v>0</v>
      </c>
      <c r="H472" s="1">
        <v>486939</v>
      </c>
      <c r="I472" s="1">
        <v>0</v>
      </c>
      <c r="J472" s="1685">
        <v>486939</v>
      </c>
      <c r="K472" s="1">
        <f t="shared" si="21"/>
        <v>486939</v>
      </c>
      <c r="L472" s="1">
        <f t="shared" si="22"/>
        <v>0</v>
      </c>
      <c r="M472" s="1">
        <f t="shared" si="23"/>
        <v>0</v>
      </c>
    </row>
    <row r="473" spans="1:13">
      <c r="A473" s="3" t="s">
        <v>804</v>
      </c>
      <c r="B473" s="3" t="s">
        <v>805</v>
      </c>
      <c r="C473" s="1">
        <v>0</v>
      </c>
      <c r="D473" s="1">
        <v>0</v>
      </c>
      <c r="E473" s="1">
        <v>0</v>
      </c>
      <c r="F473" s="1">
        <v>45.27</v>
      </c>
      <c r="G473" s="1">
        <v>0</v>
      </c>
      <c r="H473" s="1">
        <v>45.27</v>
      </c>
      <c r="I473" s="1">
        <v>0</v>
      </c>
      <c r="J473" s="1685">
        <v>45.27</v>
      </c>
      <c r="K473" s="1">
        <f t="shared" si="21"/>
        <v>45.27</v>
      </c>
      <c r="L473" s="1">
        <f t="shared" si="22"/>
        <v>0</v>
      </c>
      <c r="M473" s="1">
        <f t="shared" si="23"/>
        <v>0</v>
      </c>
    </row>
    <row r="474" spans="1:13">
      <c r="A474" s="3" t="s">
        <v>3939</v>
      </c>
      <c r="B474" s="3" t="s">
        <v>3940</v>
      </c>
      <c r="C474" s="1">
        <v>0</v>
      </c>
      <c r="D474" s="1">
        <v>0</v>
      </c>
      <c r="E474" s="1">
        <v>0</v>
      </c>
      <c r="F474" s="1">
        <v>0</v>
      </c>
      <c r="G474" s="1">
        <v>28115.8499999999</v>
      </c>
      <c r="H474" s="1">
        <v>0</v>
      </c>
      <c r="I474" s="1">
        <v>-28115.8499999999</v>
      </c>
      <c r="J474" s="1685">
        <v>-28115.8499999999</v>
      </c>
      <c r="K474" s="1">
        <f t="shared" si="21"/>
        <v>-28115.8499999999</v>
      </c>
      <c r="L474" s="1">
        <f t="shared" si="22"/>
        <v>0</v>
      </c>
      <c r="M474" s="1">
        <f t="shared" si="23"/>
        <v>0</v>
      </c>
    </row>
    <row r="475" spans="1:13">
      <c r="A475" s="3" t="s">
        <v>3954</v>
      </c>
      <c r="B475" s="3" t="s">
        <v>3955</v>
      </c>
      <c r="C475" s="1">
        <v>0</v>
      </c>
      <c r="D475" s="1">
        <v>0</v>
      </c>
      <c r="E475" s="1">
        <v>0</v>
      </c>
      <c r="F475" s="1">
        <v>0</v>
      </c>
      <c r="G475" s="1">
        <v>7808</v>
      </c>
      <c r="H475" s="1">
        <v>0</v>
      </c>
      <c r="I475" s="1">
        <v>-7808</v>
      </c>
      <c r="J475" s="1685">
        <v>-7808</v>
      </c>
      <c r="K475" s="1">
        <f t="shared" si="21"/>
        <v>-7808</v>
      </c>
      <c r="L475" s="1">
        <f t="shared" si="22"/>
        <v>0</v>
      </c>
      <c r="M475" s="1">
        <f t="shared" si="23"/>
        <v>0</v>
      </c>
    </row>
    <row r="476" spans="1:13">
      <c r="A476" s="3" t="s">
        <v>807</v>
      </c>
      <c r="B476" s="3" t="s">
        <v>808</v>
      </c>
      <c r="C476" s="1">
        <v>0</v>
      </c>
      <c r="D476" s="1">
        <v>0</v>
      </c>
      <c r="E476" s="1">
        <v>0</v>
      </c>
      <c r="F476" s="1">
        <v>3000</v>
      </c>
      <c r="G476" s="1">
        <v>4427.04</v>
      </c>
      <c r="H476" s="1">
        <v>0</v>
      </c>
      <c r="I476" s="1">
        <v>-1427.04</v>
      </c>
      <c r="J476" s="1685">
        <v>-1427.04</v>
      </c>
      <c r="K476" s="1">
        <f t="shared" si="21"/>
        <v>-1427.04</v>
      </c>
      <c r="L476" s="1">
        <f t="shared" si="22"/>
        <v>0</v>
      </c>
      <c r="M476" s="1">
        <f t="shared" si="23"/>
        <v>0</v>
      </c>
    </row>
    <row r="477" spans="1:13">
      <c r="A477" s="3" t="s">
        <v>2416</v>
      </c>
      <c r="B477" s="3" t="s">
        <v>2417</v>
      </c>
      <c r="C477" s="1">
        <v>0</v>
      </c>
      <c r="D477" s="1">
        <v>0</v>
      </c>
      <c r="E477" s="1">
        <v>0</v>
      </c>
      <c r="F477" s="1">
        <v>0</v>
      </c>
      <c r="G477" s="1">
        <v>356880.39</v>
      </c>
      <c r="H477" s="1">
        <v>0</v>
      </c>
      <c r="I477" s="1">
        <v>-356880.39</v>
      </c>
      <c r="J477" s="1685">
        <v>-356880.39</v>
      </c>
      <c r="K477" s="1">
        <f t="shared" si="21"/>
        <v>-356880.39</v>
      </c>
      <c r="L477" s="1">
        <f t="shared" si="22"/>
        <v>0</v>
      </c>
      <c r="M477" s="1">
        <f t="shared" si="23"/>
        <v>0</v>
      </c>
    </row>
    <row r="478" spans="1:13">
      <c r="A478" s="3" t="s">
        <v>3967</v>
      </c>
      <c r="B478" s="3" t="s">
        <v>3968</v>
      </c>
      <c r="C478" s="1">
        <v>0</v>
      </c>
      <c r="D478" s="1">
        <v>0</v>
      </c>
      <c r="E478" s="1">
        <v>0</v>
      </c>
      <c r="F478" s="1">
        <v>0</v>
      </c>
      <c r="G478" s="1">
        <v>6603848.5800000001</v>
      </c>
      <c r="H478" s="1">
        <v>0</v>
      </c>
      <c r="I478" s="1">
        <v>-6603848.5800000001</v>
      </c>
      <c r="J478" s="1685">
        <v>-6603848.5800000001</v>
      </c>
      <c r="K478" s="1">
        <f t="shared" si="21"/>
        <v>-6603848.5800000001</v>
      </c>
      <c r="L478" s="1">
        <f t="shared" si="22"/>
        <v>0</v>
      </c>
      <c r="M478" s="1">
        <f t="shared" si="23"/>
        <v>0</v>
      </c>
    </row>
    <row r="479" spans="1:13">
      <c r="A479" s="3" t="s">
        <v>809</v>
      </c>
      <c r="B479" s="3" t="s">
        <v>810</v>
      </c>
      <c r="C479" s="1">
        <v>0</v>
      </c>
      <c r="D479" s="1">
        <v>0</v>
      </c>
      <c r="E479" s="1">
        <v>0</v>
      </c>
      <c r="F479" s="1">
        <v>0</v>
      </c>
      <c r="G479" s="1">
        <v>16419.240000000002</v>
      </c>
      <c r="H479" s="1">
        <v>0</v>
      </c>
      <c r="I479" s="1">
        <v>-16419.240000000002</v>
      </c>
      <c r="J479" s="1685">
        <v>-16419.240000000002</v>
      </c>
      <c r="K479" s="1">
        <f t="shared" si="21"/>
        <v>-16419.240000000002</v>
      </c>
      <c r="L479" s="1">
        <f t="shared" si="22"/>
        <v>0</v>
      </c>
      <c r="M479" s="1">
        <f t="shared" si="23"/>
        <v>0</v>
      </c>
    </row>
    <row r="480" spans="1:13">
      <c r="A480" s="3" t="s">
        <v>3145</v>
      </c>
      <c r="B480" s="3" t="s">
        <v>3146</v>
      </c>
      <c r="C480" s="1">
        <v>0</v>
      </c>
      <c r="D480" s="1">
        <v>0</v>
      </c>
      <c r="E480" s="1">
        <v>0</v>
      </c>
      <c r="F480" s="1">
        <v>1500</v>
      </c>
      <c r="G480" s="1">
        <v>43283.519999999902</v>
      </c>
      <c r="H480" s="1">
        <v>0</v>
      </c>
      <c r="I480" s="1">
        <v>-41783.519999999902</v>
      </c>
      <c r="J480" s="1685">
        <v>-41783.519999999902</v>
      </c>
      <c r="K480" s="1">
        <f t="shared" si="21"/>
        <v>-41783.519999999902</v>
      </c>
      <c r="L480" s="1">
        <f t="shared" si="22"/>
        <v>0</v>
      </c>
      <c r="M480" s="1">
        <f t="shared" si="23"/>
        <v>0</v>
      </c>
    </row>
    <row r="481" spans="1:13">
      <c r="A481" s="3" t="s">
        <v>815</v>
      </c>
      <c r="B481" s="3" t="s">
        <v>816</v>
      </c>
      <c r="C481" s="1">
        <v>0</v>
      </c>
      <c r="D481" s="1">
        <v>0</v>
      </c>
      <c r="E481" s="1">
        <v>0</v>
      </c>
      <c r="F481" s="1">
        <v>60</v>
      </c>
      <c r="G481" s="1">
        <v>1231.8800000000001</v>
      </c>
      <c r="H481" s="1">
        <v>0</v>
      </c>
      <c r="I481" s="1">
        <v>-1171.8800000000001</v>
      </c>
      <c r="J481" s="1685">
        <v>-1171.8800000000001</v>
      </c>
      <c r="K481" s="1">
        <f t="shared" si="21"/>
        <v>-1171.8800000000001</v>
      </c>
      <c r="L481" s="1">
        <f t="shared" si="22"/>
        <v>0</v>
      </c>
      <c r="M481" s="1">
        <f t="shared" si="23"/>
        <v>0</v>
      </c>
    </row>
    <row r="482" spans="1:13">
      <c r="A482" s="3" t="s">
        <v>817</v>
      </c>
      <c r="B482" s="3" t="s">
        <v>816</v>
      </c>
      <c r="C482" s="1">
        <v>0</v>
      </c>
      <c r="D482" s="1">
        <v>0</v>
      </c>
      <c r="E482" s="1">
        <v>0</v>
      </c>
      <c r="F482" s="1">
        <v>0</v>
      </c>
      <c r="G482" s="1">
        <v>2595.0599999999899</v>
      </c>
      <c r="H482" s="1">
        <v>0</v>
      </c>
      <c r="I482" s="1">
        <v>-2595.0599999999899</v>
      </c>
      <c r="J482" s="1685">
        <v>-2595.0599999999899</v>
      </c>
      <c r="K482" s="1">
        <f t="shared" si="21"/>
        <v>-2595.0599999999899</v>
      </c>
      <c r="L482" s="1">
        <f t="shared" si="22"/>
        <v>0</v>
      </c>
      <c r="M482" s="1">
        <f t="shared" si="23"/>
        <v>0</v>
      </c>
    </row>
    <row r="483" spans="1:13">
      <c r="A483" s="3" t="s">
        <v>818</v>
      </c>
      <c r="B483" s="3" t="s">
        <v>819</v>
      </c>
      <c r="C483" s="1">
        <v>0</v>
      </c>
      <c r="D483" s="1">
        <v>0</v>
      </c>
      <c r="E483" s="1">
        <v>0</v>
      </c>
      <c r="F483" s="1">
        <v>0</v>
      </c>
      <c r="G483" s="1">
        <v>17817</v>
      </c>
      <c r="H483" s="1">
        <v>0</v>
      </c>
      <c r="I483" s="1">
        <v>-17817</v>
      </c>
      <c r="J483" s="1685">
        <v>-17817</v>
      </c>
      <c r="K483" s="1">
        <f t="shared" si="21"/>
        <v>-17817</v>
      </c>
      <c r="L483" s="1">
        <f t="shared" si="22"/>
        <v>0</v>
      </c>
      <c r="M483" s="1">
        <f t="shared" si="23"/>
        <v>0</v>
      </c>
    </row>
    <row r="484" spans="1:13">
      <c r="A484" s="3" t="s">
        <v>3443</v>
      </c>
      <c r="B484" s="3" t="s">
        <v>3444</v>
      </c>
      <c r="C484" s="1">
        <v>0</v>
      </c>
      <c r="D484" s="1">
        <v>0</v>
      </c>
      <c r="E484" s="1">
        <v>0</v>
      </c>
      <c r="F484" s="1">
        <v>1116.6199999999899</v>
      </c>
      <c r="G484" s="1">
        <v>7391.0299999999897</v>
      </c>
      <c r="H484" s="1">
        <v>0</v>
      </c>
      <c r="I484" s="1">
        <v>-6274.4099999999899</v>
      </c>
      <c r="J484" s="1685">
        <v>-6274.4099999999899</v>
      </c>
      <c r="K484" s="1">
        <f t="shared" si="21"/>
        <v>-6274.4099999999899</v>
      </c>
      <c r="L484" s="1">
        <f t="shared" si="22"/>
        <v>0</v>
      </c>
      <c r="M484" s="1">
        <f t="shared" si="23"/>
        <v>0</v>
      </c>
    </row>
    <row r="485" spans="1:13">
      <c r="A485" s="3" t="s">
        <v>822</v>
      </c>
      <c r="B485" s="3" t="s">
        <v>823</v>
      </c>
      <c r="C485" s="1">
        <v>0</v>
      </c>
      <c r="D485" s="1">
        <v>0</v>
      </c>
      <c r="E485" s="1">
        <v>0</v>
      </c>
      <c r="F485" s="1">
        <v>36729.849999999897</v>
      </c>
      <c r="G485" s="1">
        <v>86376.449999999895</v>
      </c>
      <c r="H485" s="1">
        <v>0</v>
      </c>
      <c r="I485" s="1">
        <v>-49646.599999999897</v>
      </c>
      <c r="J485" s="1685">
        <v>-49646.599999999897</v>
      </c>
      <c r="K485" s="1">
        <f t="shared" si="21"/>
        <v>-49646.599999999897</v>
      </c>
      <c r="L485" s="1">
        <f t="shared" si="22"/>
        <v>0</v>
      </c>
      <c r="M485" s="1">
        <f t="shared" si="23"/>
        <v>0</v>
      </c>
    </row>
    <row r="486" spans="1:13">
      <c r="A486" s="3" t="s">
        <v>824</v>
      </c>
      <c r="B486" s="3" t="s">
        <v>825</v>
      </c>
      <c r="C486" s="1">
        <v>0</v>
      </c>
      <c r="D486" s="1">
        <v>0</v>
      </c>
      <c r="E486" s="1">
        <v>0</v>
      </c>
      <c r="F486" s="1">
        <v>3.54</v>
      </c>
      <c r="G486" s="1">
        <v>29.8</v>
      </c>
      <c r="H486" s="1">
        <v>0</v>
      </c>
      <c r="I486" s="1">
        <v>-26.26</v>
      </c>
      <c r="J486" s="1685">
        <v>-26.26</v>
      </c>
      <c r="K486" s="1">
        <f>J486-C486</f>
        <v>-26.26</v>
      </c>
      <c r="L486" s="1">
        <f>IF(C486&gt;0,C486,0)</f>
        <v>0</v>
      </c>
      <c r="M486" s="1">
        <f>IF(C486&lt;0,C486,0)</f>
        <v>0</v>
      </c>
    </row>
    <row r="487" spans="1:13">
      <c r="A487" s="3" t="s">
        <v>829</v>
      </c>
      <c r="B487" s="3" t="s">
        <v>830</v>
      </c>
      <c r="C487" s="1">
        <v>0</v>
      </c>
      <c r="D487" s="1">
        <v>0</v>
      </c>
      <c r="E487" s="1">
        <v>0</v>
      </c>
      <c r="F487" s="1">
        <v>333.37</v>
      </c>
      <c r="G487" s="1">
        <v>191602.519999999</v>
      </c>
      <c r="H487" s="1">
        <v>0</v>
      </c>
      <c r="I487" s="1">
        <v>-191269.149999999</v>
      </c>
      <c r="J487" s="1685">
        <v>-191269.149999999</v>
      </c>
      <c r="K487" s="1">
        <f t="shared" ref="K487:K550" si="24">J487-C487</f>
        <v>-191269.149999999</v>
      </c>
      <c r="L487" s="1">
        <f t="shared" ref="L487:L550" si="25">IF(C487&gt;0,C487,0)</f>
        <v>0</v>
      </c>
      <c r="M487" s="1">
        <f t="shared" ref="M487:M550" si="26">IF(C487&lt;0,C487,0)</f>
        <v>0</v>
      </c>
    </row>
    <row r="488" spans="1:13">
      <c r="A488" s="3" t="s">
        <v>3286</v>
      </c>
      <c r="B488" s="3" t="s">
        <v>2837</v>
      </c>
      <c r="C488" s="1">
        <v>0</v>
      </c>
      <c r="D488" s="1">
        <v>0</v>
      </c>
      <c r="E488" s="1">
        <v>0</v>
      </c>
      <c r="F488" s="1">
        <v>97426.179999999906</v>
      </c>
      <c r="G488" s="1">
        <v>48713.089999999902</v>
      </c>
      <c r="H488" s="1">
        <v>48713.089999999902</v>
      </c>
      <c r="I488" s="1">
        <v>0</v>
      </c>
      <c r="J488" s="1685">
        <v>48713.089999999902</v>
      </c>
      <c r="K488" s="1">
        <f t="shared" si="24"/>
        <v>48713.089999999902</v>
      </c>
      <c r="L488" s="1">
        <f t="shared" si="25"/>
        <v>0</v>
      </c>
      <c r="M488" s="1">
        <f t="shared" si="26"/>
        <v>0</v>
      </c>
    </row>
    <row r="489" spans="1:13">
      <c r="A489" s="3" t="s">
        <v>840</v>
      </c>
      <c r="B489" s="3" t="s">
        <v>839</v>
      </c>
      <c r="C489" s="1">
        <v>0</v>
      </c>
      <c r="D489" s="1">
        <v>0</v>
      </c>
      <c r="E489" s="1">
        <v>0</v>
      </c>
      <c r="F489" s="1">
        <v>3479.6199999999899</v>
      </c>
      <c r="G489" s="1">
        <v>0</v>
      </c>
      <c r="H489" s="1">
        <v>3479.6199999999899</v>
      </c>
      <c r="I489" s="1">
        <v>0</v>
      </c>
      <c r="J489" s="1685">
        <v>3479.6199999999899</v>
      </c>
      <c r="K489" s="1">
        <f t="shared" si="24"/>
        <v>3479.6199999999899</v>
      </c>
      <c r="L489" s="1">
        <f t="shared" si="25"/>
        <v>0</v>
      </c>
      <c r="M489" s="1">
        <f t="shared" si="26"/>
        <v>0</v>
      </c>
    </row>
    <row r="490" spans="1:13">
      <c r="A490" s="3" t="s">
        <v>841</v>
      </c>
      <c r="B490" s="3" t="s">
        <v>842</v>
      </c>
      <c r="C490" s="1">
        <v>0</v>
      </c>
      <c r="D490" s="1">
        <v>0</v>
      </c>
      <c r="E490" s="1">
        <v>0</v>
      </c>
      <c r="F490" s="1">
        <v>2595.0599999999899</v>
      </c>
      <c r="G490" s="1">
        <v>0</v>
      </c>
      <c r="H490" s="1">
        <v>2595.0599999999899</v>
      </c>
      <c r="I490" s="1">
        <v>0</v>
      </c>
      <c r="J490" s="1685">
        <v>2595.0599999999899</v>
      </c>
      <c r="K490" s="1">
        <f t="shared" si="24"/>
        <v>2595.0599999999899</v>
      </c>
      <c r="L490" s="1">
        <f t="shared" si="25"/>
        <v>0</v>
      </c>
      <c r="M490" s="1">
        <f t="shared" si="26"/>
        <v>0</v>
      </c>
    </row>
    <row r="491" spans="1:13">
      <c r="A491" s="3" t="s">
        <v>843</v>
      </c>
      <c r="B491" s="3" t="s">
        <v>844</v>
      </c>
      <c r="C491" s="1">
        <v>0</v>
      </c>
      <c r="D491" s="1">
        <v>0</v>
      </c>
      <c r="E491" s="1">
        <v>0</v>
      </c>
      <c r="F491" s="1">
        <v>55015.529999999897</v>
      </c>
      <c r="G491" s="1">
        <v>0</v>
      </c>
      <c r="H491" s="1">
        <v>55015.529999999897</v>
      </c>
      <c r="I491" s="1">
        <v>0</v>
      </c>
      <c r="J491" s="1685">
        <v>55015.529999999897</v>
      </c>
      <c r="K491" s="1">
        <f t="shared" si="24"/>
        <v>55015.529999999897</v>
      </c>
      <c r="L491" s="1">
        <f t="shared" si="25"/>
        <v>0</v>
      </c>
      <c r="M491" s="1">
        <f t="shared" si="26"/>
        <v>0</v>
      </c>
    </row>
    <row r="492" spans="1:13">
      <c r="A492" s="3" t="s">
        <v>4060</v>
      </c>
      <c r="B492" s="3" t="s">
        <v>4061</v>
      </c>
      <c r="C492" s="1">
        <v>0</v>
      </c>
      <c r="D492" s="1">
        <v>0</v>
      </c>
      <c r="E492" s="1">
        <v>0</v>
      </c>
      <c r="F492" s="1">
        <v>298.63</v>
      </c>
      <c r="G492" s="1">
        <v>0</v>
      </c>
      <c r="H492" s="1">
        <v>298.63</v>
      </c>
      <c r="I492" s="1">
        <v>0</v>
      </c>
      <c r="J492" s="1685">
        <v>298.63</v>
      </c>
      <c r="K492" s="1">
        <f t="shared" si="24"/>
        <v>298.63</v>
      </c>
      <c r="L492" s="1">
        <f t="shared" si="25"/>
        <v>0</v>
      </c>
      <c r="M492" s="1">
        <f t="shared" si="26"/>
        <v>0</v>
      </c>
    </row>
    <row r="493" spans="1:13">
      <c r="A493" s="3" t="s">
        <v>3122</v>
      </c>
      <c r="B493" s="3" t="s">
        <v>3123</v>
      </c>
      <c r="C493" s="1">
        <v>0</v>
      </c>
      <c r="D493" s="1">
        <v>0</v>
      </c>
      <c r="E493" s="1">
        <v>0</v>
      </c>
      <c r="F493" s="1">
        <v>9926.8099999999904</v>
      </c>
      <c r="G493" s="1">
        <v>0</v>
      </c>
      <c r="H493" s="1">
        <v>9926.8099999999904</v>
      </c>
      <c r="I493" s="1">
        <v>0</v>
      </c>
      <c r="J493" s="1685">
        <v>9926.8099999999904</v>
      </c>
      <c r="K493" s="1">
        <f t="shared" si="24"/>
        <v>9926.8099999999904</v>
      </c>
      <c r="L493" s="1">
        <f t="shared" si="25"/>
        <v>0</v>
      </c>
      <c r="M493" s="1">
        <f t="shared" si="26"/>
        <v>0</v>
      </c>
    </row>
    <row r="494" spans="1:13">
      <c r="A494" s="3" t="s">
        <v>4042</v>
      </c>
      <c r="B494" s="3" t="s">
        <v>3123</v>
      </c>
      <c r="C494" s="1">
        <v>0</v>
      </c>
      <c r="D494" s="1">
        <v>0</v>
      </c>
      <c r="E494" s="1">
        <v>0</v>
      </c>
      <c r="F494" s="1">
        <v>65635</v>
      </c>
      <c r="G494" s="1">
        <v>0</v>
      </c>
      <c r="H494" s="1">
        <v>65635</v>
      </c>
      <c r="I494" s="1">
        <v>0</v>
      </c>
      <c r="J494" s="1685">
        <v>65635</v>
      </c>
      <c r="K494" s="1">
        <f t="shared" si="24"/>
        <v>65635</v>
      </c>
      <c r="L494" s="1">
        <f t="shared" si="25"/>
        <v>0</v>
      </c>
      <c r="M494" s="1">
        <f t="shared" si="26"/>
        <v>0</v>
      </c>
    </row>
    <row r="495" spans="1:13">
      <c r="A495" s="3" t="s">
        <v>2848</v>
      </c>
      <c r="B495" s="3" t="s">
        <v>2849</v>
      </c>
      <c r="C495" s="1">
        <v>0</v>
      </c>
      <c r="D495" s="1">
        <v>0</v>
      </c>
      <c r="E495" s="1">
        <v>0</v>
      </c>
      <c r="F495" s="1">
        <v>771.63</v>
      </c>
      <c r="G495" s="1">
        <v>0</v>
      </c>
      <c r="H495" s="1">
        <v>771.63</v>
      </c>
      <c r="I495" s="1">
        <v>0</v>
      </c>
      <c r="J495" s="1685">
        <v>771.63</v>
      </c>
      <c r="K495" s="1">
        <f t="shared" si="24"/>
        <v>771.63</v>
      </c>
      <c r="L495" s="1">
        <f t="shared" si="25"/>
        <v>0</v>
      </c>
      <c r="M495" s="1">
        <f t="shared" si="26"/>
        <v>0</v>
      </c>
    </row>
    <row r="496" spans="1:13">
      <c r="A496" s="3" t="s">
        <v>3127</v>
      </c>
      <c r="B496" s="3" t="s">
        <v>3128</v>
      </c>
      <c r="C496" s="1">
        <v>0</v>
      </c>
      <c r="D496" s="1">
        <v>0</v>
      </c>
      <c r="E496" s="1">
        <v>0</v>
      </c>
      <c r="F496" s="1">
        <v>137088.429999999</v>
      </c>
      <c r="G496" s="1">
        <v>0</v>
      </c>
      <c r="H496" s="1">
        <v>137088.429999999</v>
      </c>
      <c r="I496" s="1">
        <v>0</v>
      </c>
      <c r="J496" s="1685">
        <v>137088.429999999</v>
      </c>
      <c r="K496" s="1">
        <f t="shared" si="24"/>
        <v>137088.429999999</v>
      </c>
      <c r="L496" s="1">
        <f t="shared" si="25"/>
        <v>0</v>
      </c>
      <c r="M496" s="1">
        <f t="shared" si="26"/>
        <v>0</v>
      </c>
    </row>
    <row r="497" spans="1:13">
      <c r="A497" s="3" t="s">
        <v>847</v>
      </c>
      <c r="B497" s="3" t="s">
        <v>848</v>
      </c>
      <c r="C497" s="1">
        <v>0</v>
      </c>
      <c r="D497" s="1">
        <v>0</v>
      </c>
      <c r="E497" s="1">
        <v>0</v>
      </c>
      <c r="F497" s="1">
        <v>46.24</v>
      </c>
      <c r="G497" s="1">
        <v>0.66</v>
      </c>
      <c r="H497" s="1">
        <v>45.579999999999899</v>
      </c>
      <c r="I497" s="1">
        <v>0</v>
      </c>
      <c r="J497" s="1685">
        <v>45.579999999999899</v>
      </c>
      <c r="K497" s="1">
        <f t="shared" si="24"/>
        <v>45.579999999999899</v>
      </c>
      <c r="L497" s="1">
        <f t="shared" si="25"/>
        <v>0</v>
      </c>
      <c r="M497" s="1">
        <f t="shared" si="26"/>
        <v>0</v>
      </c>
    </row>
    <row r="498" spans="1:13">
      <c r="A498" s="3" t="s">
        <v>849</v>
      </c>
      <c r="B498" s="3" t="s">
        <v>848</v>
      </c>
      <c r="C498" s="1">
        <v>0</v>
      </c>
      <c r="D498" s="1">
        <v>0</v>
      </c>
      <c r="E498" s="1">
        <v>0</v>
      </c>
      <c r="F498" s="1">
        <v>155.979999999999</v>
      </c>
      <c r="G498" s="1">
        <v>155.52000000000001</v>
      </c>
      <c r="H498" s="1">
        <v>0.46</v>
      </c>
      <c r="I498" s="1">
        <v>0</v>
      </c>
      <c r="J498" s="1685">
        <v>0.46</v>
      </c>
      <c r="K498" s="1">
        <f t="shared" si="24"/>
        <v>0.46</v>
      </c>
      <c r="L498" s="1">
        <f t="shared" si="25"/>
        <v>0</v>
      </c>
      <c r="M498" s="1">
        <f t="shared" si="26"/>
        <v>0</v>
      </c>
    </row>
    <row r="499" spans="1:13">
      <c r="A499" s="3" t="s">
        <v>850</v>
      </c>
      <c r="B499" s="3" t="s">
        <v>851</v>
      </c>
      <c r="C499" s="1">
        <v>0</v>
      </c>
      <c r="D499" s="1">
        <v>0</v>
      </c>
      <c r="E499" s="1">
        <v>0</v>
      </c>
      <c r="F499" s="1">
        <v>244.18</v>
      </c>
      <c r="G499" s="1">
        <v>527.65999999999894</v>
      </c>
      <c r="H499" s="1">
        <v>0</v>
      </c>
      <c r="I499" s="1">
        <v>-283.48</v>
      </c>
      <c r="J499" s="1685">
        <v>-283.48</v>
      </c>
      <c r="K499" s="1">
        <f t="shared" si="24"/>
        <v>-283.48</v>
      </c>
      <c r="L499" s="1">
        <f t="shared" si="25"/>
        <v>0</v>
      </c>
      <c r="M499" s="1">
        <f t="shared" si="26"/>
        <v>0</v>
      </c>
    </row>
    <row r="500" spans="1:13">
      <c r="A500" s="3" t="s">
        <v>852</v>
      </c>
      <c r="B500" s="3" t="s">
        <v>851</v>
      </c>
      <c r="C500" s="1">
        <v>0</v>
      </c>
      <c r="D500" s="1">
        <v>0</v>
      </c>
      <c r="E500" s="1">
        <v>0</v>
      </c>
      <c r="F500" s="1">
        <v>7834</v>
      </c>
      <c r="G500" s="1">
        <v>0</v>
      </c>
      <c r="H500" s="1">
        <v>7834</v>
      </c>
      <c r="I500" s="1">
        <v>0</v>
      </c>
      <c r="J500" s="1685">
        <v>7834</v>
      </c>
      <c r="K500" s="1">
        <f t="shared" si="24"/>
        <v>7834</v>
      </c>
      <c r="L500" s="1">
        <f t="shared" si="25"/>
        <v>0</v>
      </c>
      <c r="M500" s="1">
        <f t="shared" si="26"/>
        <v>0</v>
      </c>
    </row>
    <row r="501" spans="1:13">
      <c r="A501" s="3" t="s">
        <v>853</v>
      </c>
      <c r="B501" s="3" t="s">
        <v>854</v>
      </c>
      <c r="C501" s="1">
        <v>-34874500</v>
      </c>
      <c r="D501" s="1">
        <v>0</v>
      </c>
      <c r="E501" s="1">
        <v>-34874500</v>
      </c>
      <c r="F501" s="1">
        <v>0</v>
      </c>
      <c r="G501" s="1">
        <v>0</v>
      </c>
      <c r="H501" s="1">
        <v>0</v>
      </c>
      <c r="I501" s="1">
        <v>-34874500</v>
      </c>
      <c r="J501" s="1685">
        <v>-34874500</v>
      </c>
      <c r="K501" s="1">
        <f t="shared" si="24"/>
        <v>0</v>
      </c>
      <c r="L501" s="1">
        <f t="shared" si="25"/>
        <v>0</v>
      </c>
      <c r="M501" s="1">
        <f t="shared" si="26"/>
        <v>-34874500</v>
      </c>
    </row>
    <row r="502" spans="1:13">
      <c r="A502" s="3" t="s">
        <v>855</v>
      </c>
      <c r="B502" s="3" t="s">
        <v>856</v>
      </c>
      <c r="C502" s="1">
        <v>0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685">
        <v>0</v>
      </c>
      <c r="K502" s="1">
        <f t="shared" si="24"/>
        <v>0</v>
      </c>
      <c r="L502" s="1">
        <f t="shared" si="25"/>
        <v>0</v>
      </c>
      <c r="M502" s="1">
        <f t="shared" si="26"/>
        <v>0</v>
      </c>
    </row>
    <row r="503" spans="1:13">
      <c r="A503" s="3" t="s">
        <v>857</v>
      </c>
      <c r="B503" s="3" t="s">
        <v>858</v>
      </c>
      <c r="C503" s="1">
        <v>-239142.06</v>
      </c>
      <c r="D503" s="1">
        <v>0</v>
      </c>
      <c r="E503" s="1">
        <v>-239142.06</v>
      </c>
      <c r="F503" s="1">
        <v>239142.06</v>
      </c>
      <c r="G503" s="1">
        <v>0</v>
      </c>
      <c r="H503" s="1">
        <v>0</v>
      </c>
      <c r="I503" s="1">
        <v>0</v>
      </c>
      <c r="J503" s="1685">
        <v>0</v>
      </c>
      <c r="K503" s="1">
        <f t="shared" si="24"/>
        <v>239142.06</v>
      </c>
      <c r="L503" s="1">
        <f t="shared" si="25"/>
        <v>0</v>
      </c>
      <c r="M503" s="1">
        <f t="shared" si="26"/>
        <v>-239142.06</v>
      </c>
    </row>
    <row r="504" spans="1:13">
      <c r="A504" s="3" t="s">
        <v>859</v>
      </c>
      <c r="B504" s="3" t="s">
        <v>860</v>
      </c>
      <c r="C504" s="1">
        <v>22391565.859999899</v>
      </c>
      <c r="D504" s="1">
        <v>0</v>
      </c>
      <c r="E504" s="1">
        <v>22391565.859999899</v>
      </c>
      <c r="F504" s="1">
        <v>0</v>
      </c>
      <c r="G504" s="1">
        <v>239142.06</v>
      </c>
      <c r="H504" s="1">
        <v>22152423.800000001</v>
      </c>
      <c r="I504" s="1">
        <v>0</v>
      </c>
      <c r="J504" s="1685">
        <v>22152423.800000001</v>
      </c>
      <c r="K504" s="1">
        <f t="shared" si="24"/>
        <v>-239142.05999989808</v>
      </c>
      <c r="L504" s="1">
        <f t="shared" si="25"/>
        <v>22391565.859999899</v>
      </c>
      <c r="M504" s="1">
        <f t="shared" si="26"/>
        <v>0</v>
      </c>
    </row>
    <row r="505" spans="1:13">
      <c r="A505" s="3" t="s">
        <v>861</v>
      </c>
      <c r="B505" s="3" t="s">
        <v>862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685">
        <v>0</v>
      </c>
      <c r="K505" s="1">
        <f t="shared" si="24"/>
        <v>0</v>
      </c>
      <c r="L505" s="1">
        <f t="shared" si="25"/>
        <v>0</v>
      </c>
      <c r="M505" s="1">
        <f t="shared" si="26"/>
        <v>0</v>
      </c>
    </row>
    <row r="506" spans="1:13">
      <c r="A506" s="3" t="s">
        <v>863</v>
      </c>
      <c r="B506" s="3" t="s">
        <v>864</v>
      </c>
      <c r="C506" s="1">
        <v>2379160.1499999901</v>
      </c>
      <c r="D506" s="1">
        <v>0</v>
      </c>
      <c r="E506" s="1">
        <v>2379160.1499999901</v>
      </c>
      <c r="F506" s="1">
        <v>0</v>
      </c>
      <c r="G506" s="1">
        <v>0</v>
      </c>
      <c r="H506" s="1">
        <v>2379160.1499999901</v>
      </c>
      <c r="I506" s="1">
        <v>0</v>
      </c>
      <c r="J506" s="1685">
        <v>2379160.1499999901</v>
      </c>
      <c r="K506" s="1">
        <f t="shared" si="24"/>
        <v>0</v>
      </c>
      <c r="L506" s="1">
        <f t="shared" si="25"/>
        <v>2379160.1499999901</v>
      </c>
      <c r="M506" s="1">
        <f t="shared" si="26"/>
        <v>0</v>
      </c>
    </row>
    <row r="507" spans="1:13">
      <c r="A507" s="3" t="s">
        <v>865</v>
      </c>
      <c r="B507" s="3" t="s">
        <v>866</v>
      </c>
      <c r="C507" s="1">
        <v>-371296.65999999898</v>
      </c>
      <c r="D507" s="1">
        <v>0</v>
      </c>
      <c r="E507" s="1">
        <v>-371296.65999999898</v>
      </c>
      <c r="F507" s="1">
        <v>0</v>
      </c>
      <c r="G507" s="1">
        <v>0</v>
      </c>
      <c r="H507" s="1">
        <v>0</v>
      </c>
      <c r="I507" s="1">
        <v>-371296.65999999898</v>
      </c>
      <c r="J507" s="1685">
        <v>-371296.65999999898</v>
      </c>
      <c r="K507" s="1">
        <f t="shared" si="24"/>
        <v>0</v>
      </c>
      <c r="L507" s="1">
        <f t="shared" si="25"/>
        <v>0</v>
      </c>
      <c r="M507" s="1">
        <f t="shared" si="26"/>
        <v>-371296.65999999898</v>
      </c>
    </row>
    <row r="508" spans="1:13">
      <c r="A508" s="3" t="s">
        <v>867</v>
      </c>
      <c r="B508" s="3" t="s">
        <v>864</v>
      </c>
      <c r="C508" s="1">
        <v>-424967.239999999</v>
      </c>
      <c r="D508" s="1">
        <v>0</v>
      </c>
      <c r="E508" s="1">
        <v>-424967.239999999</v>
      </c>
      <c r="F508" s="1">
        <v>0</v>
      </c>
      <c r="G508" s="1">
        <v>0</v>
      </c>
      <c r="H508" s="1">
        <v>0</v>
      </c>
      <c r="I508" s="1">
        <v>-424967.239999999</v>
      </c>
      <c r="J508" s="1685">
        <v>-424967.239999999</v>
      </c>
      <c r="K508" s="1">
        <f t="shared" si="24"/>
        <v>0</v>
      </c>
      <c r="L508" s="1">
        <f t="shared" si="25"/>
        <v>0</v>
      </c>
      <c r="M508" s="1">
        <f t="shared" si="26"/>
        <v>-424967.239999999</v>
      </c>
    </row>
    <row r="509" spans="1:13">
      <c r="A509" s="3" t="s">
        <v>868</v>
      </c>
      <c r="B509" s="3" t="s">
        <v>869</v>
      </c>
      <c r="C509" s="1">
        <v>-1404017.09</v>
      </c>
      <c r="D509" s="1">
        <v>0</v>
      </c>
      <c r="E509" s="1">
        <v>-1404017.09</v>
      </c>
      <c r="F509" s="1">
        <v>38738.120000000003</v>
      </c>
      <c r="G509" s="1">
        <v>0</v>
      </c>
      <c r="H509" s="1">
        <v>0</v>
      </c>
      <c r="I509" s="1">
        <v>-1365278.97</v>
      </c>
      <c r="J509" s="1685">
        <v>-1365278.97</v>
      </c>
      <c r="K509" s="1">
        <f t="shared" si="24"/>
        <v>38738.120000000112</v>
      </c>
      <c r="L509" s="1">
        <f t="shared" si="25"/>
        <v>0</v>
      </c>
      <c r="M509" s="1">
        <f t="shared" si="26"/>
        <v>-1404017.09</v>
      </c>
    </row>
    <row r="510" spans="1:13">
      <c r="A510" s="3" t="s">
        <v>870</v>
      </c>
      <c r="B510" s="3" t="s">
        <v>871</v>
      </c>
      <c r="C510" s="1">
        <v>-712.42999999999904</v>
      </c>
      <c r="D510" s="1">
        <v>0</v>
      </c>
      <c r="E510" s="1">
        <v>-712.42999999999904</v>
      </c>
      <c r="F510" s="1">
        <v>5137.96</v>
      </c>
      <c r="G510" s="1">
        <v>9971.3099999999904</v>
      </c>
      <c r="H510" s="1">
        <v>0</v>
      </c>
      <c r="I510" s="1">
        <v>-5545.7799999999897</v>
      </c>
      <c r="J510" s="1685">
        <v>-5545.7799999999897</v>
      </c>
      <c r="K510" s="1">
        <f t="shared" si="24"/>
        <v>-4833.3499999999904</v>
      </c>
      <c r="L510" s="1">
        <f t="shared" si="25"/>
        <v>0</v>
      </c>
      <c r="M510" s="1">
        <f t="shared" si="26"/>
        <v>-712.42999999999904</v>
      </c>
    </row>
    <row r="511" spans="1:13">
      <c r="A511" s="3" t="s">
        <v>872</v>
      </c>
      <c r="B511" s="3" t="s">
        <v>873</v>
      </c>
      <c r="C511" s="1">
        <v>-286853.83</v>
      </c>
      <c r="D511" s="1">
        <v>0</v>
      </c>
      <c r="E511" s="1">
        <v>-286853.83</v>
      </c>
      <c r="F511" s="1">
        <v>302398.27</v>
      </c>
      <c r="G511" s="1">
        <v>315434.049999999</v>
      </c>
      <c r="H511" s="1">
        <v>0</v>
      </c>
      <c r="I511" s="1">
        <v>-299889.609999999</v>
      </c>
      <c r="J511" s="1685">
        <v>-299889.609999999</v>
      </c>
      <c r="K511" s="1">
        <f t="shared" si="24"/>
        <v>-13035.77999999898</v>
      </c>
      <c r="L511" s="1">
        <f t="shared" si="25"/>
        <v>0</v>
      </c>
      <c r="M511" s="1">
        <f t="shared" si="26"/>
        <v>-286853.83</v>
      </c>
    </row>
    <row r="512" spans="1:13">
      <c r="A512" s="3" t="s">
        <v>874</v>
      </c>
      <c r="B512" s="3" t="s">
        <v>875</v>
      </c>
      <c r="C512" s="1">
        <v>-1243152.1899999899</v>
      </c>
      <c r="D512" s="1">
        <v>0</v>
      </c>
      <c r="E512" s="1">
        <v>-1243152.1899999899</v>
      </c>
      <c r="F512" s="1">
        <v>56520.839999999902</v>
      </c>
      <c r="G512" s="1">
        <v>0</v>
      </c>
      <c r="H512" s="1">
        <v>0</v>
      </c>
      <c r="I512" s="1">
        <v>-1186631.3500000001</v>
      </c>
      <c r="J512" s="1685">
        <v>-1186631.3500000001</v>
      </c>
      <c r="K512" s="1">
        <f t="shared" si="24"/>
        <v>56520.839999989839</v>
      </c>
      <c r="L512" s="1">
        <f t="shared" si="25"/>
        <v>0</v>
      </c>
      <c r="M512" s="1">
        <f t="shared" si="26"/>
        <v>-1243152.1899999899</v>
      </c>
    </row>
    <row r="513" spans="1:13">
      <c r="A513" s="3" t="s">
        <v>876</v>
      </c>
      <c r="B513" s="3" t="s">
        <v>877</v>
      </c>
      <c r="C513" s="1">
        <v>-2357723.5899999901</v>
      </c>
      <c r="D513" s="1">
        <v>0</v>
      </c>
      <c r="E513" s="1">
        <v>-2357723.5899999901</v>
      </c>
      <c r="F513" s="1">
        <v>243648.459999999</v>
      </c>
      <c r="G513" s="1">
        <v>296139.53999999899</v>
      </c>
      <c r="H513" s="1">
        <v>0</v>
      </c>
      <c r="I513" s="1">
        <v>-2410214.6699999901</v>
      </c>
      <c r="J513" s="1685">
        <v>-2410214.6699999901</v>
      </c>
      <c r="K513" s="1">
        <f t="shared" si="24"/>
        <v>-52491.080000000075</v>
      </c>
      <c r="L513" s="1">
        <f t="shared" si="25"/>
        <v>0</v>
      </c>
      <c r="M513" s="1">
        <f t="shared" si="26"/>
        <v>-2357723.5899999901</v>
      </c>
    </row>
    <row r="514" spans="1:13">
      <c r="A514" s="3" t="s">
        <v>878</v>
      </c>
      <c r="B514" s="3" t="s">
        <v>879</v>
      </c>
      <c r="C514" s="1">
        <v>-563193</v>
      </c>
      <c r="D514" s="1">
        <v>0</v>
      </c>
      <c r="E514" s="1">
        <v>-563193</v>
      </c>
      <c r="F514" s="1">
        <v>526939</v>
      </c>
      <c r="G514" s="1">
        <v>412069</v>
      </c>
      <c r="H514" s="1">
        <v>0</v>
      </c>
      <c r="I514" s="1">
        <v>-448323</v>
      </c>
      <c r="J514" s="1685">
        <v>-448323</v>
      </c>
      <c r="K514" s="1">
        <f t="shared" si="24"/>
        <v>114870</v>
      </c>
      <c r="L514" s="1">
        <f t="shared" si="25"/>
        <v>0</v>
      </c>
      <c r="M514" s="1">
        <f t="shared" si="26"/>
        <v>-563193</v>
      </c>
    </row>
    <row r="515" spans="1:13">
      <c r="A515" s="3" t="s">
        <v>880</v>
      </c>
      <c r="B515" s="3" t="s">
        <v>881</v>
      </c>
      <c r="C515" s="1">
        <v>-1294362</v>
      </c>
      <c r="D515" s="1">
        <v>0</v>
      </c>
      <c r="E515" s="1">
        <v>-1294362</v>
      </c>
      <c r="F515" s="1">
        <v>1087443</v>
      </c>
      <c r="G515" s="1">
        <v>1295822</v>
      </c>
      <c r="H515" s="1">
        <v>0</v>
      </c>
      <c r="I515" s="1">
        <v>-1502741</v>
      </c>
      <c r="J515" s="1685">
        <v>-1502741</v>
      </c>
      <c r="K515" s="1">
        <f t="shared" si="24"/>
        <v>-208379</v>
      </c>
      <c r="L515" s="1">
        <f t="shared" si="25"/>
        <v>0</v>
      </c>
      <c r="M515" s="1">
        <f t="shared" si="26"/>
        <v>-1294362</v>
      </c>
    </row>
    <row r="516" spans="1:13">
      <c r="A516" s="3" t="s">
        <v>882</v>
      </c>
      <c r="B516" s="3" t="s">
        <v>883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685">
        <v>0</v>
      </c>
      <c r="K516" s="1">
        <f t="shared" si="24"/>
        <v>0</v>
      </c>
      <c r="L516" s="1">
        <f t="shared" si="25"/>
        <v>0</v>
      </c>
      <c r="M516" s="1">
        <f t="shared" si="26"/>
        <v>0</v>
      </c>
    </row>
    <row r="517" spans="1:13">
      <c r="A517" s="3" t="s">
        <v>884</v>
      </c>
      <c r="B517" s="3" t="s">
        <v>885</v>
      </c>
      <c r="C517" s="1">
        <v>-2538576</v>
      </c>
      <c r="D517" s="1">
        <v>0</v>
      </c>
      <c r="E517" s="1">
        <v>-2538576</v>
      </c>
      <c r="F517" s="1">
        <v>153843</v>
      </c>
      <c r="G517" s="1">
        <v>0</v>
      </c>
      <c r="H517" s="1">
        <v>0</v>
      </c>
      <c r="I517" s="1">
        <v>-2384733</v>
      </c>
      <c r="J517" s="1685">
        <v>-2384733</v>
      </c>
      <c r="K517" s="1">
        <f t="shared" si="24"/>
        <v>153843</v>
      </c>
      <c r="L517" s="1">
        <f t="shared" si="25"/>
        <v>0</v>
      </c>
      <c r="M517" s="1">
        <f t="shared" si="26"/>
        <v>-2538576</v>
      </c>
    </row>
    <row r="518" spans="1:13">
      <c r="A518" s="3" t="s">
        <v>886</v>
      </c>
      <c r="B518" s="3" t="s">
        <v>887</v>
      </c>
      <c r="C518" s="1">
        <v>-9896337</v>
      </c>
      <c r="D518" s="1">
        <v>0</v>
      </c>
      <c r="E518" s="1">
        <v>-9896337</v>
      </c>
      <c r="F518" s="1">
        <v>462134</v>
      </c>
      <c r="G518" s="1">
        <v>0</v>
      </c>
      <c r="H518" s="1">
        <v>0</v>
      </c>
      <c r="I518" s="1">
        <v>-9434203</v>
      </c>
      <c r="J518" s="1685">
        <v>-9434203</v>
      </c>
      <c r="K518" s="1">
        <f t="shared" si="24"/>
        <v>462134</v>
      </c>
      <c r="L518" s="1">
        <f t="shared" si="25"/>
        <v>0</v>
      </c>
      <c r="M518" s="1">
        <f t="shared" si="26"/>
        <v>-9896337</v>
      </c>
    </row>
    <row r="519" spans="1:13">
      <c r="A519" s="3" t="s">
        <v>888</v>
      </c>
      <c r="B519" s="3" t="s">
        <v>889</v>
      </c>
      <c r="C519" s="1">
        <v>-20411.45</v>
      </c>
      <c r="D519" s="1">
        <v>0</v>
      </c>
      <c r="E519" s="1">
        <v>-20411.45</v>
      </c>
      <c r="F519" s="1">
        <v>20411.45</v>
      </c>
      <c r="G519" s="1">
        <v>0</v>
      </c>
      <c r="H519" s="1">
        <v>0</v>
      </c>
      <c r="I519" s="1">
        <v>0</v>
      </c>
      <c r="J519" s="1685">
        <v>0</v>
      </c>
      <c r="K519" s="1">
        <f t="shared" si="24"/>
        <v>20411.45</v>
      </c>
      <c r="L519" s="1">
        <f t="shared" si="25"/>
        <v>0</v>
      </c>
      <c r="M519" s="1">
        <f t="shared" si="26"/>
        <v>-20411.45</v>
      </c>
    </row>
    <row r="520" spans="1:13">
      <c r="A520" s="3" t="s">
        <v>891</v>
      </c>
      <c r="B520" s="3" t="s">
        <v>892</v>
      </c>
      <c r="C520" s="1">
        <v>-342323.12</v>
      </c>
      <c r="D520" s="1">
        <v>0</v>
      </c>
      <c r="E520" s="1">
        <v>-342323.12</v>
      </c>
      <c r="F520" s="1">
        <v>354382.14</v>
      </c>
      <c r="G520" s="1">
        <v>309535.2</v>
      </c>
      <c r="H520" s="1">
        <v>0</v>
      </c>
      <c r="I520" s="1">
        <v>-297476.179999999</v>
      </c>
      <c r="J520" s="1685">
        <v>-297476.179999999</v>
      </c>
      <c r="K520" s="1">
        <f t="shared" si="24"/>
        <v>44846.940000000992</v>
      </c>
      <c r="L520" s="1">
        <f t="shared" si="25"/>
        <v>0</v>
      </c>
      <c r="M520" s="1">
        <f t="shared" si="26"/>
        <v>-342323.12</v>
      </c>
    </row>
    <row r="521" spans="1:13">
      <c r="A521" s="3" t="s">
        <v>3781</v>
      </c>
      <c r="B521" s="3" t="s">
        <v>3782</v>
      </c>
      <c r="C521" s="1">
        <v>-618267</v>
      </c>
      <c r="D521" s="1">
        <v>0</v>
      </c>
      <c r="E521" s="1">
        <v>-618267</v>
      </c>
      <c r="F521" s="1">
        <v>0</v>
      </c>
      <c r="G521" s="1">
        <v>0</v>
      </c>
      <c r="H521" s="1">
        <v>0</v>
      </c>
      <c r="I521" s="1">
        <v>-618267</v>
      </c>
      <c r="J521" s="1685">
        <v>-618267</v>
      </c>
      <c r="K521" s="1">
        <f t="shared" si="24"/>
        <v>0</v>
      </c>
      <c r="L521" s="1">
        <f t="shared" si="25"/>
        <v>0</v>
      </c>
      <c r="M521" s="1">
        <f t="shared" si="26"/>
        <v>-618267</v>
      </c>
    </row>
    <row r="522" spans="1:13">
      <c r="A522" s="3" t="s">
        <v>2479</v>
      </c>
      <c r="B522" s="3" t="s">
        <v>2480</v>
      </c>
      <c r="C522" s="1">
        <v>-2384191.29999999</v>
      </c>
      <c r="D522" s="1">
        <v>0</v>
      </c>
      <c r="E522" s="1">
        <v>-2384191.29999999</v>
      </c>
      <c r="F522" s="1">
        <v>0</v>
      </c>
      <c r="G522" s="1">
        <v>0</v>
      </c>
      <c r="H522" s="1">
        <v>0</v>
      </c>
      <c r="I522" s="1">
        <v>-2384191.29999999</v>
      </c>
      <c r="J522" s="1685">
        <v>-2384191.29999999</v>
      </c>
      <c r="K522" s="1">
        <f t="shared" si="24"/>
        <v>0</v>
      </c>
      <c r="L522" s="1">
        <f t="shared" si="25"/>
        <v>0</v>
      </c>
      <c r="M522" s="1">
        <f t="shared" si="26"/>
        <v>-2384191.29999999</v>
      </c>
    </row>
    <row r="523" spans="1:13">
      <c r="A523" s="3" t="s">
        <v>893</v>
      </c>
      <c r="B523" s="3" t="s">
        <v>894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685">
        <v>0</v>
      </c>
      <c r="K523" s="1">
        <f t="shared" si="24"/>
        <v>0</v>
      </c>
      <c r="L523" s="1">
        <f t="shared" si="25"/>
        <v>0</v>
      </c>
      <c r="M523" s="1">
        <f t="shared" si="26"/>
        <v>0</v>
      </c>
    </row>
    <row r="524" spans="1:13">
      <c r="A524" s="3" t="s">
        <v>895</v>
      </c>
      <c r="B524" s="3" t="s">
        <v>896</v>
      </c>
      <c r="C524" s="1">
        <v>-106435.2</v>
      </c>
      <c r="D524" s="1">
        <v>0</v>
      </c>
      <c r="E524" s="1">
        <v>-106435.2</v>
      </c>
      <c r="F524" s="1">
        <v>2287743.25</v>
      </c>
      <c r="G524" s="1">
        <v>2181308.04999999</v>
      </c>
      <c r="H524" s="1">
        <v>0</v>
      </c>
      <c r="I524" s="1">
        <v>0</v>
      </c>
      <c r="J524" s="1685">
        <v>0</v>
      </c>
      <c r="K524" s="1">
        <f t="shared" si="24"/>
        <v>106435.2</v>
      </c>
      <c r="L524" s="1">
        <f t="shared" si="25"/>
        <v>0</v>
      </c>
      <c r="M524" s="1">
        <f t="shared" si="26"/>
        <v>-106435.2</v>
      </c>
    </row>
    <row r="525" spans="1:13">
      <c r="A525" s="3" t="s">
        <v>3956</v>
      </c>
      <c r="B525" s="3" t="s">
        <v>3957</v>
      </c>
      <c r="C525" s="1">
        <v>0</v>
      </c>
      <c r="D525" s="1">
        <v>0</v>
      </c>
      <c r="E525" s="1">
        <v>0</v>
      </c>
      <c r="F525" s="1">
        <v>7808</v>
      </c>
      <c r="G525" s="1">
        <v>7808</v>
      </c>
      <c r="H525" s="1">
        <v>0</v>
      </c>
      <c r="I525" s="1">
        <v>0</v>
      </c>
      <c r="J525" s="1685">
        <v>0</v>
      </c>
      <c r="K525" s="1">
        <f t="shared" si="24"/>
        <v>0</v>
      </c>
      <c r="L525" s="1">
        <f t="shared" si="25"/>
        <v>0</v>
      </c>
      <c r="M525" s="1">
        <f t="shared" si="26"/>
        <v>0</v>
      </c>
    </row>
    <row r="526" spans="1:13">
      <c r="A526" s="3" t="s">
        <v>897</v>
      </c>
      <c r="B526" s="3" t="s">
        <v>898</v>
      </c>
      <c r="C526" s="1">
        <v>-1495672.6399999899</v>
      </c>
      <c r="D526" s="1">
        <v>0</v>
      </c>
      <c r="E526" s="1">
        <v>-1495672.6399999899</v>
      </c>
      <c r="F526" s="1">
        <v>0</v>
      </c>
      <c r="G526" s="1">
        <v>0</v>
      </c>
      <c r="H526" s="1">
        <v>0</v>
      </c>
      <c r="I526" s="1">
        <v>-1495672.6399999899</v>
      </c>
      <c r="J526" s="1685">
        <v>-1495672.6399999899</v>
      </c>
      <c r="K526" s="1">
        <f t="shared" si="24"/>
        <v>0</v>
      </c>
      <c r="L526" s="1">
        <f t="shared" si="25"/>
        <v>0</v>
      </c>
      <c r="M526" s="1">
        <f t="shared" si="26"/>
        <v>-1495672.6399999899</v>
      </c>
    </row>
    <row r="527" spans="1:13">
      <c r="A527" s="3" t="s">
        <v>899</v>
      </c>
      <c r="B527" s="3" t="s">
        <v>900</v>
      </c>
      <c r="C527" s="1">
        <v>0</v>
      </c>
      <c r="D527" s="1">
        <v>0</v>
      </c>
      <c r="E527" s="1">
        <v>0</v>
      </c>
      <c r="F527" s="1">
        <v>26023.6699999999</v>
      </c>
      <c r="G527" s="1">
        <v>3340755.91</v>
      </c>
      <c r="H527" s="1">
        <v>0</v>
      </c>
      <c r="I527" s="1">
        <v>-3314732.24</v>
      </c>
      <c r="J527" s="1685">
        <v>-3314732.24</v>
      </c>
      <c r="K527" s="1">
        <f t="shared" si="24"/>
        <v>-3314732.24</v>
      </c>
      <c r="L527" s="1">
        <f t="shared" si="25"/>
        <v>0</v>
      </c>
      <c r="M527" s="1">
        <f t="shared" si="26"/>
        <v>0</v>
      </c>
    </row>
    <row r="528" spans="1:13">
      <c r="A528" s="3" t="s">
        <v>901</v>
      </c>
      <c r="B528" s="3" t="s">
        <v>3917</v>
      </c>
      <c r="C528" s="1">
        <v>0</v>
      </c>
      <c r="D528" s="1">
        <v>0</v>
      </c>
      <c r="E528" s="1">
        <v>0</v>
      </c>
      <c r="F528" s="1">
        <v>0</v>
      </c>
      <c r="G528" s="1">
        <v>34537.15</v>
      </c>
      <c r="H528" s="1">
        <v>0</v>
      </c>
      <c r="I528" s="1">
        <v>-34537.15</v>
      </c>
      <c r="J528" s="1685">
        <v>-34537.15</v>
      </c>
      <c r="K528" s="1">
        <f t="shared" si="24"/>
        <v>-34537.15</v>
      </c>
      <c r="L528" s="1">
        <f t="shared" si="25"/>
        <v>0</v>
      </c>
      <c r="M528" s="1">
        <f t="shared" si="26"/>
        <v>0</v>
      </c>
    </row>
    <row r="529" spans="1:13">
      <c r="A529" s="3" t="s">
        <v>1400</v>
      </c>
      <c r="B529" s="3" t="s">
        <v>4065</v>
      </c>
      <c r="C529" s="1">
        <v>0</v>
      </c>
      <c r="D529" s="1">
        <v>0</v>
      </c>
      <c r="E529" s="1">
        <v>0</v>
      </c>
      <c r="F529" s="1">
        <v>0</v>
      </c>
      <c r="G529" s="1">
        <v>2688.4</v>
      </c>
      <c r="H529" s="1">
        <v>0</v>
      </c>
      <c r="I529" s="1">
        <v>-2688.4</v>
      </c>
      <c r="J529" s="1685">
        <v>-2688.4</v>
      </c>
      <c r="K529" s="1">
        <f t="shared" si="24"/>
        <v>-2688.4</v>
      </c>
      <c r="L529" s="1">
        <f t="shared" si="25"/>
        <v>0</v>
      </c>
      <c r="M529" s="1">
        <f t="shared" si="26"/>
        <v>0</v>
      </c>
    </row>
    <row r="530" spans="1:13">
      <c r="A530" s="3" t="s">
        <v>902</v>
      </c>
      <c r="B530" s="3" t="s">
        <v>903</v>
      </c>
      <c r="C530" s="1">
        <v>0</v>
      </c>
      <c r="D530" s="1">
        <v>0</v>
      </c>
      <c r="E530" s="1">
        <v>0</v>
      </c>
      <c r="F530" s="1">
        <v>0</v>
      </c>
      <c r="G530" s="1">
        <v>9610.3199999999906</v>
      </c>
      <c r="H530" s="1">
        <v>0</v>
      </c>
      <c r="I530" s="1">
        <v>-9610.3199999999906</v>
      </c>
      <c r="J530" s="1685">
        <v>-9610.3199999999906</v>
      </c>
      <c r="K530" s="1">
        <f t="shared" si="24"/>
        <v>-9610.3199999999906</v>
      </c>
      <c r="L530" s="1">
        <f t="shared" si="25"/>
        <v>0</v>
      </c>
      <c r="M530" s="1">
        <f t="shared" si="26"/>
        <v>0</v>
      </c>
    </row>
    <row r="531" spans="1:13">
      <c r="A531" s="3" t="s">
        <v>904</v>
      </c>
      <c r="B531" s="3" t="s">
        <v>3091</v>
      </c>
      <c r="C531" s="1">
        <v>0</v>
      </c>
      <c r="D531" s="1">
        <v>0</v>
      </c>
      <c r="E531" s="1">
        <v>0</v>
      </c>
      <c r="F531" s="1">
        <v>63724.44</v>
      </c>
      <c r="G531" s="1">
        <v>0</v>
      </c>
      <c r="H531" s="1">
        <v>63724.44</v>
      </c>
      <c r="I531" s="1">
        <v>0</v>
      </c>
      <c r="J531" s="1685">
        <v>63724.44</v>
      </c>
      <c r="K531" s="1">
        <f t="shared" si="24"/>
        <v>63724.44</v>
      </c>
      <c r="L531" s="1">
        <f t="shared" si="25"/>
        <v>0</v>
      </c>
      <c r="M531" s="1">
        <f t="shared" si="26"/>
        <v>0</v>
      </c>
    </row>
    <row r="532" spans="1:13">
      <c r="A532" s="3" t="s">
        <v>905</v>
      </c>
      <c r="B532" s="3" t="s">
        <v>3918</v>
      </c>
      <c r="C532" s="1">
        <v>0</v>
      </c>
      <c r="D532" s="1">
        <v>0</v>
      </c>
      <c r="E532" s="1">
        <v>0</v>
      </c>
      <c r="F532" s="1">
        <v>63288.489999999903</v>
      </c>
      <c r="G532" s="1">
        <v>0</v>
      </c>
      <c r="H532" s="1">
        <v>63288.489999999903</v>
      </c>
      <c r="I532" s="1">
        <v>0</v>
      </c>
      <c r="J532" s="1685">
        <v>63288.489999999903</v>
      </c>
      <c r="K532" s="1">
        <f t="shared" si="24"/>
        <v>63288.489999999903</v>
      </c>
      <c r="L532" s="1">
        <f t="shared" si="25"/>
        <v>0</v>
      </c>
      <c r="M532" s="1">
        <f t="shared" si="26"/>
        <v>0</v>
      </c>
    </row>
    <row r="533" spans="1:13">
      <c r="A533" s="3" t="s">
        <v>906</v>
      </c>
      <c r="B533" s="3" t="s">
        <v>3919</v>
      </c>
      <c r="C533" s="1">
        <v>0</v>
      </c>
      <c r="D533" s="1">
        <v>0</v>
      </c>
      <c r="E533" s="1">
        <v>0</v>
      </c>
      <c r="F533" s="1">
        <v>39920.33</v>
      </c>
      <c r="G533" s="1">
        <v>0</v>
      </c>
      <c r="H533" s="1">
        <v>39920.33</v>
      </c>
      <c r="I533" s="1">
        <v>0</v>
      </c>
      <c r="J533" s="1685">
        <v>39920.33</v>
      </c>
      <c r="K533" s="1">
        <f t="shared" si="24"/>
        <v>39920.33</v>
      </c>
      <c r="L533" s="1">
        <f t="shared" si="25"/>
        <v>0</v>
      </c>
      <c r="M533" s="1">
        <f t="shared" si="26"/>
        <v>0</v>
      </c>
    </row>
    <row r="534" spans="1:13">
      <c r="A534" s="3" t="s">
        <v>907</v>
      </c>
      <c r="B534" s="3" t="s">
        <v>908</v>
      </c>
      <c r="C534" s="1">
        <v>0</v>
      </c>
      <c r="D534" s="1">
        <v>0</v>
      </c>
      <c r="E534" s="1">
        <v>0</v>
      </c>
      <c r="F534" s="1">
        <v>1288500</v>
      </c>
      <c r="G534" s="1">
        <v>0</v>
      </c>
      <c r="H534" s="1">
        <v>1288500</v>
      </c>
      <c r="I534" s="1">
        <v>0</v>
      </c>
      <c r="J534" s="1685">
        <v>1288500</v>
      </c>
      <c r="K534" s="1">
        <f t="shared" si="24"/>
        <v>1288500</v>
      </c>
      <c r="L534" s="1">
        <f t="shared" si="25"/>
        <v>0</v>
      </c>
      <c r="M534" s="1">
        <f t="shared" si="26"/>
        <v>0</v>
      </c>
    </row>
    <row r="535" spans="1:13">
      <c r="A535" s="3" t="s">
        <v>1401</v>
      </c>
      <c r="B535" s="3" t="s">
        <v>4055</v>
      </c>
      <c r="C535" s="1">
        <v>0</v>
      </c>
      <c r="D535" s="1">
        <v>0</v>
      </c>
      <c r="E535" s="1">
        <v>0</v>
      </c>
      <c r="F535" s="1">
        <v>25168</v>
      </c>
      <c r="G535" s="1">
        <v>12696.26</v>
      </c>
      <c r="H535" s="1">
        <v>12471.74</v>
      </c>
      <c r="I535" s="1">
        <v>0</v>
      </c>
      <c r="J535" s="1685">
        <v>12471.74</v>
      </c>
      <c r="K535" s="1">
        <f t="shared" si="24"/>
        <v>12471.74</v>
      </c>
      <c r="L535" s="1">
        <f t="shared" si="25"/>
        <v>0</v>
      </c>
      <c r="M535" s="1">
        <f t="shared" si="26"/>
        <v>0</v>
      </c>
    </row>
    <row r="536" spans="1:13">
      <c r="A536" s="3" t="s">
        <v>909</v>
      </c>
      <c r="B536" s="3" t="s">
        <v>910</v>
      </c>
      <c r="C536" s="1">
        <v>0</v>
      </c>
      <c r="D536" s="1">
        <v>0</v>
      </c>
      <c r="E536" s="1">
        <v>0</v>
      </c>
      <c r="F536" s="1">
        <v>20100</v>
      </c>
      <c r="G536" s="1">
        <v>0</v>
      </c>
      <c r="H536" s="1">
        <v>20100</v>
      </c>
      <c r="I536" s="1">
        <v>0</v>
      </c>
      <c r="J536" s="1685">
        <v>20100</v>
      </c>
      <c r="K536" s="1">
        <f t="shared" si="24"/>
        <v>20100</v>
      </c>
      <c r="L536" s="1">
        <f t="shared" si="25"/>
        <v>0</v>
      </c>
      <c r="M536" s="1">
        <f t="shared" si="26"/>
        <v>0</v>
      </c>
    </row>
    <row r="537" spans="1:13">
      <c r="A537" s="3" t="s">
        <v>911</v>
      </c>
      <c r="B537" s="3" t="s">
        <v>3920</v>
      </c>
      <c r="C537" s="1">
        <v>0</v>
      </c>
      <c r="D537" s="1">
        <v>0</v>
      </c>
      <c r="E537" s="1">
        <v>0</v>
      </c>
      <c r="F537" s="1">
        <v>34832.800000000003</v>
      </c>
      <c r="G537" s="1">
        <v>3400</v>
      </c>
      <c r="H537" s="1">
        <v>31432.799999999901</v>
      </c>
      <c r="I537" s="1">
        <v>0</v>
      </c>
      <c r="J537" s="1685">
        <v>31432.799999999901</v>
      </c>
      <c r="K537" s="1">
        <f t="shared" si="24"/>
        <v>31432.799999999901</v>
      </c>
      <c r="L537" s="1">
        <f t="shared" si="25"/>
        <v>0</v>
      </c>
      <c r="M537" s="1">
        <f t="shared" si="26"/>
        <v>0</v>
      </c>
    </row>
    <row r="538" spans="1:13">
      <c r="A538" s="3" t="s">
        <v>912</v>
      </c>
      <c r="B538" s="3" t="s">
        <v>3355</v>
      </c>
      <c r="C538" s="1">
        <v>0</v>
      </c>
      <c r="D538" s="1">
        <v>0</v>
      </c>
      <c r="E538" s="1">
        <v>0</v>
      </c>
      <c r="F538" s="1">
        <v>4500</v>
      </c>
      <c r="G538" s="1">
        <v>0</v>
      </c>
      <c r="H538" s="1">
        <v>4500</v>
      </c>
      <c r="I538" s="1">
        <v>0</v>
      </c>
      <c r="J538" s="1685">
        <v>4500</v>
      </c>
      <c r="K538" s="1">
        <f t="shared" si="24"/>
        <v>4500</v>
      </c>
      <c r="L538" s="1">
        <f t="shared" si="25"/>
        <v>0</v>
      </c>
      <c r="M538" s="1">
        <f t="shared" si="26"/>
        <v>0</v>
      </c>
    </row>
    <row r="539" spans="1:13">
      <c r="A539" s="3" t="s">
        <v>913</v>
      </c>
      <c r="B539" s="3" t="s">
        <v>4049</v>
      </c>
      <c r="C539" s="1">
        <v>0</v>
      </c>
      <c r="D539" s="1">
        <v>0</v>
      </c>
      <c r="E539" s="1">
        <v>0</v>
      </c>
      <c r="F539" s="1">
        <v>855465</v>
      </c>
      <c r="G539" s="1">
        <v>322030</v>
      </c>
      <c r="H539" s="1">
        <v>533435</v>
      </c>
      <c r="I539" s="1">
        <v>0</v>
      </c>
      <c r="J539" s="1685">
        <v>533435</v>
      </c>
      <c r="K539" s="1">
        <f t="shared" si="24"/>
        <v>533435</v>
      </c>
      <c r="L539" s="1">
        <f t="shared" si="25"/>
        <v>0</v>
      </c>
      <c r="M539" s="1">
        <f t="shared" si="26"/>
        <v>0</v>
      </c>
    </row>
    <row r="540" spans="1:13">
      <c r="A540" s="3" t="s">
        <v>2857</v>
      </c>
      <c r="B540" s="3" t="s">
        <v>3930</v>
      </c>
      <c r="C540" s="1">
        <v>0</v>
      </c>
      <c r="D540" s="1">
        <v>0</v>
      </c>
      <c r="E540" s="1">
        <v>0</v>
      </c>
      <c r="F540" s="1">
        <v>0</v>
      </c>
      <c r="G540" s="1">
        <v>47774</v>
      </c>
      <c r="H540" s="1">
        <v>0</v>
      </c>
      <c r="I540" s="1">
        <v>-47774</v>
      </c>
      <c r="J540" s="1685">
        <v>-47774</v>
      </c>
      <c r="K540" s="1">
        <f t="shared" si="24"/>
        <v>-47774</v>
      </c>
      <c r="L540" s="1">
        <f t="shared" si="25"/>
        <v>0</v>
      </c>
      <c r="M540" s="1">
        <f t="shared" si="26"/>
        <v>0</v>
      </c>
    </row>
    <row r="541" spans="1:13">
      <c r="A541" s="3" t="s">
        <v>914</v>
      </c>
      <c r="B541" s="3" t="s">
        <v>3903</v>
      </c>
      <c r="C541" s="1">
        <v>0</v>
      </c>
      <c r="D541" s="1">
        <v>0</v>
      </c>
      <c r="E541" s="1">
        <v>0</v>
      </c>
      <c r="F541" s="1">
        <v>1871741.07</v>
      </c>
      <c r="G541" s="1">
        <v>424042.31</v>
      </c>
      <c r="H541" s="1">
        <v>1447698.76</v>
      </c>
      <c r="I541" s="1">
        <v>0</v>
      </c>
      <c r="J541" s="1685">
        <v>1447698.76</v>
      </c>
      <c r="K541" s="1">
        <f t="shared" si="24"/>
        <v>1447698.76</v>
      </c>
      <c r="L541" s="1">
        <f t="shared" si="25"/>
        <v>0</v>
      </c>
      <c r="M541" s="1">
        <f t="shared" si="26"/>
        <v>0</v>
      </c>
    </row>
    <row r="542" spans="1:13">
      <c r="A542" s="3" t="s">
        <v>915</v>
      </c>
      <c r="B542" s="3" t="s">
        <v>3904</v>
      </c>
      <c r="C542" s="1">
        <v>0</v>
      </c>
      <c r="D542" s="1">
        <v>0</v>
      </c>
      <c r="E542" s="1">
        <v>0</v>
      </c>
      <c r="F542" s="1">
        <v>574799.35999999905</v>
      </c>
      <c r="G542" s="1">
        <v>599698.10999999905</v>
      </c>
      <c r="H542" s="1">
        <v>0</v>
      </c>
      <c r="I542" s="1">
        <v>-24898.75</v>
      </c>
      <c r="J542" s="1685">
        <v>-24898.75</v>
      </c>
      <c r="K542" s="1">
        <f t="shared" si="24"/>
        <v>-24898.75</v>
      </c>
      <c r="L542" s="1">
        <f t="shared" si="25"/>
        <v>0</v>
      </c>
      <c r="M542" s="1">
        <f t="shared" si="26"/>
        <v>0</v>
      </c>
    </row>
    <row r="543" spans="1:13">
      <c r="A543" s="3" t="s">
        <v>1808</v>
      </c>
      <c r="B543" s="3" t="s">
        <v>1809</v>
      </c>
      <c r="C543" s="1">
        <v>81584046.849999905</v>
      </c>
      <c r="D543" s="1">
        <v>0</v>
      </c>
      <c r="E543" s="1">
        <v>81584046.849999905</v>
      </c>
      <c r="F543" s="1">
        <v>1033376.42</v>
      </c>
      <c r="G543" s="1">
        <v>505251.21999999898</v>
      </c>
      <c r="H543" s="1">
        <v>82112172.049999893</v>
      </c>
      <c r="I543" s="1">
        <v>0</v>
      </c>
      <c r="J543" s="1685">
        <v>82112172.049999893</v>
      </c>
      <c r="K543" s="1">
        <f t="shared" si="24"/>
        <v>528125.19999998808</v>
      </c>
      <c r="L543" s="1">
        <f t="shared" si="25"/>
        <v>81584046.849999905</v>
      </c>
      <c r="M543" s="1">
        <f t="shared" si="26"/>
        <v>0</v>
      </c>
    </row>
    <row r="544" spans="1:13">
      <c r="A544" s="3" t="s">
        <v>1810</v>
      </c>
      <c r="B544" s="3" t="s">
        <v>1811</v>
      </c>
      <c r="C544" s="1">
        <v>81587543.849999905</v>
      </c>
      <c r="D544" s="1">
        <v>0</v>
      </c>
      <c r="E544" s="1">
        <v>81587543.849999905</v>
      </c>
      <c r="F544" s="1">
        <v>1033376.42</v>
      </c>
      <c r="G544" s="1">
        <v>505251.21999999898</v>
      </c>
      <c r="H544" s="1">
        <v>82115669.049999893</v>
      </c>
      <c r="I544" s="1">
        <v>0</v>
      </c>
      <c r="J544" s="1685">
        <v>82115669.049999893</v>
      </c>
      <c r="K544" s="1">
        <f t="shared" si="24"/>
        <v>528125.19999998808</v>
      </c>
      <c r="L544" s="1">
        <f t="shared" si="25"/>
        <v>81587543.849999905</v>
      </c>
      <c r="M544" s="1">
        <f t="shared" si="26"/>
        <v>0</v>
      </c>
    </row>
    <row r="545" spans="1:13">
      <c r="A545" s="3" t="s">
        <v>1812</v>
      </c>
      <c r="B545" s="3" t="s">
        <v>1813</v>
      </c>
      <c r="C545" s="1">
        <v>78575194.049999893</v>
      </c>
      <c r="D545" s="1">
        <v>0</v>
      </c>
      <c r="E545" s="1">
        <v>78575194.049999893</v>
      </c>
      <c r="F545" s="1">
        <v>1033376.42</v>
      </c>
      <c r="G545" s="1">
        <v>505251.21999999898</v>
      </c>
      <c r="H545" s="1">
        <v>79103319.25</v>
      </c>
      <c r="I545" s="1">
        <v>0</v>
      </c>
      <c r="J545" s="1685">
        <v>79103319.25</v>
      </c>
      <c r="K545" s="1">
        <f t="shared" si="24"/>
        <v>528125.20000010729</v>
      </c>
      <c r="L545" s="1">
        <f t="shared" si="25"/>
        <v>78575194.049999893</v>
      </c>
      <c r="M545" s="1">
        <f t="shared" si="26"/>
        <v>0</v>
      </c>
    </row>
    <row r="546" spans="1:13">
      <c r="A546" s="3" t="s">
        <v>1814</v>
      </c>
      <c r="B546" s="3" t="s">
        <v>1815</v>
      </c>
      <c r="C546" s="1">
        <v>8880951.2899999898</v>
      </c>
      <c r="D546" s="1">
        <v>0</v>
      </c>
      <c r="E546" s="1">
        <v>8880951.2899999898</v>
      </c>
      <c r="F546" s="1">
        <v>8223.3700000000008</v>
      </c>
      <c r="G546" s="1">
        <v>0</v>
      </c>
      <c r="H546" s="1">
        <v>8889174.6600000001</v>
      </c>
      <c r="I546" s="1">
        <v>0</v>
      </c>
      <c r="J546" s="1685">
        <v>8889174.6600000001</v>
      </c>
      <c r="K546" s="1">
        <f t="shared" si="24"/>
        <v>8223.3700000103563</v>
      </c>
      <c r="L546" s="1">
        <f t="shared" si="25"/>
        <v>8880951.2899999898</v>
      </c>
      <c r="M546" s="1">
        <f t="shared" si="26"/>
        <v>0</v>
      </c>
    </row>
    <row r="547" spans="1:13">
      <c r="A547" s="3" t="s">
        <v>1816</v>
      </c>
      <c r="B547" s="3" t="s">
        <v>1817</v>
      </c>
      <c r="C547" s="1">
        <v>25164873.02</v>
      </c>
      <c r="D547" s="1">
        <v>0</v>
      </c>
      <c r="E547" s="1">
        <v>25164873.02</v>
      </c>
      <c r="F547" s="1">
        <v>8400</v>
      </c>
      <c r="G547" s="1">
        <v>8400</v>
      </c>
      <c r="H547" s="1">
        <v>25164873.02</v>
      </c>
      <c r="I547" s="1">
        <v>0</v>
      </c>
      <c r="J547" s="1685">
        <v>25164873.02</v>
      </c>
      <c r="K547" s="1">
        <f t="shared" si="24"/>
        <v>0</v>
      </c>
      <c r="L547" s="1">
        <f t="shared" si="25"/>
        <v>25164873.02</v>
      </c>
      <c r="M547" s="1">
        <f t="shared" si="26"/>
        <v>0</v>
      </c>
    </row>
    <row r="548" spans="1:13">
      <c r="A548" s="3" t="s">
        <v>1818</v>
      </c>
      <c r="B548" s="3" t="s">
        <v>1819</v>
      </c>
      <c r="C548" s="1">
        <v>4069882.52999999</v>
      </c>
      <c r="D548" s="1">
        <v>0</v>
      </c>
      <c r="E548" s="1">
        <v>4069882.52999999</v>
      </c>
      <c r="F548" s="1">
        <v>0</v>
      </c>
      <c r="G548" s="1">
        <v>0</v>
      </c>
      <c r="H548" s="1">
        <v>4069882.52999999</v>
      </c>
      <c r="I548" s="1">
        <v>0</v>
      </c>
      <c r="J548" s="1685">
        <v>4069882.52999999</v>
      </c>
      <c r="K548" s="1">
        <f t="shared" si="24"/>
        <v>0</v>
      </c>
      <c r="L548" s="1">
        <f t="shared" si="25"/>
        <v>4069882.52999999</v>
      </c>
      <c r="M548" s="1">
        <f t="shared" si="26"/>
        <v>0</v>
      </c>
    </row>
    <row r="549" spans="1:13">
      <c r="A549" s="3" t="s">
        <v>1820</v>
      </c>
      <c r="B549" s="3" t="s">
        <v>1821</v>
      </c>
      <c r="C549" s="1">
        <v>102219</v>
      </c>
      <c r="D549" s="1">
        <v>0</v>
      </c>
      <c r="E549" s="1">
        <v>102219</v>
      </c>
      <c r="F549" s="1">
        <v>0</v>
      </c>
      <c r="G549" s="1">
        <v>0</v>
      </c>
      <c r="H549" s="1">
        <v>102219</v>
      </c>
      <c r="I549" s="1">
        <v>0</v>
      </c>
      <c r="J549" s="1685">
        <v>102219</v>
      </c>
      <c r="K549" s="1">
        <f t="shared" si="24"/>
        <v>0</v>
      </c>
      <c r="L549" s="1">
        <f t="shared" si="25"/>
        <v>102219</v>
      </c>
      <c r="M549" s="1">
        <f t="shared" si="26"/>
        <v>0</v>
      </c>
    </row>
    <row r="550" spans="1:13">
      <c r="A550" s="3" t="s">
        <v>1822</v>
      </c>
      <c r="B550" s="3" t="s">
        <v>1823</v>
      </c>
      <c r="C550" s="1">
        <v>18608697.800000001</v>
      </c>
      <c r="D550" s="1">
        <v>0</v>
      </c>
      <c r="E550" s="1">
        <v>18608697.800000001</v>
      </c>
      <c r="F550" s="1">
        <v>435764.09</v>
      </c>
      <c r="G550" s="1">
        <v>119203.22</v>
      </c>
      <c r="H550" s="1">
        <v>18925258.670000002</v>
      </c>
      <c r="I550" s="1">
        <v>0</v>
      </c>
      <c r="J550" s="1685">
        <v>18925258.670000002</v>
      </c>
      <c r="K550" s="1">
        <f t="shared" si="24"/>
        <v>316560.87000000104</v>
      </c>
      <c r="L550" s="1">
        <f t="shared" si="25"/>
        <v>18608697.800000001</v>
      </c>
      <c r="M550" s="1">
        <f t="shared" si="26"/>
        <v>0</v>
      </c>
    </row>
    <row r="551" spans="1:13">
      <c r="A551" s="3" t="s">
        <v>1824</v>
      </c>
      <c r="B551" s="3" t="s">
        <v>1825</v>
      </c>
      <c r="C551" s="1">
        <v>1784522.33</v>
      </c>
      <c r="D551" s="1">
        <v>0</v>
      </c>
      <c r="E551" s="1">
        <v>1784522.33</v>
      </c>
      <c r="F551" s="1">
        <v>0</v>
      </c>
      <c r="G551" s="1">
        <v>23910</v>
      </c>
      <c r="H551" s="1">
        <v>1760612.33</v>
      </c>
      <c r="I551" s="1">
        <v>0</v>
      </c>
      <c r="J551" s="1685">
        <v>1760612.33</v>
      </c>
      <c r="K551" s="1">
        <f t="shared" ref="K551:K614" si="27">J551-C551</f>
        <v>-23910</v>
      </c>
      <c r="L551" s="1">
        <f t="shared" ref="L551:L614" si="28">IF(C551&gt;0,C551,0)</f>
        <v>1784522.33</v>
      </c>
      <c r="M551" s="1">
        <f t="shared" ref="M551:M614" si="29">IF(C551&lt;0,C551,0)</f>
        <v>0</v>
      </c>
    </row>
    <row r="552" spans="1:13">
      <c r="A552" s="3" t="s">
        <v>1826</v>
      </c>
      <c r="B552" s="3" t="s">
        <v>1827</v>
      </c>
      <c r="C552" s="1">
        <v>7287944.2699999902</v>
      </c>
      <c r="D552" s="1">
        <v>0</v>
      </c>
      <c r="E552" s="1">
        <v>7287944.2699999902</v>
      </c>
      <c r="F552" s="1">
        <v>405289.549999999</v>
      </c>
      <c r="G552" s="1">
        <v>82709.139999999898</v>
      </c>
      <c r="H552" s="1">
        <v>7610524.6799999904</v>
      </c>
      <c r="I552" s="1">
        <v>0</v>
      </c>
      <c r="J552" s="1685">
        <v>7610524.6799999904</v>
      </c>
      <c r="K552" s="1">
        <f t="shared" si="27"/>
        <v>322580.41000000015</v>
      </c>
      <c r="L552" s="1">
        <f t="shared" si="28"/>
        <v>7287944.2699999902</v>
      </c>
      <c r="M552" s="1">
        <f t="shared" si="29"/>
        <v>0</v>
      </c>
    </row>
    <row r="553" spans="1:13">
      <c r="A553" s="3" t="s">
        <v>1828</v>
      </c>
      <c r="B553" s="3" t="s">
        <v>1829</v>
      </c>
      <c r="C553" s="1">
        <v>7102637.1699999897</v>
      </c>
      <c r="D553" s="1">
        <v>0</v>
      </c>
      <c r="E553" s="1">
        <v>7102637.1699999897</v>
      </c>
      <c r="F553" s="1">
        <v>113378.8</v>
      </c>
      <c r="G553" s="1">
        <v>189407</v>
      </c>
      <c r="H553" s="1">
        <v>7026608.9699999904</v>
      </c>
      <c r="I553" s="1">
        <v>0</v>
      </c>
      <c r="J553" s="1685">
        <v>7026608.9699999904</v>
      </c>
      <c r="K553" s="1">
        <f t="shared" si="27"/>
        <v>-76028.199999999255</v>
      </c>
      <c r="L553" s="1">
        <f t="shared" si="28"/>
        <v>7102637.1699999897</v>
      </c>
      <c r="M553" s="1">
        <f t="shared" si="29"/>
        <v>0</v>
      </c>
    </row>
    <row r="554" spans="1:13">
      <c r="A554" s="3" t="s">
        <v>1830</v>
      </c>
      <c r="B554" s="3" t="s">
        <v>1831</v>
      </c>
      <c r="C554" s="1">
        <v>14631853.1199999</v>
      </c>
      <c r="D554" s="1">
        <v>0</v>
      </c>
      <c r="E554" s="1">
        <v>14631853.1199999</v>
      </c>
      <c r="F554" s="1">
        <v>70543.979999999894</v>
      </c>
      <c r="G554" s="1">
        <v>81621.86</v>
      </c>
      <c r="H554" s="1">
        <v>14620775.24</v>
      </c>
      <c r="I554" s="1">
        <v>0</v>
      </c>
      <c r="J554" s="1685">
        <v>14620775.24</v>
      </c>
      <c r="K554" s="1">
        <f t="shared" si="27"/>
        <v>-11077.879999900237</v>
      </c>
      <c r="L554" s="1">
        <f t="shared" si="28"/>
        <v>14631853.1199999</v>
      </c>
      <c r="M554" s="1">
        <f t="shared" si="29"/>
        <v>0</v>
      </c>
    </row>
    <row r="555" spans="1:13">
      <c r="A555" s="3" t="s">
        <v>2351</v>
      </c>
      <c r="B555" s="3" t="s">
        <v>2352</v>
      </c>
      <c r="C555" s="1">
        <v>0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685">
        <v>0</v>
      </c>
      <c r="K555" s="1">
        <f t="shared" si="27"/>
        <v>0</v>
      </c>
      <c r="L555" s="1">
        <f t="shared" si="28"/>
        <v>0</v>
      </c>
      <c r="M555" s="1">
        <f t="shared" si="29"/>
        <v>0</v>
      </c>
    </row>
    <row r="556" spans="1:13">
      <c r="A556" s="3" t="s">
        <v>1832</v>
      </c>
      <c r="B556" s="3" t="s">
        <v>1833</v>
      </c>
      <c r="C556" s="1">
        <v>-53561307.25</v>
      </c>
      <c r="D556" s="1">
        <v>0</v>
      </c>
      <c r="E556" s="1">
        <v>-53561307.25</v>
      </c>
      <c r="F556" s="1">
        <v>0</v>
      </c>
      <c r="G556" s="1">
        <v>0</v>
      </c>
      <c r="H556" s="1">
        <v>0</v>
      </c>
      <c r="I556" s="1">
        <v>-53561307.25</v>
      </c>
      <c r="J556" s="1685">
        <v>-53561307.25</v>
      </c>
      <c r="K556" s="1">
        <f t="shared" si="27"/>
        <v>0</v>
      </c>
      <c r="L556" s="1">
        <f t="shared" si="28"/>
        <v>0</v>
      </c>
      <c r="M556" s="1">
        <f t="shared" si="29"/>
        <v>-53561307.25</v>
      </c>
    </row>
    <row r="557" spans="1:13">
      <c r="A557" s="3" t="s">
        <v>1834</v>
      </c>
      <c r="B557" s="3" t="s">
        <v>1835</v>
      </c>
      <c r="C557" s="1">
        <v>-12275313.1</v>
      </c>
      <c r="D557" s="1">
        <v>0</v>
      </c>
      <c r="E557" s="1">
        <v>-12275313.1</v>
      </c>
      <c r="F557" s="1">
        <v>0</v>
      </c>
      <c r="G557" s="1">
        <v>495210.929999999</v>
      </c>
      <c r="H557" s="1">
        <v>0</v>
      </c>
      <c r="I557" s="1">
        <v>-12770524.029999901</v>
      </c>
      <c r="J557" s="1685">
        <v>-12770524.029999901</v>
      </c>
      <c r="K557" s="1">
        <f t="shared" si="27"/>
        <v>-495210.92999990098</v>
      </c>
      <c r="L557" s="1">
        <f t="shared" si="28"/>
        <v>0</v>
      </c>
      <c r="M557" s="1">
        <f t="shared" si="29"/>
        <v>-12275313.1</v>
      </c>
    </row>
    <row r="558" spans="1:13">
      <c r="A558" s="3" t="s">
        <v>1836</v>
      </c>
      <c r="B558" s="3" t="s">
        <v>1837</v>
      </c>
      <c r="C558" s="1">
        <v>-2091313.47</v>
      </c>
      <c r="D558" s="1">
        <v>0</v>
      </c>
      <c r="E558" s="1">
        <v>-2091313.47</v>
      </c>
      <c r="F558" s="1">
        <v>0</v>
      </c>
      <c r="G558" s="1">
        <v>76933.029999999897</v>
      </c>
      <c r="H558" s="1">
        <v>0</v>
      </c>
      <c r="I558" s="1">
        <v>-2168246.5</v>
      </c>
      <c r="J558" s="1685">
        <v>-2168246.5</v>
      </c>
      <c r="K558" s="1">
        <f t="shared" si="27"/>
        <v>-76933.030000000028</v>
      </c>
      <c r="L558" s="1">
        <f t="shared" si="28"/>
        <v>0</v>
      </c>
      <c r="M558" s="1">
        <f t="shared" si="29"/>
        <v>-2091313.47</v>
      </c>
    </row>
    <row r="559" spans="1:13">
      <c r="A559" s="3" t="s">
        <v>1838</v>
      </c>
      <c r="B559" s="3" t="s">
        <v>1839</v>
      </c>
      <c r="C559" s="1">
        <v>-83760.800000000003</v>
      </c>
      <c r="D559" s="1">
        <v>0</v>
      </c>
      <c r="E559" s="1">
        <v>-83760.800000000003</v>
      </c>
      <c r="F559" s="1">
        <v>0</v>
      </c>
      <c r="G559" s="1">
        <v>1910.03</v>
      </c>
      <c r="H559" s="1">
        <v>0</v>
      </c>
      <c r="I559" s="1">
        <v>-85670.83</v>
      </c>
      <c r="J559" s="1685">
        <v>-85670.83</v>
      </c>
      <c r="K559" s="1">
        <f t="shared" si="27"/>
        <v>-1910.0299999999988</v>
      </c>
      <c r="L559" s="1">
        <f t="shared" si="28"/>
        <v>0</v>
      </c>
      <c r="M559" s="1">
        <f t="shared" si="29"/>
        <v>-83760.800000000003</v>
      </c>
    </row>
    <row r="560" spans="1:13">
      <c r="A560" s="3" t="s">
        <v>1840</v>
      </c>
      <c r="B560" s="3" t="s">
        <v>1841</v>
      </c>
      <c r="C560" s="1">
        <v>-15346271.49</v>
      </c>
      <c r="D560" s="1">
        <v>0</v>
      </c>
      <c r="E560" s="1">
        <v>-15346271.49</v>
      </c>
      <c r="F560" s="1">
        <v>118072.149999999</v>
      </c>
      <c r="G560" s="1">
        <v>469668.57</v>
      </c>
      <c r="H560" s="1">
        <v>0</v>
      </c>
      <c r="I560" s="1">
        <v>-15697867.91</v>
      </c>
      <c r="J560" s="1685">
        <v>-15697867.91</v>
      </c>
      <c r="K560" s="1">
        <f t="shared" si="27"/>
        <v>-351596.41999999993</v>
      </c>
      <c r="L560" s="1">
        <f t="shared" si="28"/>
        <v>0</v>
      </c>
      <c r="M560" s="1">
        <f t="shared" si="29"/>
        <v>-15346271.49</v>
      </c>
    </row>
    <row r="561" spans="1:13">
      <c r="A561" s="3" t="s">
        <v>1842</v>
      </c>
      <c r="B561" s="3" t="s">
        <v>1843</v>
      </c>
      <c r="C561" s="1">
        <v>-1393205.9399999899</v>
      </c>
      <c r="D561" s="1">
        <v>0</v>
      </c>
      <c r="E561" s="1">
        <v>-1393205.9399999899</v>
      </c>
      <c r="F561" s="1">
        <v>23910</v>
      </c>
      <c r="G561" s="1">
        <v>49517.419999999896</v>
      </c>
      <c r="H561" s="1">
        <v>0</v>
      </c>
      <c r="I561" s="1">
        <v>-1418813.36</v>
      </c>
      <c r="J561" s="1685">
        <v>-1418813.36</v>
      </c>
      <c r="K561" s="1">
        <f t="shared" si="27"/>
        <v>-25607.42000001017</v>
      </c>
      <c r="L561" s="1">
        <f t="shared" si="28"/>
        <v>0</v>
      </c>
      <c r="M561" s="1">
        <f t="shared" si="29"/>
        <v>-1393205.9399999899</v>
      </c>
    </row>
    <row r="562" spans="1:13">
      <c r="A562" t="s">
        <v>1844</v>
      </c>
      <c r="B562" t="s">
        <v>1845</v>
      </c>
      <c r="C562">
        <v>-5704638.9699999904</v>
      </c>
      <c r="D562">
        <v>0</v>
      </c>
      <c r="E562">
        <v>-5704638.9699999904</v>
      </c>
      <c r="F562">
        <v>81840.800000000003</v>
      </c>
      <c r="G562">
        <v>230369.01</v>
      </c>
      <c r="H562">
        <v>0</v>
      </c>
      <c r="I562">
        <v>-5853167.1799999904</v>
      </c>
      <c r="J562" s="1686">
        <v>-5853167.1799999904</v>
      </c>
      <c r="K562" s="1">
        <f t="shared" si="27"/>
        <v>-148528.20999999996</v>
      </c>
      <c r="L562" s="1">
        <f t="shared" si="28"/>
        <v>0</v>
      </c>
      <c r="M562" s="1">
        <f t="shared" si="29"/>
        <v>-5704638.9699999904</v>
      </c>
    </row>
    <row r="563" spans="1:13">
      <c r="A563" t="s">
        <v>1846</v>
      </c>
      <c r="B563" t="s">
        <v>1847</v>
      </c>
      <c r="C563">
        <v>-4370206.3799999896</v>
      </c>
      <c r="D563">
        <v>0</v>
      </c>
      <c r="E563">
        <v>-4370206.3799999896</v>
      </c>
      <c r="F563">
        <v>189407</v>
      </c>
      <c r="G563">
        <v>368647.57</v>
      </c>
      <c r="H563">
        <v>0</v>
      </c>
      <c r="I563">
        <v>-4549446.95</v>
      </c>
      <c r="J563" s="1686">
        <v>-4549446.95</v>
      </c>
      <c r="K563" s="1">
        <f t="shared" si="27"/>
        <v>-179240.57000001054</v>
      </c>
      <c r="L563" s="1">
        <f t="shared" si="28"/>
        <v>0</v>
      </c>
      <c r="M563" s="1">
        <f t="shared" si="29"/>
        <v>-4370206.3799999896</v>
      </c>
    </row>
    <row r="564" spans="1:13">
      <c r="A564" t="s">
        <v>1848</v>
      </c>
      <c r="B564" t="s">
        <v>1849</v>
      </c>
      <c r="C564">
        <v>-13466998.01</v>
      </c>
      <c r="D564">
        <v>0</v>
      </c>
      <c r="E564">
        <v>-13466998.01</v>
      </c>
      <c r="F564">
        <v>77172.320000000007</v>
      </c>
      <c r="G564">
        <v>214641.739999999</v>
      </c>
      <c r="H564">
        <v>0</v>
      </c>
      <c r="I564">
        <v>-13604467.43</v>
      </c>
      <c r="J564" s="1686">
        <v>-13604467.43</v>
      </c>
      <c r="K564" s="1">
        <f t="shared" si="27"/>
        <v>-137469.41999999993</v>
      </c>
      <c r="L564" s="1">
        <f t="shared" si="28"/>
        <v>0</v>
      </c>
      <c r="M564" s="1">
        <f t="shared" si="29"/>
        <v>-13466998.01</v>
      </c>
    </row>
    <row r="565" spans="1:13">
      <c r="A565" t="s">
        <v>1850</v>
      </c>
      <c r="B565" t="s">
        <v>1851</v>
      </c>
      <c r="C565">
        <v>-57244120.020000003</v>
      </c>
      <c r="D565">
        <v>0</v>
      </c>
      <c r="E565">
        <v>-57244120.020000003</v>
      </c>
      <c r="F565">
        <v>490402.27</v>
      </c>
      <c r="G565">
        <v>1934577.21</v>
      </c>
      <c r="H565">
        <v>0</v>
      </c>
      <c r="I565">
        <v>-58688294.960000001</v>
      </c>
      <c r="J565" s="1686">
        <v>-58688294.960000001</v>
      </c>
      <c r="K565" s="1">
        <f t="shared" si="27"/>
        <v>-1444174.9399999976</v>
      </c>
      <c r="L565" s="1">
        <f t="shared" si="28"/>
        <v>0</v>
      </c>
      <c r="M565" s="1">
        <f t="shared" si="29"/>
        <v>-57244120.020000003</v>
      </c>
    </row>
    <row r="566" spans="1:13">
      <c r="A566" t="s">
        <v>1852</v>
      </c>
      <c r="B566" t="s">
        <v>1853</v>
      </c>
      <c r="C566">
        <v>-57240696.759999901</v>
      </c>
      <c r="D566">
        <v>0</v>
      </c>
      <c r="E566">
        <v>-57240696.759999901</v>
      </c>
      <c r="F566">
        <v>490402.27</v>
      </c>
      <c r="G566">
        <v>1932523.8799999901</v>
      </c>
      <c r="H566">
        <v>0</v>
      </c>
      <c r="I566">
        <v>-58682818.3699999</v>
      </c>
      <c r="J566" s="1686">
        <v>-58682818.3699999</v>
      </c>
      <c r="K566" s="1">
        <f t="shared" si="27"/>
        <v>-1442121.6099999994</v>
      </c>
      <c r="L566" s="1">
        <f t="shared" si="28"/>
        <v>0</v>
      </c>
      <c r="M566" s="1">
        <f t="shared" si="29"/>
        <v>-57240696.759999901</v>
      </c>
    </row>
    <row r="567" spans="1:13">
      <c r="A567" t="s">
        <v>1854</v>
      </c>
      <c r="B567" t="s">
        <v>1855</v>
      </c>
      <c r="C567">
        <v>-2338045</v>
      </c>
      <c r="D567">
        <v>0</v>
      </c>
      <c r="E567">
        <v>-2338045</v>
      </c>
      <c r="F567">
        <v>0</v>
      </c>
      <c r="G567">
        <v>305701.52</v>
      </c>
      <c r="H567">
        <v>0</v>
      </c>
      <c r="I567">
        <v>-2643746.52</v>
      </c>
      <c r="J567" s="1686">
        <v>-2643746.52</v>
      </c>
      <c r="K567" s="1">
        <f t="shared" si="27"/>
        <v>-305701.52</v>
      </c>
      <c r="L567" s="1">
        <f t="shared" si="28"/>
        <v>0</v>
      </c>
      <c r="M567" s="1">
        <f t="shared" si="29"/>
        <v>-2338045</v>
      </c>
    </row>
    <row r="568" spans="1:13">
      <c r="A568" t="s">
        <v>1856</v>
      </c>
      <c r="B568" t="s">
        <v>1833</v>
      </c>
      <c r="C568">
        <v>-6980408.4000000004</v>
      </c>
      <c r="D568">
        <v>0</v>
      </c>
      <c r="E568">
        <v>-6980408.4000000004</v>
      </c>
      <c r="F568">
        <v>491904.239999999</v>
      </c>
      <c r="G568">
        <v>1637249.8999999899</v>
      </c>
      <c r="H568">
        <v>0</v>
      </c>
      <c r="I568">
        <v>-8125754.0599999903</v>
      </c>
      <c r="J568" s="1686">
        <v>-8125754.0599999903</v>
      </c>
      <c r="K568" s="1">
        <f t="shared" si="27"/>
        <v>-1145345.6599999899</v>
      </c>
      <c r="L568" s="1">
        <f t="shared" si="28"/>
        <v>0</v>
      </c>
      <c r="M568" s="1">
        <f t="shared" si="29"/>
        <v>-6980408.4000000004</v>
      </c>
    </row>
    <row r="569" spans="1:13">
      <c r="A569" t="s">
        <v>1857</v>
      </c>
      <c r="B569" t="s">
        <v>1858</v>
      </c>
      <c r="C569">
        <v>-59884.07</v>
      </c>
      <c r="D569">
        <v>0</v>
      </c>
      <c r="E569">
        <v>-59884.07</v>
      </c>
      <c r="F569">
        <v>0</v>
      </c>
      <c r="G569">
        <v>404.86</v>
      </c>
      <c r="H569">
        <v>0</v>
      </c>
      <c r="I569">
        <v>-60288.93</v>
      </c>
      <c r="J569" s="1686">
        <v>-60288.93</v>
      </c>
      <c r="K569" s="1">
        <f t="shared" si="27"/>
        <v>-404.86000000000058</v>
      </c>
      <c r="L569" s="1">
        <f t="shared" si="28"/>
        <v>0</v>
      </c>
      <c r="M569" s="1">
        <f t="shared" si="29"/>
        <v>-59884.07</v>
      </c>
    </row>
    <row r="570" spans="1:13">
      <c r="A570" t="s">
        <v>1859</v>
      </c>
      <c r="B570" t="s">
        <v>1860</v>
      </c>
      <c r="C570">
        <v>197842.47</v>
      </c>
      <c r="D570">
        <v>0</v>
      </c>
      <c r="E570">
        <v>197842.47</v>
      </c>
      <c r="F570">
        <v>0</v>
      </c>
      <c r="G570">
        <v>42655.099999999897</v>
      </c>
      <c r="H570">
        <v>155187.37</v>
      </c>
      <c r="I570">
        <v>0</v>
      </c>
      <c r="J570" s="1686">
        <v>155187.37</v>
      </c>
      <c r="K570" s="1">
        <f t="shared" si="27"/>
        <v>-42655.100000000006</v>
      </c>
      <c r="L570" s="1">
        <f t="shared" si="28"/>
        <v>197842.47</v>
      </c>
      <c r="M570" s="1">
        <f t="shared" si="29"/>
        <v>0</v>
      </c>
    </row>
    <row r="571" spans="1:13">
      <c r="A571" t="s">
        <v>1861</v>
      </c>
      <c r="B571" t="s">
        <v>1862</v>
      </c>
      <c r="C571">
        <v>-815392.89</v>
      </c>
      <c r="D571">
        <v>0</v>
      </c>
      <c r="E571">
        <v>-815392.89</v>
      </c>
      <c r="F571">
        <v>825.32</v>
      </c>
      <c r="G571">
        <v>0</v>
      </c>
      <c r="H571">
        <v>0</v>
      </c>
      <c r="I571">
        <v>-814567.56999999902</v>
      </c>
      <c r="J571" s="1686">
        <v>-814567.56999999902</v>
      </c>
      <c r="K571" s="1">
        <f t="shared" si="27"/>
        <v>825.32000000099652</v>
      </c>
      <c r="L571" s="1">
        <f t="shared" si="28"/>
        <v>0</v>
      </c>
      <c r="M571" s="1">
        <f t="shared" si="29"/>
        <v>-815392.89</v>
      </c>
    </row>
    <row r="572" spans="1:13">
      <c r="A572" t="s">
        <v>1863</v>
      </c>
      <c r="B572" t="s">
        <v>1864</v>
      </c>
      <c r="C572">
        <v>-27990.93</v>
      </c>
      <c r="D572">
        <v>0</v>
      </c>
      <c r="E572">
        <v>-27990.93</v>
      </c>
      <c r="F572">
        <v>0</v>
      </c>
      <c r="G572">
        <v>0</v>
      </c>
      <c r="H572">
        <v>0</v>
      </c>
      <c r="I572">
        <v>-27990.93</v>
      </c>
      <c r="J572" s="1686">
        <v>-27990.93</v>
      </c>
      <c r="K572" s="1">
        <f t="shared" si="27"/>
        <v>0</v>
      </c>
      <c r="L572" s="1">
        <f t="shared" si="28"/>
        <v>0</v>
      </c>
      <c r="M572" s="1">
        <f t="shared" si="29"/>
        <v>-27990.93</v>
      </c>
    </row>
    <row r="573" spans="1:13">
      <c r="A573" t="s">
        <v>1865</v>
      </c>
      <c r="B573" t="s">
        <v>1866</v>
      </c>
      <c r="C573">
        <v>1835382.48</v>
      </c>
      <c r="D573">
        <v>0</v>
      </c>
      <c r="E573">
        <v>1835382.48</v>
      </c>
      <c r="F573">
        <v>0</v>
      </c>
      <c r="G573">
        <v>0</v>
      </c>
      <c r="H573">
        <v>1835382.48</v>
      </c>
      <c r="I573">
        <v>0</v>
      </c>
      <c r="J573" s="1686">
        <v>1835382.48</v>
      </c>
      <c r="K573" s="1">
        <f t="shared" si="27"/>
        <v>0</v>
      </c>
      <c r="L573" s="1">
        <f t="shared" si="28"/>
        <v>1835382.48</v>
      </c>
      <c r="M573" s="1">
        <f t="shared" si="29"/>
        <v>0</v>
      </c>
    </row>
    <row r="574" spans="1:13">
      <c r="A574" t="s">
        <v>1867</v>
      </c>
      <c r="B574" t="s">
        <v>1868</v>
      </c>
      <c r="C574">
        <v>589446.80000000005</v>
      </c>
      <c r="D574">
        <v>0</v>
      </c>
      <c r="E574">
        <v>589446.80000000005</v>
      </c>
      <c r="F574">
        <v>0</v>
      </c>
      <c r="G574">
        <v>0</v>
      </c>
      <c r="H574">
        <v>589446.80000000005</v>
      </c>
      <c r="I574">
        <v>0</v>
      </c>
      <c r="J574" s="1686">
        <v>589446.80000000005</v>
      </c>
      <c r="K574" s="1">
        <f t="shared" si="27"/>
        <v>0</v>
      </c>
      <c r="L574" s="1">
        <f t="shared" si="28"/>
        <v>589446.80000000005</v>
      </c>
      <c r="M574" s="1">
        <f t="shared" si="29"/>
        <v>0</v>
      </c>
    </row>
    <row r="575" spans="1:13">
      <c r="A575" t="s">
        <v>1869</v>
      </c>
      <c r="B575" t="s">
        <v>1870</v>
      </c>
      <c r="C575">
        <v>1835382.48</v>
      </c>
      <c r="D575">
        <v>0</v>
      </c>
      <c r="E575">
        <v>1835382.48</v>
      </c>
      <c r="F575">
        <v>0</v>
      </c>
      <c r="G575">
        <v>0</v>
      </c>
      <c r="H575">
        <v>1835382.48</v>
      </c>
      <c r="I575">
        <v>0</v>
      </c>
      <c r="J575" s="1686">
        <v>1835382.48</v>
      </c>
      <c r="K575" s="1">
        <f t="shared" si="27"/>
        <v>0</v>
      </c>
      <c r="L575" s="1">
        <f t="shared" si="28"/>
        <v>1835382.48</v>
      </c>
      <c r="M575" s="1">
        <f t="shared" si="29"/>
        <v>0</v>
      </c>
    </row>
    <row r="576" spans="1:13">
      <c r="A576" t="s">
        <v>1871</v>
      </c>
      <c r="B576" t="s">
        <v>1872</v>
      </c>
      <c r="C576">
        <v>589446.80000000005</v>
      </c>
      <c r="D576">
        <v>0</v>
      </c>
      <c r="E576">
        <v>589446.80000000005</v>
      </c>
      <c r="F576">
        <v>0</v>
      </c>
      <c r="G576">
        <v>0</v>
      </c>
      <c r="H576">
        <v>589446.80000000005</v>
      </c>
      <c r="I576">
        <v>0</v>
      </c>
      <c r="J576" s="1686">
        <v>589446.80000000005</v>
      </c>
      <c r="K576" s="1">
        <f t="shared" si="27"/>
        <v>0</v>
      </c>
      <c r="L576" s="1">
        <f t="shared" si="28"/>
        <v>589446.80000000005</v>
      </c>
      <c r="M576" s="1">
        <f t="shared" si="29"/>
        <v>0</v>
      </c>
    </row>
    <row r="577" spans="1:13">
      <c r="A577" t="s">
        <v>1873</v>
      </c>
      <c r="B577" t="s">
        <v>1874</v>
      </c>
      <c r="C577">
        <v>-1730617.75</v>
      </c>
      <c r="D577">
        <v>0</v>
      </c>
      <c r="E577">
        <v>-1730617.75</v>
      </c>
      <c r="F577">
        <v>0</v>
      </c>
      <c r="G577">
        <v>0</v>
      </c>
      <c r="H577">
        <v>0</v>
      </c>
      <c r="I577">
        <v>-1730617.75</v>
      </c>
      <c r="J577" s="1686">
        <v>-1730617.75</v>
      </c>
      <c r="K577" s="1">
        <f t="shared" si="27"/>
        <v>0</v>
      </c>
      <c r="L577" s="1">
        <f t="shared" si="28"/>
        <v>0</v>
      </c>
      <c r="M577" s="1">
        <f t="shared" si="29"/>
        <v>-1730617.75</v>
      </c>
    </row>
    <row r="578" spans="1:13">
      <c r="A578" t="s">
        <v>1875</v>
      </c>
      <c r="B578" t="s">
        <v>1876</v>
      </c>
      <c r="C578">
        <v>-1718671.24</v>
      </c>
      <c r="D578">
        <v>0</v>
      </c>
      <c r="E578">
        <v>-1718671.24</v>
      </c>
      <c r="F578">
        <v>0</v>
      </c>
      <c r="G578">
        <v>16080.92</v>
      </c>
      <c r="H578">
        <v>0</v>
      </c>
      <c r="I578">
        <v>-1734752.1599999899</v>
      </c>
      <c r="J578" s="1686">
        <v>-1734752.1599999899</v>
      </c>
      <c r="K578" s="1">
        <f t="shared" si="27"/>
        <v>-16080.919999989914</v>
      </c>
      <c r="L578" s="1">
        <f t="shared" si="28"/>
        <v>0</v>
      </c>
      <c r="M578" s="1">
        <f t="shared" si="29"/>
        <v>-1718671.24</v>
      </c>
    </row>
    <row r="579" spans="1:13">
      <c r="A579" t="s">
        <v>1877</v>
      </c>
      <c r="B579" t="s">
        <v>1878</v>
      </c>
      <c r="C579">
        <v>-552236.06000000006</v>
      </c>
      <c r="D579">
        <v>0</v>
      </c>
      <c r="E579">
        <v>-552236.06000000006</v>
      </c>
      <c r="F579">
        <v>0</v>
      </c>
      <c r="G579">
        <v>2679.17</v>
      </c>
      <c r="H579">
        <v>0</v>
      </c>
      <c r="I579">
        <v>-554915.22999999905</v>
      </c>
      <c r="J579" s="1686">
        <v>-554915.22999999905</v>
      </c>
      <c r="K579" s="1">
        <f t="shared" si="27"/>
        <v>-2679.1699999989942</v>
      </c>
      <c r="L579" s="1">
        <f t="shared" si="28"/>
        <v>0</v>
      </c>
      <c r="M579" s="1">
        <f t="shared" si="29"/>
        <v>-552236.06000000006</v>
      </c>
    </row>
    <row r="580" spans="1:13">
      <c r="A580" t="s">
        <v>1879</v>
      </c>
      <c r="B580" t="s">
        <v>1880</v>
      </c>
      <c r="C580">
        <v>410085.33</v>
      </c>
      <c r="D580">
        <v>0</v>
      </c>
      <c r="E580">
        <v>410085.33</v>
      </c>
      <c r="F580">
        <v>0</v>
      </c>
      <c r="G580">
        <v>0</v>
      </c>
      <c r="H580">
        <v>410085.33</v>
      </c>
      <c r="I580">
        <v>0</v>
      </c>
      <c r="J580" s="1686">
        <v>410085.33</v>
      </c>
      <c r="K580" s="1">
        <f t="shared" si="27"/>
        <v>0</v>
      </c>
      <c r="L580" s="1">
        <f t="shared" si="28"/>
        <v>410085.33</v>
      </c>
      <c r="M580" s="1">
        <f t="shared" si="29"/>
        <v>0</v>
      </c>
    </row>
    <row r="581" spans="1:13">
      <c r="A581" t="s">
        <v>1881</v>
      </c>
      <c r="B581" t="s">
        <v>1882</v>
      </c>
      <c r="C581">
        <v>410085.33</v>
      </c>
      <c r="D581">
        <v>0</v>
      </c>
      <c r="E581">
        <v>410085.33</v>
      </c>
      <c r="F581">
        <v>0</v>
      </c>
      <c r="G581">
        <v>0</v>
      </c>
      <c r="H581">
        <v>410085.33</v>
      </c>
      <c r="I581">
        <v>0</v>
      </c>
      <c r="J581" s="1686">
        <v>410085.33</v>
      </c>
      <c r="K581" s="1">
        <f t="shared" si="27"/>
        <v>0</v>
      </c>
      <c r="L581" s="1">
        <f t="shared" si="28"/>
        <v>410085.33</v>
      </c>
      <c r="M581" s="1">
        <f t="shared" si="29"/>
        <v>0</v>
      </c>
    </row>
    <row r="582" spans="1:13">
      <c r="A582" t="s">
        <v>1883</v>
      </c>
      <c r="B582" t="s">
        <v>1884</v>
      </c>
      <c r="C582">
        <v>-245738.829999999</v>
      </c>
      <c r="D582">
        <v>0</v>
      </c>
      <c r="E582">
        <v>-245738.829999999</v>
      </c>
      <c r="F582">
        <v>0</v>
      </c>
      <c r="G582">
        <v>7690.81</v>
      </c>
      <c r="H582">
        <v>0</v>
      </c>
      <c r="I582">
        <v>-253429.64</v>
      </c>
      <c r="J582" s="1686">
        <v>-253429.64</v>
      </c>
      <c r="K582" s="1">
        <f t="shared" si="27"/>
        <v>-7690.8100000010163</v>
      </c>
      <c r="L582" s="1">
        <f t="shared" si="28"/>
        <v>0</v>
      </c>
      <c r="M582" s="1">
        <f t="shared" si="29"/>
        <v>-245738.829999999</v>
      </c>
    </row>
    <row r="583" spans="1:13">
      <c r="A583" t="s">
        <v>1885</v>
      </c>
      <c r="B583" t="s">
        <v>1886</v>
      </c>
      <c r="C583">
        <v>275622.679999999</v>
      </c>
      <c r="D583">
        <v>0</v>
      </c>
      <c r="E583">
        <v>275622.679999999</v>
      </c>
      <c r="F583">
        <v>839300.68</v>
      </c>
      <c r="G583">
        <v>1036738.43999999</v>
      </c>
      <c r="H583">
        <v>78184.919999999896</v>
      </c>
      <c r="I583">
        <v>0</v>
      </c>
      <c r="J583" s="1686">
        <v>78184.919999999896</v>
      </c>
      <c r="K583" s="1">
        <f t="shared" si="27"/>
        <v>-197437.75999999911</v>
      </c>
      <c r="L583" s="1">
        <f t="shared" si="28"/>
        <v>275622.679999999</v>
      </c>
      <c r="M583" s="1">
        <f t="shared" si="29"/>
        <v>0</v>
      </c>
    </row>
    <row r="584" spans="1:13">
      <c r="A584" t="s">
        <v>1887</v>
      </c>
      <c r="B584" t="s">
        <v>1888</v>
      </c>
      <c r="C584">
        <v>300622.679999999</v>
      </c>
      <c r="D584">
        <v>0</v>
      </c>
      <c r="E584">
        <v>300622.679999999</v>
      </c>
      <c r="F584">
        <v>839300.68</v>
      </c>
      <c r="G584">
        <v>1036738.43999999</v>
      </c>
      <c r="H584">
        <v>103184.92</v>
      </c>
      <c r="I584">
        <v>0</v>
      </c>
      <c r="J584" s="1686">
        <v>103184.92</v>
      </c>
      <c r="K584" s="1">
        <f t="shared" si="27"/>
        <v>-197437.75999999902</v>
      </c>
      <c r="L584" s="1">
        <f t="shared" si="28"/>
        <v>300622.679999999</v>
      </c>
      <c r="M584" s="1">
        <f t="shared" si="29"/>
        <v>0</v>
      </c>
    </row>
    <row r="585" spans="1:13">
      <c r="A585" t="s">
        <v>1889</v>
      </c>
      <c r="B585" t="s">
        <v>1890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 s="1686">
        <v>0</v>
      </c>
      <c r="K585" s="1">
        <f t="shared" si="27"/>
        <v>0</v>
      </c>
      <c r="L585" s="1">
        <f t="shared" si="28"/>
        <v>0</v>
      </c>
      <c r="M585" s="1">
        <f t="shared" si="29"/>
        <v>0</v>
      </c>
    </row>
    <row r="586" spans="1:13">
      <c r="A586" t="s">
        <v>1891</v>
      </c>
      <c r="B586" t="s">
        <v>1892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 s="1686">
        <v>0</v>
      </c>
      <c r="K586" s="1">
        <f t="shared" si="27"/>
        <v>0</v>
      </c>
      <c r="L586" s="1">
        <f t="shared" si="28"/>
        <v>0</v>
      </c>
      <c r="M586" s="1">
        <f t="shared" si="29"/>
        <v>0</v>
      </c>
    </row>
    <row r="587" spans="1:13">
      <c r="A587" t="s">
        <v>1893</v>
      </c>
      <c r="B587" t="s">
        <v>1894</v>
      </c>
      <c r="C587">
        <v>3105624.37</v>
      </c>
      <c r="D587">
        <v>0</v>
      </c>
      <c r="E587">
        <v>3105624.37</v>
      </c>
      <c r="F587">
        <v>193324.78</v>
      </c>
      <c r="G587">
        <v>92045.029999999897</v>
      </c>
      <c r="H587">
        <v>3206904.12</v>
      </c>
      <c r="I587">
        <v>0</v>
      </c>
      <c r="J587" s="1686">
        <v>3206904.12</v>
      </c>
      <c r="K587" s="1">
        <f t="shared" si="27"/>
        <v>101279.75</v>
      </c>
      <c r="L587" s="1">
        <f t="shared" si="28"/>
        <v>3105624.37</v>
      </c>
      <c r="M587" s="1">
        <f t="shared" si="29"/>
        <v>0</v>
      </c>
    </row>
    <row r="588" spans="1:13">
      <c r="A588" t="s">
        <v>1895</v>
      </c>
      <c r="B588" t="s">
        <v>1896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 s="1686">
        <v>0</v>
      </c>
      <c r="K588" s="1">
        <f t="shared" si="27"/>
        <v>0</v>
      </c>
      <c r="L588" s="1">
        <f t="shared" si="28"/>
        <v>0</v>
      </c>
      <c r="M588" s="1">
        <f t="shared" si="29"/>
        <v>0</v>
      </c>
    </row>
    <row r="589" spans="1:13">
      <c r="A589" t="s">
        <v>1897</v>
      </c>
      <c r="B589" t="s">
        <v>1898</v>
      </c>
      <c r="C589">
        <v>20652.959999999901</v>
      </c>
      <c r="D589">
        <v>0</v>
      </c>
      <c r="E589">
        <v>20652.959999999901</v>
      </c>
      <c r="F589">
        <v>0</v>
      </c>
      <c r="G589">
        <v>0</v>
      </c>
      <c r="H589">
        <v>20652.959999999901</v>
      </c>
      <c r="I589">
        <v>0</v>
      </c>
      <c r="J589" s="1686">
        <v>20652.959999999901</v>
      </c>
      <c r="K589" s="1">
        <f t="shared" si="27"/>
        <v>0</v>
      </c>
      <c r="L589" s="1">
        <f t="shared" si="28"/>
        <v>20652.959999999901</v>
      </c>
      <c r="M589" s="1">
        <f t="shared" si="29"/>
        <v>0</v>
      </c>
    </row>
    <row r="590" spans="1:13">
      <c r="A590" t="s">
        <v>1899</v>
      </c>
      <c r="B590" t="s">
        <v>1900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 s="1686">
        <v>0</v>
      </c>
      <c r="K590" s="1">
        <f t="shared" si="27"/>
        <v>0</v>
      </c>
      <c r="L590" s="1">
        <f t="shared" si="28"/>
        <v>0</v>
      </c>
      <c r="M590" s="1">
        <f t="shared" si="29"/>
        <v>0</v>
      </c>
    </row>
    <row r="591" spans="1:13">
      <c r="A591" t="s">
        <v>1901</v>
      </c>
      <c r="B591" t="s">
        <v>1902</v>
      </c>
      <c r="C591">
        <v>0</v>
      </c>
      <c r="D591">
        <v>0</v>
      </c>
      <c r="E591">
        <v>0</v>
      </c>
      <c r="F591">
        <v>1635448.3999999899</v>
      </c>
      <c r="G591">
        <v>2.98</v>
      </c>
      <c r="H591">
        <v>1635445.4199999899</v>
      </c>
      <c r="I591">
        <v>0</v>
      </c>
      <c r="J591" s="1686">
        <v>1635445.4199999899</v>
      </c>
      <c r="K591" s="1">
        <f t="shared" si="27"/>
        <v>1635445.4199999899</v>
      </c>
      <c r="L591" s="1">
        <f t="shared" si="28"/>
        <v>0</v>
      </c>
      <c r="M591" s="1">
        <f t="shared" si="29"/>
        <v>0</v>
      </c>
    </row>
    <row r="592" spans="1:13">
      <c r="A592" t="s">
        <v>3768</v>
      </c>
      <c r="B592" t="s">
        <v>3769</v>
      </c>
      <c r="C592">
        <v>0</v>
      </c>
      <c r="D592">
        <v>0</v>
      </c>
      <c r="E592">
        <v>0</v>
      </c>
      <c r="F592">
        <v>404.86</v>
      </c>
      <c r="G592">
        <v>0</v>
      </c>
      <c r="H592">
        <v>404.86</v>
      </c>
      <c r="I592">
        <v>0</v>
      </c>
      <c r="J592" s="1686">
        <v>404.86</v>
      </c>
      <c r="K592" s="1">
        <f t="shared" si="27"/>
        <v>404.86</v>
      </c>
      <c r="L592" s="1">
        <f t="shared" si="28"/>
        <v>0</v>
      </c>
      <c r="M592" s="1">
        <f t="shared" si="29"/>
        <v>0</v>
      </c>
    </row>
    <row r="593" spans="1:13">
      <c r="A593" t="s">
        <v>1903</v>
      </c>
      <c r="B593" t="s">
        <v>1904</v>
      </c>
      <c r="C593">
        <v>0</v>
      </c>
      <c r="D593">
        <v>0</v>
      </c>
      <c r="E593">
        <v>0</v>
      </c>
      <c r="F593">
        <v>1905096.8</v>
      </c>
      <c r="G593">
        <v>2.98</v>
      </c>
      <c r="H593">
        <v>1905093.82</v>
      </c>
      <c r="I593">
        <v>0</v>
      </c>
      <c r="J593" s="1686">
        <v>1905093.82</v>
      </c>
      <c r="K593" s="1">
        <f t="shared" si="27"/>
        <v>1905093.82</v>
      </c>
      <c r="L593" s="1">
        <f t="shared" si="28"/>
        <v>0</v>
      </c>
      <c r="M593" s="1">
        <f t="shared" si="29"/>
        <v>0</v>
      </c>
    </row>
    <row r="594" spans="1:13">
      <c r="A594" t="s">
        <v>1905</v>
      </c>
      <c r="B594" t="s">
        <v>1906</v>
      </c>
      <c r="C594">
        <v>0</v>
      </c>
      <c r="D594">
        <v>0</v>
      </c>
      <c r="E594">
        <v>0</v>
      </c>
      <c r="F594">
        <v>42655.099999999897</v>
      </c>
      <c r="G594">
        <v>0</v>
      </c>
      <c r="H594">
        <v>42655.099999999897</v>
      </c>
      <c r="I594">
        <v>0</v>
      </c>
      <c r="J594" s="1686">
        <v>42655.099999999897</v>
      </c>
      <c r="K594" s="1">
        <f t="shared" si="27"/>
        <v>42655.099999999897</v>
      </c>
      <c r="L594" s="1">
        <f t="shared" si="28"/>
        <v>0</v>
      </c>
      <c r="M594" s="1">
        <f t="shared" si="29"/>
        <v>0</v>
      </c>
    </row>
    <row r="595" spans="1:13">
      <c r="A595" t="s">
        <v>1907</v>
      </c>
      <c r="B595" t="s">
        <v>1908</v>
      </c>
      <c r="C595">
        <v>0</v>
      </c>
      <c r="D595">
        <v>0</v>
      </c>
      <c r="E595">
        <v>0</v>
      </c>
      <c r="F595">
        <v>0</v>
      </c>
      <c r="G595">
        <v>825.32</v>
      </c>
      <c r="H595">
        <v>0</v>
      </c>
      <c r="I595">
        <v>-825.32</v>
      </c>
      <c r="J595" s="1686">
        <v>-825.32</v>
      </c>
      <c r="K595" s="1">
        <f t="shared" si="27"/>
        <v>-825.32</v>
      </c>
      <c r="L595" s="1">
        <f t="shared" si="28"/>
        <v>0</v>
      </c>
      <c r="M595" s="1">
        <f t="shared" si="29"/>
        <v>0</v>
      </c>
    </row>
    <row r="596" spans="1:13">
      <c r="A596" t="s">
        <v>1909</v>
      </c>
      <c r="B596" t="s">
        <v>1910</v>
      </c>
      <c r="C596">
        <v>0</v>
      </c>
      <c r="D596">
        <v>0</v>
      </c>
      <c r="E596">
        <v>0</v>
      </c>
      <c r="F596">
        <v>1914015.62</v>
      </c>
      <c r="G596">
        <v>2.98</v>
      </c>
      <c r="H596">
        <v>1914012.6399999899</v>
      </c>
      <c r="I596">
        <v>0</v>
      </c>
      <c r="J596" s="1686">
        <v>1914012.6399999899</v>
      </c>
      <c r="K596" s="1">
        <f t="shared" si="27"/>
        <v>1914012.6399999899</v>
      </c>
      <c r="L596" s="1">
        <f t="shared" si="28"/>
        <v>0</v>
      </c>
      <c r="M596" s="1">
        <f t="shared" si="29"/>
        <v>0</v>
      </c>
    </row>
    <row r="597" spans="1:13">
      <c r="A597" t="s">
        <v>1911</v>
      </c>
      <c r="B597" t="s">
        <v>1912</v>
      </c>
      <c r="C597">
        <v>0</v>
      </c>
      <c r="D597">
        <v>0</v>
      </c>
      <c r="E597">
        <v>0</v>
      </c>
      <c r="F597">
        <v>1911962.29</v>
      </c>
      <c r="G597">
        <v>2.98</v>
      </c>
      <c r="H597">
        <v>1911959.31</v>
      </c>
      <c r="I597">
        <v>0</v>
      </c>
      <c r="J597" s="1686">
        <v>1911959.31</v>
      </c>
      <c r="K597" s="1">
        <f t="shared" si="27"/>
        <v>1911959.31</v>
      </c>
      <c r="L597" s="1">
        <f t="shared" si="28"/>
        <v>0</v>
      </c>
      <c r="M597" s="1">
        <f t="shared" si="29"/>
        <v>0</v>
      </c>
    </row>
    <row r="598" spans="1:13">
      <c r="A598" t="s">
        <v>1913</v>
      </c>
      <c r="B598" t="s">
        <v>1914</v>
      </c>
      <c r="C598">
        <v>0</v>
      </c>
      <c r="D598">
        <v>0</v>
      </c>
      <c r="E598">
        <v>0</v>
      </c>
      <c r="F598">
        <v>305701.52</v>
      </c>
      <c r="G598">
        <v>0</v>
      </c>
      <c r="H598">
        <v>305701.52</v>
      </c>
      <c r="I598">
        <v>0</v>
      </c>
      <c r="J598" s="1686">
        <v>305701.52</v>
      </c>
      <c r="K598" s="1">
        <f t="shared" si="27"/>
        <v>305701.52</v>
      </c>
      <c r="L598" s="1">
        <f t="shared" si="28"/>
        <v>0</v>
      </c>
      <c r="M598" s="1">
        <f t="shared" si="29"/>
        <v>0</v>
      </c>
    </row>
    <row r="599" spans="1:13">
      <c r="A599" t="s">
        <v>1915</v>
      </c>
      <c r="B599" t="s">
        <v>1916</v>
      </c>
      <c r="C599">
        <v>0</v>
      </c>
      <c r="D599">
        <v>0</v>
      </c>
      <c r="E599">
        <v>0</v>
      </c>
      <c r="F599">
        <v>16080.92</v>
      </c>
      <c r="G599">
        <v>0</v>
      </c>
      <c r="H599">
        <v>16080.92</v>
      </c>
      <c r="I599">
        <v>0</v>
      </c>
      <c r="J599" s="1686">
        <v>16080.92</v>
      </c>
      <c r="K599" s="1">
        <f t="shared" si="27"/>
        <v>16080.92</v>
      </c>
      <c r="L599" s="1">
        <f t="shared" si="28"/>
        <v>0</v>
      </c>
      <c r="M599" s="1">
        <f t="shared" si="29"/>
        <v>0</v>
      </c>
    </row>
    <row r="600" spans="1:13">
      <c r="A600" t="s">
        <v>1917</v>
      </c>
      <c r="B600" t="s">
        <v>1918</v>
      </c>
      <c r="C600">
        <v>0</v>
      </c>
      <c r="D600">
        <v>0</v>
      </c>
      <c r="E600">
        <v>0</v>
      </c>
      <c r="F600">
        <v>2679.17</v>
      </c>
      <c r="G600">
        <v>0</v>
      </c>
      <c r="H600">
        <v>2679.17</v>
      </c>
      <c r="I600">
        <v>0</v>
      </c>
      <c r="J600" s="1686">
        <v>2679.17</v>
      </c>
      <c r="K600" s="1">
        <f t="shared" si="27"/>
        <v>2679.17</v>
      </c>
      <c r="L600" s="1">
        <f t="shared" si="28"/>
        <v>0</v>
      </c>
      <c r="M600" s="1">
        <f t="shared" si="29"/>
        <v>0</v>
      </c>
    </row>
    <row r="601" spans="1:13">
      <c r="A601" t="s">
        <v>1919</v>
      </c>
      <c r="B601" t="s">
        <v>1920</v>
      </c>
      <c r="C601">
        <v>0</v>
      </c>
      <c r="D601">
        <v>0</v>
      </c>
      <c r="E601">
        <v>0</v>
      </c>
      <c r="F601">
        <v>18760.09</v>
      </c>
      <c r="G601">
        <v>0</v>
      </c>
      <c r="H601">
        <v>18760.09</v>
      </c>
      <c r="I601">
        <v>0</v>
      </c>
      <c r="J601" s="1686">
        <v>18760.09</v>
      </c>
      <c r="K601" s="1">
        <f t="shared" si="27"/>
        <v>18760.09</v>
      </c>
      <c r="L601" s="1">
        <f t="shared" si="28"/>
        <v>0</v>
      </c>
      <c r="M601" s="1">
        <f t="shared" si="29"/>
        <v>0</v>
      </c>
    </row>
    <row r="602" spans="1:13">
      <c r="A602" t="s">
        <v>1921</v>
      </c>
      <c r="B602" t="s">
        <v>1922</v>
      </c>
      <c r="C602">
        <v>0</v>
      </c>
      <c r="D602">
        <v>0</v>
      </c>
      <c r="E602">
        <v>0</v>
      </c>
      <c r="F602">
        <v>18760.09</v>
      </c>
      <c r="G602">
        <v>0</v>
      </c>
      <c r="H602">
        <v>18760.09</v>
      </c>
      <c r="I602">
        <v>0</v>
      </c>
      <c r="J602" s="1686">
        <v>18760.09</v>
      </c>
      <c r="K602" s="1">
        <f t="shared" si="27"/>
        <v>18760.09</v>
      </c>
      <c r="L602" s="1">
        <f t="shared" si="28"/>
        <v>0</v>
      </c>
      <c r="M602" s="1">
        <f t="shared" si="29"/>
        <v>0</v>
      </c>
    </row>
    <row r="603" spans="1:13">
      <c r="A603" t="s">
        <v>2353</v>
      </c>
      <c r="B603" t="s">
        <v>2354</v>
      </c>
      <c r="C603">
        <v>0</v>
      </c>
      <c r="D603">
        <v>0</v>
      </c>
      <c r="E603">
        <v>0</v>
      </c>
      <c r="F603">
        <v>7690.81</v>
      </c>
      <c r="G603">
        <v>0</v>
      </c>
      <c r="H603">
        <v>7690.81</v>
      </c>
      <c r="I603">
        <v>0</v>
      </c>
      <c r="J603" s="1686">
        <v>7690.81</v>
      </c>
      <c r="K603" s="1">
        <f t="shared" si="27"/>
        <v>7690.81</v>
      </c>
      <c r="L603" s="1">
        <f t="shared" si="28"/>
        <v>0</v>
      </c>
      <c r="M603" s="1">
        <f t="shared" si="29"/>
        <v>0</v>
      </c>
    </row>
    <row r="604" spans="1:13">
      <c r="A604" t="s">
        <v>3941</v>
      </c>
      <c r="B604" t="s">
        <v>3942</v>
      </c>
      <c r="C604">
        <v>0</v>
      </c>
      <c r="D604">
        <v>0</v>
      </c>
      <c r="E604">
        <v>0</v>
      </c>
      <c r="F604">
        <v>1501.97</v>
      </c>
      <c r="G604">
        <v>0</v>
      </c>
      <c r="H604">
        <v>1501.97</v>
      </c>
      <c r="I604">
        <v>0</v>
      </c>
      <c r="J604" s="1686">
        <v>1501.97</v>
      </c>
      <c r="K604" s="1">
        <f t="shared" si="27"/>
        <v>1501.97</v>
      </c>
      <c r="L604" s="1">
        <f t="shared" si="28"/>
        <v>0</v>
      </c>
      <c r="M604" s="1">
        <f t="shared" si="29"/>
        <v>0</v>
      </c>
    </row>
    <row r="605" spans="1:13">
      <c r="A605" t="s">
        <v>3943</v>
      </c>
      <c r="B605" t="s">
        <v>3944</v>
      </c>
      <c r="C605">
        <v>0</v>
      </c>
      <c r="D605">
        <v>0</v>
      </c>
      <c r="E605">
        <v>0</v>
      </c>
      <c r="F605">
        <v>1501.97</v>
      </c>
      <c r="G605">
        <v>0</v>
      </c>
      <c r="H605">
        <v>1501.97</v>
      </c>
      <c r="I605">
        <v>0</v>
      </c>
      <c r="J605" s="1686">
        <v>1501.97</v>
      </c>
      <c r="K605" s="1">
        <f t="shared" si="27"/>
        <v>1501.97</v>
      </c>
      <c r="L605" s="1">
        <f t="shared" si="28"/>
        <v>0</v>
      </c>
      <c r="M605" s="1">
        <f t="shared" si="29"/>
        <v>0</v>
      </c>
    </row>
    <row r="606" spans="1:13">
      <c r="A606" t="s">
        <v>3945</v>
      </c>
      <c r="B606" t="s">
        <v>3946</v>
      </c>
      <c r="C606">
        <v>0</v>
      </c>
      <c r="D606">
        <v>0</v>
      </c>
      <c r="E606">
        <v>0</v>
      </c>
      <c r="F606">
        <v>1501.97</v>
      </c>
      <c r="G606">
        <v>0</v>
      </c>
      <c r="H606">
        <v>1501.97</v>
      </c>
      <c r="I606">
        <v>0</v>
      </c>
      <c r="J606" s="1686">
        <v>1501.97</v>
      </c>
      <c r="K606" s="1">
        <f t="shared" si="27"/>
        <v>1501.97</v>
      </c>
      <c r="L606" s="1">
        <f t="shared" si="28"/>
        <v>0</v>
      </c>
      <c r="M606" s="1">
        <f t="shared" si="29"/>
        <v>0</v>
      </c>
    </row>
    <row r="607" spans="1:13">
      <c r="A607" t="s">
        <v>1923</v>
      </c>
      <c r="B607" t="s">
        <v>1924</v>
      </c>
      <c r="C607">
        <v>0</v>
      </c>
      <c r="D607">
        <v>0</v>
      </c>
      <c r="E607">
        <v>0</v>
      </c>
      <c r="F607">
        <v>0</v>
      </c>
      <c r="G607">
        <v>480283.27</v>
      </c>
      <c r="H607">
        <v>0</v>
      </c>
      <c r="I607">
        <v>-480283.27</v>
      </c>
      <c r="J607" s="1686">
        <v>-480283.27</v>
      </c>
      <c r="K607" s="1">
        <f t="shared" si="27"/>
        <v>-480283.27</v>
      </c>
      <c r="L607" s="1">
        <f t="shared" si="28"/>
        <v>0</v>
      </c>
      <c r="M607" s="1">
        <f t="shared" si="29"/>
        <v>0</v>
      </c>
    </row>
    <row r="608" spans="1:13">
      <c r="A608" t="s">
        <v>917</v>
      </c>
      <c r="B608" t="s">
        <v>918</v>
      </c>
      <c r="C608">
        <v>0</v>
      </c>
      <c r="D608">
        <v>0</v>
      </c>
      <c r="E608">
        <v>0</v>
      </c>
      <c r="F608">
        <v>449428.049999999</v>
      </c>
      <c r="G608">
        <v>0</v>
      </c>
      <c r="H608">
        <v>449428.049999999</v>
      </c>
      <c r="I608">
        <v>0</v>
      </c>
      <c r="J608" s="1686">
        <v>449428.049999999</v>
      </c>
      <c r="K608" s="1">
        <f t="shared" si="27"/>
        <v>449428.049999999</v>
      </c>
      <c r="L608" s="1">
        <f t="shared" si="28"/>
        <v>0</v>
      </c>
      <c r="M608" s="1">
        <f t="shared" si="29"/>
        <v>0</v>
      </c>
    </row>
    <row r="609" spans="1:13">
      <c r="A609" t="s">
        <v>919</v>
      </c>
      <c r="B609" t="s">
        <v>3931</v>
      </c>
      <c r="C609">
        <v>0</v>
      </c>
      <c r="D609">
        <v>0</v>
      </c>
      <c r="E609">
        <v>0</v>
      </c>
      <c r="F609">
        <v>30855.22</v>
      </c>
      <c r="G609">
        <v>0</v>
      </c>
      <c r="H609">
        <v>30855.22</v>
      </c>
      <c r="I609">
        <v>0</v>
      </c>
      <c r="J609" s="1686">
        <v>30855.22</v>
      </c>
      <c r="K609" s="1">
        <f t="shared" si="27"/>
        <v>30855.22</v>
      </c>
      <c r="L609" s="1">
        <f t="shared" si="28"/>
        <v>0</v>
      </c>
      <c r="M609" s="1">
        <f t="shared" si="29"/>
        <v>0</v>
      </c>
    </row>
    <row r="610" spans="1:13">
      <c r="A610" t="s">
        <v>1925</v>
      </c>
      <c r="B610" t="s">
        <v>1926</v>
      </c>
      <c r="C610">
        <v>-114462482.62</v>
      </c>
      <c r="D610">
        <v>0</v>
      </c>
      <c r="E610">
        <v>-114462482.62</v>
      </c>
      <c r="F610">
        <v>0</v>
      </c>
      <c r="G610">
        <v>0</v>
      </c>
      <c r="H610">
        <v>0</v>
      </c>
      <c r="I610">
        <v>-114462482.62</v>
      </c>
      <c r="J610" s="1686">
        <v>-114462482.62</v>
      </c>
      <c r="K610" s="1">
        <f t="shared" si="27"/>
        <v>0</v>
      </c>
      <c r="L610" s="1">
        <f t="shared" si="28"/>
        <v>0</v>
      </c>
      <c r="M610" s="1">
        <f t="shared" si="29"/>
        <v>-114462482.62</v>
      </c>
    </row>
    <row r="611" spans="1:13">
      <c r="A611" t="s">
        <v>1927</v>
      </c>
      <c r="B611" t="s">
        <v>1928</v>
      </c>
      <c r="C611">
        <v>12758740.32</v>
      </c>
      <c r="D611">
        <v>0</v>
      </c>
      <c r="E611">
        <v>12758740.32</v>
      </c>
      <c r="F611">
        <v>0</v>
      </c>
      <c r="G611">
        <v>0</v>
      </c>
      <c r="H611">
        <v>12758740.32</v>
      </c>
      <c r="I611">
        <v>0</v>
      </c>
      <c r="J611" s="1686">
        <v>12758740.32</v>
      </c>
      <c r="K611" s="1">
        <f t="shared" si="27"/>
        <v>0</v>
      </c>
      <c r="L611" s="1">
        <f t="shared" si="28"/>
        <v>12758740.32</v>
      </c>
      <c r="M611" s="1">
        <f t="shared" si="29"/>
        <v>0</v>
      </c>
    </row>
    <row r="612" spans="1:13">
      <c r="A612" t="s">
        <v>1929</v>
      </c>
      <c r="B612" t="s">
        <v>1930</v>
      </c>
      <c r="C612">
        <v>-38576957.0499999</v>
      </c>
      <c r="D612">
        <v>0</v>
      </c>
      <c r="E612">
        <v>-38576957.0499999</v>
      </c>
      <c r="F612">
        <v>0</v>
      </c>
      <c r="G612">
        <v>0</v>
      </c>
      <c r="H612">
        <v>0</v>
      </c>
      <c r="I612">
        <v>-38576957.0499999</v>
      </c>
      <c r="J612" s="1686">
        <v>-38576957.0499999</v>
      </c>
      <c r="K612" s="1">
        <f t="shared" si="27"/>
        <v>0</v>
      </c>
      <c r="L612" s="1">
        <f t="shared" si="28"/>
        <v>0</v>
      </c>
      <c r="M612" s="1">
        <f t="shared" si="29"/>
        <v>-38576957.0499999</v>
      </c>
    </row>
    <row r="613" spans="1:13">
      <c r="A613" t="s">
        <v>1931</v>
      </c>
      <c r="B613" t="s">
        <v>1932</v>
      </c>
      <c r="C613">
        <v>47226069.1199999</v>
      </c>
      <c r="D613">
        <v>0</v>
      </c>
      <c r="E613">
        <v>47226069.1199999</v>
      </c>
      <c r="F613">
        <v>0</v>
      </c>
      <c r="G613">
        <v>0</v>
      </c>
      <c r="H613">
        <v>47226069.1199999</v>
      </c>
      <c r="I613">
        <v>0</v>
      </c>
      <c r="J613" s="1686">
        <v>47226069.1199999</v>
      </c>
      <c r="K613" s="1">
        <f t="shared" si="27"/>
        <v>0</v>
      </c>
      <c r="L613" s="1">
        <f t="shared" si="28"/>
        <v>47226069.1199999</v>
      </c>
      <c r="M613" s="1">
        <f t="shared" si="29"/>
        <v>0</v>
      </c>
    </row>
    <row r="614" spans="1:13">
      <c r="A614" t="s">
        <v>1933</v>
      </c>
      <c r="B614" t="s">
        <v>1932</v>
      </c>
      <c r="C614">
        <v>-2674674.41</v>
      </c>
      <c r="D614">
        <v>0</v>
      </c>
      <c r="E614">
        <v>-2674674.41</v>
      </c>
      <c r="F614">
        <v>0</v>
      </c>
      <c r="G614">
        <v>0</v>
      </c>
      <c r="H614">
        <v>0</v>
      </c>
      <c r="I614">
        <v>-2674674.41</v>
      </c>
      <c r="J614" s="1686">
        <v>-2674674.41</v>
      </c>
      <c r="K614" s="1">
        <f t="shared" si="27"/>
        <v>0</v>
      </c>
      <c r="L614" s="1">
        <f t="shared" si="28"/>
        <v>0</v>
      </c>
      <c r="M614" s="1">
        <f t="shared" si="29"/>
        <v>-2674674.41</v>
      </c>
    </row>
    <row r="615" spans="1:13">
      <c r="A615" t="s">
        <v>1934</v>
      </c>
      <c r="B615" t="s">
        <v>1932</v>
      </c>
      <c r="C615">
        <v>-5974437.6600000001</v>
      </c>
      <c r="D615">
        <v>0</v>
      </c>
      <c r="E615">
        <v>-5974437.6600000001</v>
      </c>
      <c r="F615">
        <v>25203.54</v>
      </c>
      <c r="G615">
        <v>25203.54</v>
      </c>
      <c r="H615">
        <v>0</v>
      </c>
      <c r="I615">
        <v>-5974437.6600000001</v>
      </c>
      <c r="J615" s="1686">
        <v>-5974437.6600000001</v>
      </c>
      <c r="K615" s="1">
        <f t="shared" ref="K615:K678" si="30">J615-C615</f>
        <v>0</v>
      </c>
      <c r="L615" s="1">
        <f t="shared" ref="L615:L678" si="31">IF(C615&gt;0,C615,0)</f>
        <v>0</v>
      </c>
      <c r="M615" s="1">
        <f t="shared" ref="M615:M678" si="32">IF(C615&lt;0,C615,0)</f>
        <v>-5974437.6600000001</v>
      </c>
    </row>
    <row r="616" spans="1:13">
      <c r="A616" t="s">
        <v>3361</v>
      </c>
      <c r="B616" t="s">
        <v>3362</v>
      </c>
      <c r="C616">
        <v>0</v>
      </c>
      <c r="D616">
        <v>0</v>
      </c>
      <c r="E616">
        <v>0</v>
      </c>
      <c r="F616">
        <v>5576272.1900000004</v>
      </c>
      <c r="G616">
        <v>9363799.6300000008</v>
      </c>
      <c r="H616">
        <v>0</v>
      </c>
      <c r="I616">
        <v>-3787527.4399999902</v>
      </c>
      <c r="J616" s="1686">
        <v>-3787527.4399999902</v>
      </c>
      <c r="K616" s="1">
        <f t="shared" si="30"/>
        <v>-3787527.4399999902</v>
      </c>
      <c r="L616" s="1">
        <f t="shared" si="31"/>
        <v>0</v>
      </c>
      <c r="M616" s="1">
        <f t="shared" si="32"/>
        <v>0</v>
      </c>
    </row>
    <row r="617" spans="1:13">
      <c r="A617" t="s">
        <v>4043</v>
      </c>
      <c r="B617" t="s">
        <v>4044</v>
      </c>
      <c r="C617">
        <v>0</v>
      </c>
      <c r="D617">
        <v>0</v>
      </c>
      <c r="E617">
        <v>0</v>
      </c>
      <c r="F617">
        <v>8223.3700000000008</v>
      </c>
      <c r="G617">
        <v>8223.3700000000008</v>
      </c>
      <c r="H617">
        <v>0</v>
      </c>
      <c r="I617">
        <v>0</v>
      </c>
      <c r="J617" s="1686">
        <v>0</v>
      </c>
      <c r="K617" s="1">
        <f t="shared" si="30"/>
        <v>0</v>
      </c>
      <c r="L617" s="1">
        <f t="shared" si="31"/>
        <v>0</v>
      </c>
      <c r="M617" s="1">
        <f t="shared" si="32"/>
        <v>0</v>
      </c>
    </row>
    <row r="618" spans="1:13">
      <c r="A618" t="s">
        <v>4045</v>
      </c>
      <c r="B618" t="s">
        <v>4044</v>
      </c>
      <c r="C618">
        <v>0</v>
      </c>
      <c r="D618">
        <v>0</v>
      </c>
      <c r="E618">
        <v>0</v>
      </c>
      <c r="F618">
        <v>8223.3700000000008</v>
      </c>
      <c r="G618">
        <v>8223.3700000000008</v>
      </c>
      <c r="H618">
        <v>0</v>
      </c>
      <c r="I618">
        <v>0</v>
      </c>
      <c r="J618" s="1686">
        <v>0</v>
      </c>
      <c r="K618" s="1">
        <f t="shared" si="30"/>
        <v>0</v>
      </c>
      <c r="L618" s="1">
        <f t="shared" si="31"/>
        <v>0</v>
      </c>
      <c r="M618" s="1">
        <f t="shared" si="32"/>
        <v>0</v>
      </c>
    </row>
    <row r="619" spans="1:13">
      <c r="A619" t="s">
        <v>4046</v>
      </c>
      <c r="B619" t="s">
        <v>4044</v>
      </c>
      <c r="C619">
        <v>0</v>
      </c>
      <c r="D619">
        <v>0</v>
      </c>
      <c r="E619">
        <v>0</v>
      </c>
      <c r="F619">
        <v>8223.3700000000008</v>
      </c>
      <c r="G619">
        <v>8223.3700000000008</v>
      </c>
      <c r="H619">
        <v>0</v>
      </c>
      <c r="I619">
        <v>0</v>
      </c>
      <c r="J619" s="1686">
        <v>0</v>
      </c>
      <c r="K619" s="1">
        <f t="shared" si="30"/>
        <v>0</v>
      </c>
      <c r="L619" s="1">
        <f t="shared" si="31"/>
        <v>0</v>
      </c>
      <c r="M619" s="1">
        <f t="shared" si="32"/>
        <v>0</v>
      </c>
    </row>
    <row r="620" spans="1:13">
      <c r="A620" t="s">
        <v>4047</v>
      </c>
      <c r="B620" t="s">
        <v>4044</v>
      </c>
      <c r="C620">
        <v>0</v>
      </c>
      <c r="D620">
        <v>0</v>
      </c>
      <c r="E620">
        <v>0</v>
      </c>
      <c r="F620">
        <v>8223.3700000000008</v>
      </c>
      <c r="G620">
        <v>8223.3700000000008</v>
      </c>
      <c r="H620">
        <v>0</v>
      </c>
      <c r="I620">
        <v>0</v>
      </c>
      <c r="J620" s="1686">
        <v>0</v>
      </c>
      <c r="K620" s="1">
        <f t="shared" si="30"/>
        <v>0</v>
      </c>
      <c r="L620" s="1">
        <f t="shared" si="31"/>
        <v>0</v>
      </c>
      <c r="M620" s="1">
        <f t="shared" si="32"/>
        <v>0</v>
      </c>
    </row>
    <row r="621" spans="1:13">
      <c r="A621" t="s">
        <v>4048</v>
      </c>
      <c r="B621" t="s">
        <v>4044</v>
      </c>
      <c r="C621">
        <v>0</v>
      </c>
      <c r="D621">
        <v>0</v>
      </c>
      <c r="E621">
        <v>0</v>
      </c>
      <c r="F621">
        <v>8223.3700000000008</v>
      </c>
      <c r="G621">
        <v>8223.3700000000008</v>
      </c>
      <c r="H621">
        <v>0</v>
      </c>
      <c r="I621">
        <v>0</v>
      </c>
      <c r="J621" s="1686">
        <v>0</v>
      </c>
      <c r="K621" s="1">
        <f t="shared" si="30"/>
        <v>0</v>
      </c>
      <c r="L621" s="1">
        <f t="shared" si="31"/>
        <v>0</v>
      </c>
      <c r="M621" s="1">
        <f t="shared" si="32"/>
        <v>0</v>
      </c>
    </row>
    <row r="622" spans="1:13">
      <c r="K622" s="1">
        <f t="shared" si="30"/>
        <v>0</v>
      </c>
      <c r="L622" s="1">
        <f t="shared" si="31"/>
        <v>0</v>
      </c>
      <c r="M622" s="1">
        <f t="shared" si="32"/>
        <v>0</v>
      </c>
    </row>
    <row r="623" spans="1:13">
      <c r="K623" s="1">
        <f t="shared" si="30"/>
        <v>0</v>
      </c>
      <c r="L623" s="1">
        <f t="shared" si="31"/>
        <v>0</v>
      </c>
      <c r="M623" s="1">
        <f t="shared" si="32"/>
        <v>0</v>
      </c>
    </row>
    <row r="624" spans="1:13">
      <c r="K624" s="1">
        <f t="shared" si="30"/>
        <v>0</v>
      </c>
      <c r="L624" s="1">
        <f t="shared" si="31"/>
        <v>0</v>
      </c>
      <c r="M624" s="1">
        <f t="shared" si="32"/>
        <v>0</v>
      </c>
    </row>
    <row r="625" spans="11:13">
      <c r="K625" s="1">
        <f t="shared" si="30"/>
        <v>0</v>
      </c>
      <c r="L625" s="1">
        <f t="shared" si="31"/>
        <v>0</v>
      </c>
      <c r="M625" s="1">
        <f t="shared" si="32"/>
        <v>0</v>
      </c>
    </row>
    <row r="626" spans="11:13">
      <c r="K626" s="1">
        <f t="shared" si="30"/>
        <v>0</v>
      </c>
      <c r="L626" s="1">
        <f t="shared" si="31"/>
        <v>0</v>
      </c>
      <c r="M626" s="1">
        <f t="shared" si="32"/>
        <v>0</v>
      </c>
    </row>
    <row r="627" spans="11:13">
      <c r="K627" s="1">
        <f t="shared" si="30"/>
        <v>0</v>
      </c>
      <c r="L627" s="1">
        <f t="shared" si="31"/>
        <v>0</v>
      </c>
      <c r="M627" s="1">
        <f t="shared" si="32"/>
        <v>0</v>
      </c>
    </row>
    <row r="628" spans="11:13">
      <c r="K628" s="1">
        <f t="shared" si="30"/>
        <v>0</v>
      </c>
      <c r="L628" s="1">
        <f t="shared" si="31"/>
        <v>0</v>
      </c>
      <c r="M628" s="1">
        <f t="shared" si="32"/>
        <v>0</v>
      </c>
    </row>
    <row r="629" spans="11:13">
      <c r="K629" s="1">
        <f t="shared" si="30"/>
        <v>0</v>
      </c>
      <c r="L629" s="1">
        <f t="shared" si="31"/>
        <v>0</v>
      </c>
      <c r="M629" s="1">
        <f t="shared" si="32"/>
        <v>0</v>
      </c>
    </row>
    <row r="630" spans="11:13">
      <c r="K630" s="1">
        <f t="shared" si="30"/>
        <v>0</v>
      </c>
      <c r="L630" s="1">
        <f t="shared" si="31"/>
        <v>0</v>
      </c>
      <c r="M630" s="1">
        <f t="shared" si="32"/>
        <v>0</v>
      </c>
    </row>
    <row r="631" spans="11:13">
      <c r="K631" s="1">
        <f t="shared" si="30"/>
        <v>0</v>
      </c>
      <c r="L631" s="1">
        <f t="shared" si="31"/>
        <v>0</v>
      </c>
      <c r="M631" s="1">
        <f t="shared" si="32"/>
        <v>0</v>
      </c>
    </row>
    <row r="632" spans="11:13">
      <c r="K632" s="1">
        <f t="shared" si="30"/>
        <v>0</v>
      </c>
      <c r="L632" s="1">
        <f t="shared" si="31"/>
        <v>0</v>
      </c>
      <c r="M632" s="1">
        <f t="shared" si="32"/>
        <v>0</v>
      </c>
    </row>
    <row r="633" spans="11:13">
      <c r="K633" s="1">
        <f t="shared" si="30"/>
        <v>0</v>
      </c>
      <c r="L633" s="1">
        <f t="shared" si="31"/>
        <v>0</v>
      </c>
      <c r="M633" s="1">
        <f t="shared" si="32"/>
        <v>0</v>
      </c>
    </row>
    <row r="634" spans="11:13">
      <c r="K634" s="1">
        <f t="shared" si="30"/>
        <v>0</v>
      </c>
      <c r="L634" s="1">
        <f t="shared" si="31"/>
        <v>0</v>
      </c>
      <c r="M634" s="1">
        <f t="shared" si="32"/>
        <v>0</v>
      </c>
    </row>
    <row r="635" spans="11:13">
      <c r="K635" s="1">
        <f t="shared" si="30"/>
        <v>0</v>
      </c>
      <c r="L635" s="1">
        <f t="shared" si="31"/>
        <v>0</v>
      </c>
      <c r="M635" s="1">
        <f t="shared" si="32"/>
        <v>0</v>
      </c>
    </row>
    <row r="636" spans="11:13">
      <c r="K636" s="1">
        <f t="shared" si="30"/>
        <v>0</v>
      </c>
      <c r="L636" s="1">
        <f t="shared" si="31"/>
        <v>0</v>
      </c>
      <c r="M636" s="1">
        <f t="shared" si="32"/>
        <v>0</v>
      </c>
    </row>
    <row r="637" spans="11:13">
      <c r="K637" s="1">
        <f t="shared" si="30"/>
        <v>0</v>
      </c>
      <c r="L637" s="1">
        <f t="shared" si="31"/>
        <v>0</v>
      </c>
      <c r="M637" s="1">
        <f t="shared" si="32"/>
        <v>0</v>
      </c>
    </row>
    <row r="638" spans="11:13">
      <c r="K638" s="1">
        <f t="shared" si="30"/>
        <v>0</v>
      </c>
      <c r="L638" s="1">
        <f t="shared" si="31"/>
        <v>0</v>
      </c>
      <c r="M638" s="1">
        <f t="shared" si="32"/>
        <v>0</v>
      </c>
    </row>
    <row r="639" spans="11:13">
      <c r="K639" s="1">
        <f t="shared" si="30"/>
        <v>0</v>
      </c>
      <c r="L639" s="1">
        <f t="shared" si="31"/>
        <v>0</v>
      </c>
      <c r="M639" s="1">
        <f t="shared" si="32"/>
        <v>0</v>
      </c>
    </row>
    <row r="640" spans="11:13">
      <c r="K640" s="1">
        <f t="shared" si="30"/>
        <v>0</v>
      </c>
      <c r="L640" s="1">
        <f t="shared" si="31"/>
        <v>0</v>
      </c>
      <c r="M640" s="1">
        <f t="shared" si="32"/>
        <v>0</v>
      </c>
    </row>
    <row r="641" spans="11:13">
      <c r="K641" s="1">
        <f t="shared" si="30"/>
        <v>0</v>
      </c>
      <c r="L641" s="1">
        <f t="shared" si="31"/>
        <v>0</v>
      </c>
      <c r="M641" s="1">
        <f t="shared" si="32"/>
        <v>0</v>
      </c>
    </row>
    <row r="642" spans="11:13">
      <c r="K642" s="1">
        <f t="shared" si="30"/>
        <v>0</v>
      </c>
      <c r="L642" s="1">
        <f t="shared" si="31"/>
        <v>0</v>
      </c>
      <c r="M642" s="1">
        <f t="shared" si="32"/>
        <v>0</v>
      </c>
    </row>
    <row r="643" spans="11:13">
      <c r="K643" s="1">
        <f t="shared" si="30"/>
        <v>0</v>
      </c>
      <c r="L643" s="1">
        <f t="shared" si="31"/>
        <v>0</v>
      </c>
      <c r="M643" s="1">
        <f t="shared" si="32"/>
        <v>0</v>
      </c>
    </row>
    <row r="644" spans="11:13">
      <c r="K644" s="1">
        <f t="shared" si="30"/>
        <v>0</v>
      </c>
      <c r="L644" s="1">
        <f t="shared" si="31"/>
        <v>0</v>
      </c>
      <c r="M644" s="1">
        <f t="shared" si="32"/>
        <v>0</v>
      </c>
    </row>
    <row r="645" spans="11:13">
      <c r="K645" s="1">
        <f t="shared" si="30"/>
        <v>0</v>
      </c>
      <c r="L645" s="1">
        <f t="shared" si="31"/>
        <v>0</v>
      </c>
      <c r="M645" s="1">
        <f t="shared" si="32"/>
        <v>0</v>
      </c>
    </row>
    <row r="646" spans="11:13">
      <c r="K646" s="1">
        <f t="shared" si="30"/>
        <v>0</v>
      </c>
      <c r="L646" s="1">
        <f t="shared" si="31"/>
        <v>0</v>
      </c>
      <c r="M646" s="1">
        <f t="shared" si="32"/>
        <v>0</v>
      </c>
    </row>
    <row r="647" spans="11:13">
      <c r="K647" s="1">
        <f t="shared" si="30"/>
        <v>0</v>
      </c>
      <c r="L647" s="1">
        <f t="shared" si="31"/>
        <v>0</v>
      </c>
      <c r="M647" s="1">
        <f t="shared" si="32"/>
        <v>0</v>
      </c>
    </row>
    <row r="648" spans="11:13">
      <c r="K648" s="1">
        <f t="shared" si="30"/>
        <v>0</v>
      </c>
      <c r="L648" s="1">
        <f t="shared" si="31"/>
        <v>0</v>
      </c>
      <c r="M648" s="1">
        <f t="shared" si="32"/>
        <v>0</v>
      </c>
    </row>
    <row r="649" spans="11:13">
      <c r="K649" s="1">
        <f t="shared" si="30"/>
        <v>0</v>
      </c>
      <c r="L649" s="1">
        <f t="shared" si="31"/>
        <v>0</v>
      </c>
      <c r="M649" s="1">
        <f t="shared" si="32"/>
        <v>0</v>
      </c>
    </row>
    <row r="650" spans="11:13">
      <c r="K650" s="1">
        <f t="shared" si="30"/>
        <v>0</v>
      </c>
      <c r="L650" s="1">
        <f t="shared" si="31"/>
        <v>0</v>
      </c>
      <c r="M650" s="1">
        <f t="shared" si="32"/>
        <v>0</v>
      </c>
    </row>
    <row r="651" spans="11:13">
      <c r="K651" s="1">
        <f t="shared" si="30"/>
        <v>0</v>
      </c>
      <c r="L651" s="1">
        <f t="shared" si="31"/>
        <v>0</v>
      </c>
      <c r="M651" s="1">
        <f t="shared" si="32"/>
        <v>0</v>
      </c>
    </row>
    <row r="652" spans="11:13">
      <c r="K652" s="1">
        <f t="shared" si="30"/>
        <v>0</v>
      </c>
      <c r="L652" s="1">
        <f t="shared" si="31"/>
        <v>0</v>
      </c>
      <c r="M652" s="1">
        <f t="shared" si="32"/>
        <v>0</v>
      </c>
    </row>
    <row r="653" spans="11:13">
      <c r="K653" s="1">
        <f t="shared" si="30"/>
        <v>0</v>
      </c>
      <c r="L653" s="1">
        <f t="shared" si="31"/>
        <v>0</v>
      </c>
      <c r="M653" s="1">
        <f t="shared" si="32"/>
        <v>0</v>
      </c>
    </row>
    <row r="654" spans="11:13">
      <c r="K654" s="1">
        <f t="shared" si="30"/>
        <v>0</v>
      </c>
      <c r="L654" s="1">
        <f t="shared" si="31"/>
        <v>0</v>
      </c>
      <c r="M654" s="1">
        <f t="shared" si="32"/>
        <v>0</v>
      </c>
    </row>
    <row r="655" spans="11:13">
      <c r="K655" s="1">
        <f t="shared" si="30"/>
        <v>0</v>
      </c>
      <c r="L655" s="1">
        <f t="shared" si="31"/>
        <v>0</v>
      </c>
      <c r="M655" s="1">
        <f t="shared" si="32"/>
        <v>0</v>
      </c>
    </row>
    <row r="656" spans="11:13">
      <c r="K656" s="1">
        <f t="shared" si="30"/>
        <v>0</v>
      </c>
      <c r="L656" s="1">
        <f t="shared" si="31"/>
        <v>0</v>
      </c>
      <c r="M656" s="1">
        <f t="shared" si="32"/>
        <v>0</v>
      </c>
    </row>
    <row r="657" spans="11:13">
      <c r="K657" s="1">
        <f t="shared" si="30"/>
        <v>0</v>
      </c>
      <c r="L657" s="1">
        <f t="shared" si="31"/>
        <v>0</v>
      </c>
      <c r="M657" s="1">
        <f t="shared" si="32"/>
        <v>0</v>
      </c>
    </row>
    <row r="658" spans="11:13">
      <c r="K658" s="1">
        <f t="shared" si="30"/>
        <v>0</v>
      </c>
      <c r="L658" s="1">
        <f t="shared" si="31"/>
        <v>0</v>
      </c>
      <c r="M658" s="1">
        <f t="shared" si="32"/>
        <v>0</v>
      </c>
    </row>
    <row r="659" spans="11:13">
      <c r="K659" s="1">
        <f t="shared" si="30"/>
        <v>0</v>
      </c>
      <c r="L659" s="1">
        <f t="shared" si="31"/>
        <v>0</v>
      </c>
      <c r="M659" s="1">
        <f t="shared" si="32"/>
        <v>0</v>
      </c>
    </row>
    <row r="660" spans="11:13">
      <c r="K660" s="1">
        <f t="shared" si="30"/>
        <v>0</v>
      </c>
      <c r="L660" s="1">
        <f t="shared" si="31"/>
        <v>0</v>
      </c>
      <c r="M660" s="1">
        <f t="shared" si="32"/>
        <v>0</v>
      </c>
    </row>
    <row r="661" spans="11:13">
      <c r="K661" s="1">
        <f t="shared" si="30"/>
        <v>0</v>
      </c>
      <c r="L661" s="1">
        <f t="shared" si="31"/>
        <v>0</v>
      </c>
      <c r="M661" s="1">
        <f t="shared" si="32"/>
        <v>0</v>
      </c>
    </row>
    <row r="662" spans="11:13">
      <c r="K662" s="1">
        <f t="shared" si="30"/>
        <v>0</v>
      </c>
      <c r="L662" s="1">
        <f t="shared" si="31"/>
        <v>0</v>
      </c>
      <c r="M662" s="1">
        <f t="shared" si="32"/>
        <v>0</v>
      </c>
    </row>
    <row r="663" spans="11:13">
      <c r="K663" s="1">
        <f t="shared" si="30"/>
        <v>0</v>
      </c>
      <c r="L663" s="1">
        <f t="shared" si="31"/>
        <v>0</v>
      </c>
      <c r="M663" s="1">
        <f t="shared" si="32"/>
        <v>0</v>
      </c>
    </row>
    <row r="664" spans="11:13">
      <c r="K664" s="1">
        <f t="shared" si="30"/>
        <v>0</v>
      </c>
      <c r="L664" s="1">
        <f t="shared" si="31"/>
        <v>0</v>
      </c>
      <c r="M664" s="1">
        <f t="shared" si="32"/>
        <v>0</v>
      </c>
    </row>
    <row r="665" spans="11:13">
      <c r="K665" s="1">
        <f t="shared" si="30"/>
        <v>0</v>
      </c>
      <c r="L665" s="1">
        <f t="shared" si="31"/>
        <v>0</v>
      </c>
      <c r="M665" s="1">
        <f t="shared" si="32"/>
        <v>0</v>
      </c>
    </row>
    <row r="666" spans="11:13">
      <c r="K666" s="1">
        <f t="shared" si="30"/>
        <v>0</v>
      </c>
      <c r="L666" s="1">
        <f t="shared" si="31"/>
        <v>0</v>
      </c>
      <c r="M666" s="1">
        <f t="shared" si="32"/>
        <v>0</v>
      </c>
    </row>
    <row r="667" spans="11:13">
      <c r="K667" s="1">
        <f t="shared" si="30"/>
        <v>0</v>
      </c>
      <c r="L667" s="1">
        <f t="shared" si="31"/>
        <v>0</v>
      </c>
      <c r="M667" s="1">
        <f t="shared" si="32"/>
        <v>0</v>
      </c>
    </row>
    <row r="668" spans="11:13">
      <c r="K668" s="1">
        <f t="shared" si="30"/>
        <v>0</v>
      </c>
      <c r="L668" s="1">
        <f t="shared" si="31"/>
        <v>0</v>
      </c>
      <c r="M668" s="1">
        <f t="shared" si="32"/>
        <v>0</v>
      </c>
    </row>
    <row r="669" spans="11:13">
      <c r="K669" s="1">
        <f t="shared" si="30"/>
        <v>0</v>
      </c>
      <c r="L669" s="1">
        <f t="shared" si="31"/>
        <v>0</v>
      </c>
      <c r="M669" s="1">
        <f t="shared" si="32"/>
        <v>0</v>
      </c>
    </row>
    <row r="670" spans="11:13">
      <c r="K670" s="1">
        <f t="shared" si="30"/>
        <v>0</v>
      </c>
      <c r="L670" s="1">
        <f t="shared" si="31"/>
        <v>0</v>
      </c>
      <c r="M670" s="1">
        <f t="shared" si="32"/>
        <v>0</v>
      </c>
    </row>
    <row r="671" spans="11:13">
      <c r="K671" s="1">
        <f t="shared" si="30"/>
        <v>0</v>
      </c>
      <c r="L671" s="1">
        <f t="shared" si="31"/>
        <v>0</v>
      </c>
      <c r="M671" s="1">
        <f t="shared" si="32"/>
        <v>0</v>
      </c>
    </row>
    <row r="672" spans="11:13">
      <c r="K672" s="1">
        <f t="shared" si="30"/>
        <v>0</v>
      </c>
      <c r="L672" s="1">
        <f t="shared" si="31"/>
        <v>0</v>
      </c>
      <c r="M672" s="1">
        <f t="shared" si="32"/>
        <v>0</v>
      </c>
    </row>
    <row r="673" spans="11:13">
      <c r="K673" s="1">
        <f t="shared" si="30"/>
        <v>0</v>
      </c>
      <c r="L673" s="1">
        <f t="shared" si="31"/>
        <v>0</v>
      </c>
      <c r="M673" s="1">
        <f t="shared" si="32"/>
        <v>0</v>
      </c>
    </row>
    <row r="674" spans="11:13">
      <c r="K674" s="1">
        <f t="shared" si="30"/>
        <v>0</v>
      </c>
      <c r="L674" s="1">
        <f t="shared" si="31"/>
        <v>0</v>
      </c>
      <c r="M674" s="1">
        <f t="shared" si="32"/>
        <v>0</v>
      </c>
    </row>
    <row r="675" spans="11:13">
      <c r="K675" s="1">
        <f t="shared" si="30"/>
        <v>0</v>
      </c>
      <c r="L675" s="1">
        <f t="shared" si="31"/>
        <v>0</v>
      </c>
      <c r="M675" s="1">
        <f t="shared" si="32"/>
        <v>0</v>
      </c>
    </row>
    <row r="676" spans="11:13">
      <c r="K676" s="1">
        <f t="shared" si="30"/>
        <v>0</v>
      </c>
      <c r="L676" s="1">
        <f t="shared" si="31"/>
        <v>0</v>
      </c>
      <c r="M676" s="1">
        <f t="shared" si="32"/>
        <v>0</v>
      </c>
    </row>
    <row r="677" spans="11:13">
      <c r="K677" s="1">
        <f t="shared" si="30"/>
        <v>0</v>
      </c>
      <c r="L677" s="1">
        <f t="shared" si="31"/>
        <v>0</v>
      </c>
      <c r="M677" s="1">
        <f t="shared" si="32"/>
        <v>0</v>
      </c>
    </row>
    <row r="678" spans="11:13">
      <c r="K678" s="1">
        <f t="shared" si="30"/>
        <v>0</v>
      </c>
      <c r="L678" s="1">
        <f t="shared" si="31"/>
        <v>0</v>
      </c>
      <c r="M678" s="1">
        <f t="shared" si="32"/>
        <v>0</v>
      </c>
    </row>
    <row r="679" spans="11:13">
      <c r="K679" s="1">
        <f t="shared" ref="K679:K742" si="33">J679-C679</f>
        <v>0</v>
      </c>
      <c r="L679" s="1">
        <f t="shared" ref="L679:L742" si="34">IF(C679&gt;0,C679,0)</f>
        <v>0</v>
      </c>
      <c r="M679" s="1">
        <f t="shared" ref="M679:M742" si="35">IF(C679&lt;0,C679,0)</f>
        <v>0</v>
      </c>
    </row>
    <row r="680" spans="11:13">
      <c r="K680" s="1">
        <f t="shared" si="33"/>
        <v>0</v>
      </c>
      <c r="L680" s="1">
        <f t="shared" si="34"/>
        <v>0</v>
      </c>
      <c r="M680" s="1">
        <f t="shared" si="35"/>
        <v>0</v>
      </c>
    </row>
    <row r="681" spans="11:13">
      <c r="K681" s="1">
        <f t="shared" si="33"/>
        <v>0</v>
      </c>
      <c r="L681" s="1">
        <f t="shared" si="34"/>
        <v>0</v>
      </c>
      <c r="M681" s="1">
        <f t="shared" si="35"/>
        <v>0</v>
      </c>
    </row>
    <row r="682" spans="11:13">
      <c r="K682" s="1">
        <f t="shared" si="33"/>
        <v>0</v>
      </c>
      <c r="L682" s="1">
        <f t="shared" si="34"/>
        <v>0</v>
      </c>
      <c r="M682" s="1">
        <f t="shared" si="35"/>
        <v>0</v>
      </c>
    </row>
    <row r="683" spans="11:13">
      <c r="K683" s="1">
        <f t="shared" si="33"/>
        <v>0</v>
      </c>
      <c r="L683" s="1">
        <f t="shared" si="34"/>
        <v>0</v>
      </c>
      <c r="M683" s="1">
        <f t="shared" si="35"/>
        <v>0</v>
      </c>
    </row>
    <row r="684" spans="11:13">
      <c r="K684" s="1">
        <f t="shared" si="33"/>
        <v>0</v>
      </c>
      <c r="L684" s="1">
        <f t="shared" si="34"/>
        <v>0</v>
      </c>
      <c r="M684" s="1">
        <f t="shared" si="35"/>
        <v>0</v>
      </c>
    </row>
    <row r="685" spans="11:13">
      <c r="K685" s="1">
        <f t="shared" si="33"/>
        <v>0</v>
      </c>
      <c r="L685" s="1">
        <f t="shared" si="34"/>
        <v>0</v>
      </c>
      <c r="M685" s="1">
        <f t="shared" si="35"/>
        <v>0</v>
      </c>
    </row>
    <row r="686" spans="11:13">
      <c r="K686" s="1">
        <f t="shared" si="33"/>
        <v>0</v>
      </c>
      <c r="L686" s="1">
        <f t="shared" si="34"/>
        <v>0</v>
      </c>
      <c r="M686" s="1">
        <f t="shared" si="35"/>
        <v>0</v>
      </c>
    </row>
    <row r="687" spans="11:13">
      <c r="K687" s="1">
        <f t="shared" si="33"/>
        <v>0</v>
      </c>
      <c r="L687" s="1">
        <f t="shared" si="34"/>
        <v>0</v>
      </c>
      <c r="M687" s="1">
        <f t="shared" si="35"/>
        <v>0</v>
      </c>
    </row>
    <row r="688" spans="11:13">
      <c r="K688" s="1">
        <f t="shared" si="33"/>
        <v>0</v>
      </c>
      <c r="L688" s="1">
        <f t="shared" si="34"/>
        <v>0</v>
      </c>
      <c r="M688" s="1">
        <f t="shared" si="35"/>
        <v>0</v>
      </c>
    </row>
    <row r="689" spans="11:13">
      <c r="K689" s="1">
        <f t="shared" si="33"/>
        <v>0</v>
      </c>
      <c r="L689" s="1">
        <f t="shared" si="34"/>
        <v>0</v>
      </c>
      <c r="M689" s="1">
        <f t="shared" si="35"/>
        <v>0</v>
      </c>
    </row>
    <row r="690" spans="11:13">
      <c r="K690" s="1">
        <f t="shared" si="33"/>
        <v>0</v>
      </c>
      <c r="L690" s="1">
        <f t="shared" si="34"/>
        <v>0</v>
      </c>
      <c r="M690" s="1">
        <f t="shared" si="35"/>
        <v>0</v>
      </c>
    </row>
    <row r="691" spans="11:13">
      <c r="K691" s="1">
        <f t="shared" si="33"/>
        <v>0</v>
      </c>
      <c r="L691" s="1">
        <f t="shared" si="34"/>
        <v>0</v>
      </c>
      <c r="M691" s="1">
        <f t="shared" si="35"/>
        <v>0</v>
      </c>
    </row>
    <row r="692" spans="11:13">
      <c r="K692" s="1">
        <f t="shared" si="33"/>
        <v>0</v>
      </c>
      <c r="L692" s="1">
        <f t="shared" si="34"/>
        <v>0</v>
      </c>
      <c r="M692" s="1">
        <f t="shared" si="35"/>
        <v>0</v>
      </c>
    </row>
    <row r="693" spans="11:13">
      <c r="K693" s="1">
        <f t="shared" si="33"/>
        <v>0</v>
      </c>
      <c r="L693" s="1">
        <f t="shared" si="34"/>
        <v>0</v>
      </c>
      <c r="M693" s="1">
        <f t="shared" si="35"/>
        <v>0</v>
      </c>
    </row>
    <row r="694" spans="11:13">
      <c r="K694" s="1">
        <f t="shared" si="33"/>
        <v>0</v>
      </c>
      <c r="L694" s="1">
        <f t="shared" si="34"/>
        <v>0</v>
      </c>
      <c r="M694" s="1">
        <f t="shared" si="35"/>
        <v>0</v>
      </c>
    </row>
    <row r="695" spans="11:13">
      <c r="K695" s="1">
        <f t="shared" si="33"/>
        <v>0</v>
      </c>
      <c r="L695" s="1">
        <f t="shared" si="34"/>
        <v>0</v>
      </c>
      <c r="M695" s="1">
        <f t="shared" si="35"/>
        <v>0</v>
      </c>
    </row>
    <row r="696" spans="11:13">
      <c r="K696" s="1">
        <f t="shared" si="33"/>
        <v>0</v>
      </c>
      <c r="L696" s="1">
        <f t="shared" si="34"/>
        <v>0</v>
      </c>
      <c r="M696" s="1">
        <f t="shared" si="35"/>
        <v>0</v>
      </c>
    </row>
    <row r="697" spans="11:13">
      <c r="K697" s="1">
        <f t="shared" si="33"/>
        <v>0</v>
      </c>
      <c r="L697" s="1">
        <f t="shared" si="34"/>
        <v>0</v>
      </c>
      <c r="M697" s="1">
        <f t="shared" si="35"/>
        <v>0</v>
      </c>
    </row>
    <row r="698" spans="11:13">
      <c r="K698" s="1">
        <f t="shared" si="33"/>
        <v>0</v>
      </c>
      <c r="L698" s="1">
        <f t="shared" si="34"/>
        <v>0</v>
      </c>
      <c r="M698" s="1">
        <f t="shared" si="35"/>
        <v>0</v>
      </c>
    </row>
    <row r="699" spans="11:13">
      <c r="K699" s="1">
        <f t="shared" si="33"/>
        <v>0</v>
      </c>
      <c r="L699" s="1">
        <f t="shared" si="34"/>
        <v>0</v>
      </c>
      <c r="M699" s="1">
        <f t="shared" si="35"/>
        <v>0</v>
      </c>
    </row>
    <row r="700" spans="11:13">
      <c r="K700" s="1">
        <f t="shared" si="33"/>
        <v>0</v>
      </c>
      <c r="L700" s="1">
        <f t="shared" si="34"/>
        <v>0</v>
      </c>
      <c r="M700" s="1">
        <f t="shared" si="35"/>
        <v>0</v>
      </c>
    </row>
    <row r="701" spans="11:13">
      <c r="K701" s="1">
        <f t="shared" si="33"/>
        <v>0</v>
      </c>
      <c r="L701" s="1">
        <f t="shared" si="34"/>
        <v>0</v>
      </c>
      <c r="M701" s="1">
        <f t="shared" si="35"/>
        <v>0</v>
      </c>
    </row>
    <row r="702" spans="11:13">
      <c r="K702" s="1">
        <f t="shared" si="33"/>
        <v>0</v>
      </c>
      <c r="L702" s="1">
        <f t="shared" si="34"/>
        <v>0</v>
      </c>
      <c r="M702" s="1">
        <f t="shared" si="35"/>
        <v>0</v>
      </c>
    </row>
    <row r="703" spans="11:13">
      <c r="K703" s="1">
        <f t="shared" si="33"/>
        <v>0</v>
      </c>
      <c r="L703" s="1">
        <f t="shared" si="34"/>
        <v>0</v>
      </c>
      <c r="M703" s="1">
        <f t="shared" si="35"/>
        <v>0</v>
      </c>
    </row>
    <row r="704" spans="11:13">
      <c r="K704" s="1">
        <f t="shared" si="33"/>
        <v>0</v>
      </c>
      <c r="L704" s="1">
        <f t="shared" si="34"/>
        <v>0</v>
      </c>
      <c r="M704" s="1">
        <f t="shared" si="35"/>
        <v>0</v>
      </c>
    </row>
    <row r="705" spans="11:13">
      <c r="K705" s="1">
        <f t="shared" si="33"/>
        <v>0</v>
      </c>
      <c r="L705" s="1">
        <f t="shared" si="34"/>
        <v>0</v>
      </c>
      <c r="M705" s="1">
        <f t="shared" si="35"/>
        <v>0</v>
      </c>
    </row>
    <row r="706" spans="11:13">
      <c r="K706" s="1">
        <f t="shared" si="33"/>
        <v>0</v>
      </c>
      <c r="L706" s="1">
        <f t="shared" si="34"/>
        <v>0</v>
      </c>
      <c r="M706" s="1">
        <f t="shared" si="35"/>
        <v>0</v>
      </c>
    </row>
    <row r="707" spans="11:13">
      <c r="K707" s="1">
        <f t="shared" si="33"/>
        <v>0</v>
      </c>
      <c r="L707" s="1">
        <f t="shared" si="34"/>
        <v>0</v>
      </c>
      <c r="M707" s="1">
        <f t="shared" si="35"/>
        <v>0</v>
      </c>
    </row>
    <row r="708" spans="11:13">
      <c r="K708" s="1">
        <f t="shared" si="33"/>
        <v>0</v>
      </c>
      <c r="L708" s="1">
        <f t="shared" si="34"/>
        <v>0</v>
      </c>
      <c r="M708" s="1">
        <f t="shared" si="35"/>
        <v>0</v>
      </c>
    </row>
    <row r="709" spans="11:13">
      <c r="K709" s="1">
        <f t="shared" si="33"/>
        <v>0</v>
      </c>
      <c r="L709" s="1">
        <f t="shared" si="34"/>
        <v>0</v>
      </c>
      <c r="M709" s="1">
        <f t="shared" si="35"/>
        <v>0</v>
      </c>
    </row>
    <row r="710" spans="11:13">
      <c r="K710" s="1">
        <f t="shared" si="33"/>
        <v>0</v>
      </c>
      <c r="L710" s="1">
        <f t="shared" si="34"/>
        <v>0</v>
      </c>
      <c r="M710" s="1">
        <f t="shared" si="35"/>
        <v>0</v>
      </c>
    </row>
    <row r="711" spans="11:13">
      <c r="K711" s="1">
        <f t="shared" si="33"/>
        <v>0</v>
      </c>
      <c r="L711" s="1">
        <f t="shared" si="34"/>
        <v>0</v>
      </c>
      <c r="M711" s="1">
        <f t="shared" si="35"/>
        <v>0</v>
      </c>
    </row>
    <row r="712" spans="11:13">
      <c r="K712" s="1">
        <f t="shared" si="33"/>
        <v>0</v>
      </c>
      <c r="L712" s="1">
        <f t="shared" si="34"/>
        <v>0</v>
      </c>
      <c r="M712" s="1">
        <f t="shared" si="35"/>
        <v>0</v>
      </c>
    </row>
    <row r="713" spans="11:13">
      <c r="K713" s="1">
        <f t="shared" si="33"/>
        <v>0</v>
      </c>
      <c r="L713" s="1">
        <f t="shared" si="34"/>
        <v>0</v>
      </c>
      <c r="M713" s="1">
        <f t="shared" si="35"/>
        <v>0</v>
      </c>
    </row>
    <row r="714" spans="11:13">
      <c r="K714" s="1">
        <f t="shared" si="33"/>
        <v>0</v>
      </c>
      <c r="L714" s="1">
        <f t="shared" si="34"/>
        <v>0</v>
      </c>
      <c r="M714" s="1">
        <f t="shared" si="35"/>
        <v>0</v>
      </c>
    </row>
    <row r="715" spans="11:13">
      <c r="K715" s="1">
        <f t="shared" si="33"/>
        <v>0</v>
      </c>
      <c r="L715" s="1">
        <f t="shared" si="34"/>
        <v>0</v>
      </c>
      <c r="M715" s="1">
        <f t="shared" si="35"/>
        <v>0</v>
      </c>
    </row>
    <row r="716" spans="11:13">
      <c r="K716" s="1">
        <f t="shared" si="33"/>
        <v>0</v>
      </c>
      <c r="L716" s="1">
        <f t="shared" si="34"/>
        <v>0</v>
      </c>
      <c r="M716" s="1">
        <f t="shared" si="35"/>
        <v>0</v>
      </c>
    </row>
    <row r="717" spans="11:13">
      <c r="K717" s="1">
        <f t="shared" si="33"/>
        <v>0</v>
      </c>
      <c r="L717" s="1">
        <f t="shared" si="34"/>
        <v>0</v>
      </c>
      <c r="M717" s="1">
        <f t="shared" si="35"/>
        <v>0</v>
      </c>
    </row>
    <row r="718" spans="11:13">
      <c r="K718" s="1">
        <f t="shared" si="33"/>
        <v>0</v>
      </c>
      <c r="L718" s="1">
        <f t="shared" si="34"/>
        <v>0</v>
      </c>
      <c r="M718" s="1">
        <f t="shared" si="35"/>
        <v>0</v>
      </c>
    </row>
    <row r="719" spans="11:13">
      <c r="K719" s="1">
        <f t="shared" si="33"/>
        <v>0</v>
      </c>
      <c r="L719" s="1">
        <f t="shared" si="34"/>
        <v>0</v>
      </c>
      <c r="M719" s="1">
        <f t="shared" si="35"/>
        <v>0</v>
      </c>
    </row>
    <row r="720" spans="11:13">
      <c r="K720" s="1">
        <f t="shared" si="33"/>
        <v>0</v>
      </c>
      <c r="L720" s="1">
        <f t="shared" si="34"/>
        <v>0</v>
      </c>
      <c r="M720" s="1">
        <f t="shared" si="35"/>
        <v>0</v>
      </c>
    </row>
    <row r="721" spans="11:13">
      <c r="K721" s="1">
        <f t="shared" si="33"/>
        <v>0</v>
      </c>
      <c r="L721" s="1">
        <f t="shared" si="34"/>
        <v>0</v>
      </c>
      <c r="M721" s="1">
        <f t="shared" si="35"/>
        <v>0</v>
      </c>
    </row>
    <row r="722" spans="11:13">
      <c r="K722" s="1">
        <f t="shared" si="33"/>
        <v>0</v>
      </c>
      <c r="L722" s="1">
        <f t="shared" si="34"/>
        <v>0</v>
      </c>
      <c r="M722" s="1">
        <f t="shared" si="35"/>
        <v>0</v>
      </c>
    </row>
    <row r="723" spans="11:13">
      <c r="K723" s="1">
        <f t="shared" si="33"/>
        <v>0</v>
      </c>
      <c r="L723" s="1">
        <f t="shared" si="34"/>
        <v>0</v>
      </c>
      <c r="M723" s="1">
        <f t="shared" si="35"/>
        <v>0</v>
      </c>
    </row>
    <row r="724" spans="11:13">
      <c r="K724" s="1">
        <f t="shared" si="33"/>
        <v>0</v>
      </c>
      <c r="L724" s="1">
        <f t="shared" si="34"/>
        <v>0</v>
      </c>
      <c r="M724" s="1">
        <f t="shared" si="35"/>
        <v>0</v>
      </c>
    </row>
    <row r="725" spans="11:13">
      <c r="K725" s="1">
        <f t="shared" si="33"/>
        <v>0</v>
      </c>
      <c r="L725" s="1">
        <f t="shared" si="34"/>
        <v>0</v>
      </c>
      <c r="M725" s="1">
        <f t="shared" si="35"/>
        <v>0</v>
      </c>
    </row>
    <row r="726" spans="11:13">
      <c r="K726" s="1">
        <f t="shared" si="33"/>
        <v>0</v>
      </c>
      <c r="L726" s="1">
        <f t="shared" si="34"/>
        <v>0</v>
      </c>
      <c r="M726" s="1">
        <f t="shared" si="35"/>
        <v>0</v>
      </c>
    </row>
    <row r="727" spans="11:13">
      <c r="K727" s="1">
        <f t="shared" si="33"/>
        <v>0</v>
      </c>
      <c r="L727" s="1">
        <f t="shared" si="34"/>
        <v>0</v>
      </c>
      <c r="M727" s="1">
        <f t="shared" si="35"/>
        <v>0</v>
      </c>
    </row>
    <row r="728" spans="11:13">
      <c r="K728" s="1">
        <f t="shared" si="33"/>
        <v>0</v>
      </c>
      <c r="L728" s="1">
        <f t="shared" si="34"/>
        <v>0</v>
      </c>
      <c r="M728" s="1">
        <f t="shared" si="35"/>
        <v>0</v>
      </c>
    </row>
    <row r="729" spans="11:13">
      <c r="K729" s="1">
        <f t="shared" si="33"/>
        <v>0</v>
      </c>
      <c r="L729" s="1">
        <f t="shared" si="34"/>
        <v>0</v>
      </c>
      <c r="M729" s="1">
        <f t="shared" si="35"/>
        <v>0</v>
      </c>
    </row>
    <row r="730" spans="11:13">
      <c r="K730" s="1">
        <f t="shared" si="33"/>
        <v>0</v>
      </c>
      <c r="L730" s="1">
        <f t="shared" si="34"/>
        <v>0</v>
      </c>
      <c r="M730" s="1">
        <f t="shared" si="35"/>
        <v>0</v>
      </c>
    </row>
    <row r="731" spans="11:13">
      <c r="K731" s="1">
        <f t="shared" si="33"/>
        <v>0</v>
      </c>
      <c r="L731" s="1">
        <f t="shared" si="34"/>
        <v>0</v>
      </c>
      <c r="M731" s="1">
        <f t="shared" si="35"/>
        <v>0</v>
      </c>
    </row>
    <row r="732" spans="11:13">
      <c r="K732" s="1">
        <f t="shared" si="33"/>
        <v>0</v>
      </c>
      <c r="L732" s="1">
        <f t="shared" si="34"/>
        <v>0</v>
      </c>
      <c r="M732" s="1">
        <f t="shared" si="35"/>
        <v>0</v>
      </c>
    </row>
    <row r="733" spans="11:13">
      <c r="K733" s="1">
        <f t="shared" si="33"/>
        <v>0</v>
      </c>
      <c r="L733" s="1">
        <f t="shared" si="34"/>
        <v>0</v>
      </c>
      <c r="M733" s="1">
        <f t="shared" si="35"/>
        <v>0</v>
      </c>
    </row>
    <row r="734" spans="11:13">
      <c r="K734" s="1">
        <f t="shared" si="33"/>
        <v>0</v>
      </c>
      <c r="L734" s="1">
        <f t="shared" si="34"/>
        <v>0</v>
      </c>
      <c r="M734" s="1">
        <f t="shared" si="35"/>
        <v>0</v>
      </c>
    </row>
    <row r="735" spans="11:13">
      <c r="K735" s="1">
        <f t="shared" si="33"/>
        <v>0</v>
      </c>
      <c r="L735" s="1">
        <f t="shared" si="34"/>
        <v>0</v>
      </c>
      <c r="M735" s="1">
        <f t="shared" si="35"/>
        <v>0</v>
      </c>
    </row>
    <row r="736" spans="11:13">
      <c r="K736" s="1">
        <f t="shared" si="33"/>
        <v>0</v>
      </c>
      <c r="L736" s="1">
        <f t="shared" si="34"/>
        <v>0</v>
      </c>
      <c r="M736" s="1">
        <f t="shared" si="35"/>
        <v>0</v>
      </c>
    </row>
    <row r="737" spans="11:13">
      <c r="K737" s="1">
        <f t="shared" si="33"/>
        <v>0</v>
      </c>
      <c r="L737" s="1">
        <f t="shared" si="34"/>
        <v>0</v>
      </c>
      <c r="M737" s="1">
        <f t="shared" si="35"/>
        <v>0</v>
      </c>
    </row>
    <row r="738" spans="11:13">
      <c r="K738" s="1">
        <f t="shared" si="33"/>
        <v>0</v>
      </c>
      <c r="L738" s="1">
        <f t="shared" si="34"/>
        <v>0</v>
      </c>
      <c r="M738" s="1">
        <f t="shared" si="35"/>
        <v>0</v>
      </c>
    </row>
    <row r="739" spans="11:13">
      <c r="K739" s="1">
        <f t="shared" si="33"/>
        <v>0</v>
      </c>
      <c r="L739" s="1">
        <f t="shared" si="34"/>
        <v>0</v>
      </c>
      <c r="M739" s="1">
        <f t="shared" si="35"/>
        <v>0</v>
      </c>
    </row>
    <row r="740" spans="11:13">
      <c r="K740" s="1">
        <f t="shared" si="33"/>
        <v>0</v>
      </c>
      <c r="L740" s="1">
        <f t="shared" si="34"/>
        <v>0</v>
      </c>
      <c r="M740" s="1">
        <f t="shared" si="35"/>
        <v>0</v>
      </c>
    </row>
    <row r="741" spans="11:13">
      <c r="K741" s="1">
        <f t="shared" si="33"/>
        <v>0</v>
      </c>
      <c r="L741" s="1">
        <f t="shared" si="34"/>
        <v>0</v>
      </c>
      <c r="M741" s="1">
        <f t="shared" si="35"/>
        <v>0</v>
      </c>
    </row>
    <row r="742" spans="11:13">
      <c r="K742" s="1">
        <f t="shared" si="33"/>
        <v>0</v>
      </c>
      <c r="L742" s="1">
        <f t="shared" si="34"/>
        <v>0</v>
      </c>
      <c r="M742" s="1">
        <f t="shared" si="35"/>
        <v>0</v>
      </c>
    </row>
    <row r="743" spans="11:13">
      <c r="K743" s="1">
        <f t="shared" ref="K743:K806" si="36">J743-C743</f>
        <v>0</v>
      </c>
      <c r="L743" s="1">
        <f t="shared" ref="L743:L806" si="37">IF(C743&gt;0,C743,0)</f>
        <v>0</v>
      </c>
      <c r="M743" s="1">
        <f t="shared" ref="M743:M806" si="38">IF(C743&lt;0,C743,0)</f>
        <v>0</v>
      </c>
    </row>
    <row r="744" spans="11:13">
      <c r="K744" s="1">
        <f t="shared" si="36"/>
        <v>0</v>
      </c>
      <c r="L744" s="1">
        <f t="shared" si="37"/>
        <v>0</v>
      </c>
      <c r="M744" s="1">
        <f t="shared" si="38"/>
        <v>0</v>
      </c>
    </row>
    <row r="745" spans="11:13">
      <c r="K745" s="1">
        <f t="shared" si="36"/>
        <v>0</v>
      </c>
      <c r="L745" s="1">
        <f t="shared" si="37"/>
        <v>0</v>
      </c>
      <c r="M745" s="1">
        <f t="shared" si="38"/>
        <v>0</v>
      </c>
    </row>
    <row r="746" spans="11:13">
      <c r="K746" s="1">
        <f t="shared" si="36"/>
        <v>0</v>
      </c>
      <c r="L746" s="1">
        <f t="shared" si="37"/>
        <v>0</v>
      </c>
      <c r="M746" s="1">
        <f t="shared" si="38"/>
        <v>0</v>
      </c>
    </row>
    <row r="747" spans="11:13">
      <c r="K747" s="1">
        <f t="shared" si="36"/>
        <v>0</v>
      </c>
      <c r="L747" s="1">
        <f t="shared" si="37"/>
        <v>0</v>
      </c>
      <c r="M747" s="1">
        <f t="shared" si="38"/>
        <v>0</v>
      </c>
    </row>
    <row r="748" spans="11:13">
      <c r="K748" s="1">
        <f t="shared" si="36"/>
        <v>0</v>
      </c>
      <c r="L748" s="1">
        <f t="shared" si="37"/>
        <v>0</v>
      </c>
      <c r="M748" s="1">
        <f t="shared" si="38"/>
        <v>0</v>
      </c>
    </row>
    <row r="749" spans="11:13">
      <c r="K749" s="1">
        <f t="shared" si="36"/>
        <v>0</v>
      </c>
      <c r="L749" s="1">
        <f t="shared" si="37"/>
        <v>0</v>
      </c>
      <c r="M749" s="1">
        <f t="shared" si="38"/>
        <v>0</v>
      </c>
    </row>
    <row r="750" spans="11:13">
      <c r="K750" s="1">
        <f t="shared" si="36"/>
        <v>0</v>
      </c>
      <c r="L750" s="1">
        <f t="shared" si="37"/>
        <v>0</v>
      </c>
      <c r="M750" s="1">
        <f t="shared" si="38"/>
        <v>0</v>
      </c>
    </row>
    <row r="751" spans="11:13">
      <c r="K751" s="1">
        <f t="shared" si="36"/>
        <v>0</v>
      </c>
      <c r="L751" s="1">
        <f t="shared" si="37"/>
        <v>0</v>
      </c>
      <c r="M751" s="1">
        <f t="shared" si="38"/>
        <v>0</v>
      </c>
    </row>
    <row r="752" spans="11:13">
      <c r="K752" s="1">
        <f t="shared" si="36"/>
        <v>0</v>
      </c>
      <c r="L752" s="1">
        <f t="shared" si="37"/>
        <v>0</v>
      </c>
      <c r="M752" s="1">
        <f t="shared" si="38"/>
        <v>0</v>
      </c>
    </row>
    <row r="753" spans="11:13">
      <c r="K753" s="1">
        <f t="shared" si="36"/>
        <v>0</v>
      </c>
      <c r="L753" s="1">
        <f t="shared" si="37"/>
        <v>0</v>
      </c>
      <c r="M753" s="1">
        <f t="shared" si="38"/>
        <v>0</v>
      </c>
    </row>
    <row r="754" spans="11:13">
      <c r="K754" s="1">
        <f t="shared" si="36"/>
        <v>0</v>
      </c>
      <c r="L754" s="1">
        <f t="shared" si="37"/>
        <v>0</v>
      </c>
      <c r="M754" s="1">
        <f t="shared" si="38"/>
        <v>0</v>
      </c>
    </row>
    <row r="755" spans="11:13">
      <c r="K755" s="1">
        <f t="shared" si="36"/>
        <v>0</v>
      </c>
      <c r="L755" s="1">
        <f t="shared" si="37"/>
        <v>0</v>
      </c>
      <c r="M755" s="1">
        <f t="shared" si="38"/>
        <v>0</v>
      </c>
    </row>
    <row r="756" spans="11:13">
      <c r="K756" s="1">
        <f t="shared" si="36"/>
        <v>0</v>
      </c>
      <c r="L756" s="1">
        <f t="shared" si="37"/>
        <v>0</v>
      </c>
      <c r="M756" s="1">
        <f t="shared" si="38"/>
        <v>0</v>
      </c>
    </row>
    <row r="757" spans="11:13">
      <c r="K757" s="1">
        <f t="shared" si="36"/>
        <v>0</v>
      </c>
      <c r="L757" s="1">
        <f t="shared" si="37"/>
        <v>0</v>
      </c>
      <c r="M757" s="1">
        <f t="shared" si="38"/>
        <v>0</v>
      </c>
    </row>
    <row r="758" spans="11:13">
      <c r="K758" s="1">
        <f t="shared" si="36"/>
        <v>0</v>
      </c>
      <c r="L758" s="1">
        <f t="shared" si="37"/>
        <v>0</v>
      </c>
      <c r="M758" s="1">
        <f t="shared" si="38"/>
        <v>0</v>
      </c>
    </row>
    <row r="759" spans="11:13">
      <c r="K759" s="1">
        <f t="shared" si="36"/>
        <v>0</v>
      </c>
      <c r="L759" s="1">
        <f t="shared" si="37"/>
        <v>0</v>
      </c>
      <c r="M759" s="1">
        <f t="shared" si="38"/>
        <v>0</v>
      </c>
    </row>
    <row r="760" spans="11:13">
      <c r="K760" s="1">
        <f t="shared" si="36"/>
        <v>0</v>
      </c>
      <c r="L760" s="1">
        <f t="shared" si="37"/>
        <v>0</v>
      </c>
      <c r="M760" s="1">
        <f t="shared" si="38"/>
        <v>0</v>
      </c>
    </row>
    <row r="761" spans="11:13">
      <c r="K761" s="1">
        <f t="shared" si="36"/>
        <v>0</v>
      </c>
      <c r="L761" s="1">
        <f t="shared" si="37"/>
        <v>0</v>
      </c>
      <c r="M761" s="1">
        <f t="shared" si="38"/>
        <v>0</v>
      </c>
    </row>
    <row r="762" spans="11:13">
      <c r="K762" s="1">
        <f t="shared" si="36"/>
        <v>0</v>
      </c>
      <c r="L762" s="1">
        <f t="shared" si="37"/>
        <v>0</v>
      </c>
      <c r="M762" s="1">
        <f t="shared" si="38"/>
        <v>0</v>
      </c>
    </row>
    <row r="763" spans="11:13">
      <c r="K763" s="1">
        <f t="shared" si="36"/>
        <v>0</v>
      </c>
      <c r="L763" s="1">
        <f t="shared" si="37"/>
        <v>0</v>
      </c>
      <c r="M763" s="1">
        <f t="shared" si="38"/>
        <v>0</v>
      </c>
    </row>
    <row r="764" spans="11:13">
      <c r="K764" s="1">
        <f t="shared" si="36"/>
        <v>0</v>
      </c>
      <c r="L764" s="1">
        <f t="shared" si="37"/>
        <v>0</v>
      </c>
      <c r="M764" s="1">
        <f t="shared" si="38"/>
        <v>0</v>
      </c>
    </row>
    <row r="765" spans="11:13">
      <c r="K765" s="1">
        <f t="shared" si="36"/>
        <v>0</v>
      </c>
      <c r="L765" s="1">
        <f t="shared" si="37"/>
        <v>0</v>
      </c>
      <c r="M765" s="1">
        <f t="shared" si="38"/>
        <v>0</v>
      </c>
    </row>
    <row r="766" spans="11:13">
      <c r="K766" s="1">
        <f t="shared" si="36"/>
        <v>0</v>
      </c>
      <c r="L766" s="1">
        <f t="shared" si="37"/>
        <v>0</v>
      </c>
      <c r="M766" s="1">
        <f t="shared" si="38"/>
        <v>0</v>
      </c>
    </row>
    <row r="767" spans="11:13">
      <c r="K767" s="1">
        <f t="shared" si="36"/>
        <v>0</v>
      </c>
      <c r="L767" s="1">
        <f t="shared" si="37"/>
        <v>0</v>
      </c>
      <c r="M767" s="1">
        <f t="shared" si="38"/>
        <v>0</v>
      </c>
    </row>
    <row r="768" spans="11:13">
      <c r="K768" s="1">
        <f t="shared" si="36"/>
        <v>0</v>
      </c>
      <c r="L768" s="1">
        <f t="shared" si="37"/>
        <v>0</v>
      </c>
      <c r="M768" s="1">
        <f t="shared" si="38"/>
        <v>0</v>
      </c>
    </row>
    <row r="769" spans="11:13">
      <c r="K769" s="1">
        <f t="shared" si="36"/>
        <v>0</v>
      </c>
      <c r="L769" s="1">
        <f t="shared" si="37"/>
        <v>0</v>
      </c>
      <c r="M769" s="1">
        <f t="shared" si="38"/>
        <v>0</v>
      </c>
    </row>
    <row r="770" spans="11:13">
      <c r="K770" s="1">
        <f t="shared" si="36"/>
        <v>0</v>
      </c>
      <c r="L770" s="1">
        <f t="shared" si="37"/>
        <v>0</v>
      </c>
      <c r="M770" s="1">
        <f t="shared" si="38"/>
        <v>0</v>
      </c>
    </row>
    <row r="771" spans="11:13">
      <c r="K771" s="1">
        <f t="shared" si="36"/>
        <v>0</v>
      </c>
      <c r="L771" s="1">
        <f t="shared" si="37"/>
        <v>0</v>
      </c>
      <c r="M771" s="1">
        <f t="shared" si="38"/>
        <v>0</v>
      </c>
    </row>
    <row r="772" spans="11:13">
      <c r="K772" s="1">
        <f t="shared" si="36"/>
        <v>0</v>
      </c>
      <c r="L772" s="1">
        <f t="shared" si="37"/>
        <v>0</v>
      </c>
      <c r="M772" s="1">
        <f t="shared" si="38"/>
        <v>0</v>
      </c>
    </row>
    <row r="773" spans="11:13">
      <c r="K773" s="1">
        <f t="shared" si="36"/>
        <v>0</v>
      </c>
      <c r="L773" s="1">
        <f t="shared" si="37"/>
        <v>0</v>
      </c>
      <c r="M773" s="1">
        <f t="shared" si="38"/>
        <v>0</v>
      </c>
    </row>
    <row r="774" spans="11:13">
      <c r="K774" s="1">
        <f t="shared" si="36"/>
        <v>0</v>
      </c>
      <c r="L774" s="1">
        <f t="shared" si="37"/>
        <v>0</v>
      </c>
      <c r="M774" s="1">
        <f t="shared" si="38"/>
        <v>0</v>
      </c>
    </row>
    <row r="775" spans="11:13">
      <c r="K775" s="1">
        <f t="shared" si="36"/>
        <v>0</v>
      </c>
      <c r="L775" s="1">
        <f t="shared" si="37"/>
        <v>0</v>
      </c>
      <c r="M775" s="1">
        <f t="shared" si="38"/>
        <v>0</v>
      </c>
    </row>
    <row r="776" spans="11:13">
      <c r="K776" s="1">
        <f t="shared" si="36"/>
        <v>0</v>
      </c>
      <c r="L776" s="1">
        <f t="shared" si="37"/>
        <v>0</v>
      </c>
      <c r="M776" s="1">
        <f t="shared" si="38"/>
        <v>0</v>
      </c>
    </row>
    <row r="777" spans="11:13">
      <c r="K777" s="1">
        <f t="shared" si="36"/>
        <v>0</v>
      </c>
      <c r="L777" s="1">
        <f t="shared" si="37"/>
        <v>0</v>
      </c>
      <c r="M777" s="1">
        <f t="shared" si="38"/>
        <v>0</v>
      </c>
    </row>
    <row r="778" spans="11:13">
      <c r="K778" s="1">
        <f t="shared" si="36"/>
        <v>0</v>
      </c>
      <c r="L778" s="1">
        <f t="shared" si="37"/>
        <v>0</v>
      </c>
      <c r="M778" s="1">
        <f t="shared" si="38"/>
        <v>0</v>
      </c>
    </row>
    <row r="779" spans="11:13">
      <c r="K779" s="1">
        <f t="shared" si="36"/>
        <v>0</v>
      </c>
      <c r="L779" s="1">
        <f t="shared" si="37"/>
        <v>0</v>
      </c>
      <c r="M779" s="1">
        <f t="shared" si="38"/>
        <v>0</v>
      </c>
    </row>
    <row r="780" spans="11:13">
      <c r="K780" s="1">
        <f t="shared" si="36"/>
        <v>0</v>
      </c>
      <c r="L780" s="1">
        <f t="shared" si="37"/>
        <v>0</v>
      </c>
      <c r="M780" s="1">
        <f t="shared" si="38"/>
        <v>0</v>
      </c>
    </row>
    <row r="781" spans="11:13">
      <c r="K781" s="1">
        <f t="shared" si="36"/>
        <v>0</v>
      </c>
      <c r="L781" s="1">
        <f t="shared" si="37"/>
        <v>0</v>
      </c>
      <c r="M781" s="1">
        <f t="shared" si="38"/>
        <v>0</v>
      </c>
    </row>
    <row r="782" spans="11:13">
      <c r="K782" s="1">
        <f t="shared" si="36"/>
        <v>0</v>
      </c>
      <c r="L782" s="1">
        <f t="shared" si="37"/>
        <v>0</v>
      </c>
      <c r="M782" s="1">
        <f t="shared" si="38"/>
        <v>0</v>
      </c>
    </row>
    <row r="783" spans="11:13">
      <c r="K783" s="1">
        <f t="shared" si="36"/>
        <v>0</v>
      </c>
      <c r="L783" s="1">
        <f t="shared" si="37"/>
        <v>0</v>
      </c>
      <c r="M783" s="1">
        <f t="shared" si="38"/>
        <v>0</v>
      </c>
    </row>
    <row r="784" spans="11:13">
      <c r="K784" s="1">
        <f t="shared" si="36"/>
        <v>0</v>
      </c>
      <c r="L784" s="1">
        <f t="shared" si="37"/>
        <v>0</v>
      </c>
      <c r="M784" s="1">
        <f t="shared" si="38"/>
        <v>0</v>
      </c>
    </row>
    <row r="785" spans="11:13">
      <c r="K785" s="1">
        <f t="shared" si="36"/>
        <v>0</v>
      </c>
      <c r="L785" s="1">
        <f t="shared" si="37"/>
        <v>0</v>
      </c>
      <c r="M785" s="1">
        <f t="shared" si="38"/>
        <v>0</v>
      </c>
    </row>
    <row r="786" spans="11:13">
      <c r="K786" s="1">
        <f t="shared" si="36"/>
        <v>0</v>
      </c>
      <c r="L786" s="1">
        <f t="shared" si="37"/>
        <v>0</v>
      </c>
      <c r="M786" s="1">
        <f t="shared" si="38"/>
        <v>0</v>
      </c>
    </row>
    <row r="787" spans="11:13">
      <c r="K787" s="1">
        <f t="shared" si="36"/>
        <v>0</v>
      </c>
      <c r="L787" s="1">
        <f t="shared" si="37"/>
        <v>0</v>
      </c>
      <c r="M787" s="1">
        <f t="shared" si="38"/>
        <v>0</v>
      </c>
    </row>
    <row r="788" spans="11:13">
      <c r="K788" s="1">
        <f t="shared" si="36"/>
        <v>0</v>
      </c>
      <c r="L788" s="1">
        <f t="shared" si="37"/>
        <v>0</v>
      </c>
      <c r="M788" s="1">
        <f t="shared" si="38"/>
        <v>0</v>
      </c>
    </row>
    <row r="789" spans="11:13">
      <c r="K789" s="1">
        <f t="shared" si="36"/>
        <v>0</v>
      </c>
      <c r="L789" s="1">
        <f t="shared" si="37"/>
        <v>0</v>
      </c>
      <c r="M789" s="1">
        <f t="shared" si="38"/>
        <v>0</v>
      </c>
    </row>
    <row r="790" spans="11:13">
      <c r="K790" s="1">
        <f t="shared" si="36"/>
        <v>0</v>
      </c>
      <c r="L790" s="1">
        <f t="shared" si="37"/>
        <v>0</v>
      </c>
      <c r="M790" s="1">
        <f t="shared" si="38"/>
        <v>0</v>
      </c>
    </row>
    <row r="791" spans="11:13">
      <c r="K791" s="1">
        <f t="shared" si="36"/>
        <v>0</v>
      </c>
      <c r="L791" s="1">
        <f t="shared" si="37"/>
        <v>0</v>
      </c>
      <c r="M791" s="1">
        <f t="shared" si="38"/>
        <v>0</v>
      </c>
    </row>
    <row r="792" spans="11:13">
      <c r="K792" s="1">
        <f t="shared" si="36"/>
        <v>0</v>
      </c>
      <c r="L792" s="1">
        <f t="shared" si="37"/>
        <v>0</v>
      </c>
      <c r="M792" s="1">
        <f t="shared" si="38"/>
        <v>0</v>
      </c>
    </row>
    <row r="793" spans="11:13">
      <c r="K793" s="1">
        <f t="shared" si="36"/>
        <v>0</v>
      </c>
      <c r="L793" s="1">
        <f t="shared" si="37"/>
        <v>0</v>
      </c>
      <c r="M793" s="1">
        <f t="shared" si="38"/>
        <v>0</v>
      </c>
    </row>
    <row r="794" spans="11:13">
      <c r="K794" s="1">
        <f t="shared" si="36"/>
        <v>0</v>
      </c>
      <c r="L794" s="1">
        <f t="shared" si="37"/>
        <v>0</v>
      </c>
      <c r="M794" s="1">
        <f t="shared" si="38"/>
        <v>0</v>
      </c>
    </row>
    <row r="795" spans="11:13">
      <c r="K795" s="1">
        <f t="shared" si="36"/>
        <v>0</v>
      </c>
      <c r="L795" s="1">
        <f t="shared" si="37"/>
        <v>0</v>
      </c>
      <c r="M795" s="1">
        <f t="shared" si="38"/>
        <v>0</v>
      </c>
    </row>
    <row r="796" spans="11:13">
      <c r="K796" s="1">
        <f t="shared" si="36"/>
        <v>0</v>
      </c>
      <c r="L796" s="1">
        <f t="shared" si="37"/>
        <v>0</v>
      </c>
      <c r="M796" s="1">
        <f t="shared" si="38"/>
        <v>0</v>
      </c>
    </row>
    <row r="797" spans="11:13">
      <c r="K797" s="1">
        <f t="shared" si="36"/>
        <v>0</v>
      </c>
      <c r="L797" s="1">
        <f t="shared" si="37"/>
        <v>0</v>
      </c>
      <c r="M797" s="1">
        <f t="shared" si="38"/>
        <v>0</v>
      </c>
    </row>
    <row r="798" spans="11:13">
      <c r="K798" s="1">
        <f t="shared" si="36"/>
        <v>0</v>
      </c>
      <c r="L798" s="1">
        <f t="shared" si="37"/>
        <v>0</v>
      </c>
      <c r="M798" s="1">
        <f t="shared" si="38"/>
        <v>0</v>
      </c>
    </row>
    <row r="799" spans="11:13">
      <c r="K799" s="1">
        <f t="shared" si="36"/>
        <v>0</v>
      </c>
      <c r="L799" s="1">
        <f t="shared" si="37"/>
        <v>0</v>
      </c>
      <c r="M799" s="1">
        <f t="shared" si="38"/>
        <v>0</v>
      </c>
    </row>
    <row r="800" spans="11:13">
      <c r="K800" s="1">
        <f t="shared" si="36"/>
        <v>0</v>
      </c>
      <c r="L800" s="1">
        <f t="shared" si="37"/>
        <v>0</v>
      </c>
      <c r="M800" s="1">
        <f t="shared" si="38"/>
        <v>0</v>
      </c>
    </row>
    <row r="801" spans="11:13">
      <c r="K801" s="1">
        <f t="shared" si="36"/>
        <v>0</v>
      </c>
      <c r="L801" s="1">
        <f t="shared" si="37"/>
        <v>0</v>
      </c>
      <c r="M801" s="1">
        <f t="shared" si="38"/>
        <v>0</v>
      </c>
    </row>
    <row r="802" spans="11:13">
      <c r="K802" s="1">
        <f t="shared" si="36"/>
        <v>0</v>
      </c>
      <c r="L802" s="1">
        <f t="shared" si="37"/>
        <v>0</v>
      </c>
      <c r="M802" s="1">
        <f t="shared" si="38"/>
        <v>0</v>
      </c>
    </row>
    <row r="803" spans="11:13">
      <c r="K803" s="1">
        <f t="shared" si="36"/>
        <v>0</v>
      </c>
      <c r="L803" s="1">
        <f t="shared" si="37"/>
        <v>0</v>
      </c>
      <c r="M803" s="1">
        <f t="shared" si="38"/>
        <v>0</v>
      </c>
    </row>
    <row r="804" spans="11:13">
      <c r="K804" s="1">
        <f t="shared" si="36"/>
        <v>0</v>
      </c>
      <c r="L804" s="1">
        <f t="shared" si="37"/>
        <v>0</v>
      </c>
      <c r="M804" s="1">
        <f t="shared" si="38"/>
        <v>0</v>
      </c>
    </row>
    <row r="805" spans="11:13">
      <c r="K805" s="1">
        <f t="shared" si="36"/>
        <v>0</v>
      </c>
      <c r="L805" s="1">
        <f t="shared" si="37"/>
        <v>0</v>
      </c>
      <c r="M805" s="1">
        <f t="shared" si="38"/>
        <v>0</v>
      </c>
    </row>
    <row r="806" spans="11:13">
      <c r="K806" s="1">
        <f t="shared" si="36"/>
        <v>0</v>
      </c>
      <c r="L806" s="1">
        <f t="shared" si="37"/>
        <v>0</v>
      </c>
      <c r="M806" s="1">
        <f t="shared" si="38"/>
        <v>0</v>
      </c>
    </row>
    <row r="807" spans="11:13">
      <c r="K807" s="1">
        <f t="shared" ref="K807:K870" si="39">J807-C807</f>
        <v>0</v>
      </c>
      <c r="L807" s="1">
        <f t="shared" ref="L807:L870" si="40">IF(C807&gt;0,C807,0)</f>
        <v>0</v>
      </c>
      <c r="M807" s="1">
        <f t="shared" ref="M807:M870" si="41">IF(C807&lt;0,C807,0)</f>
        <v>0</v>
      </c>
    </row>
    <row r="808" spans="11:13">
      <c r="K808" s="1">
        <f t="shared" si="39"/>
        <v>0</v>
      </c>
      <c r="L808" s="1">
        <f t="shared" si="40"/>
        <v>0</v>
      </c>
      <c r="M808" s="1">
        <f t="shared" si="41"/>
        <v>0</v>
      </c>
    </row>
    <row r="809" spans="11:13">
      <c r="K809" s="1">
        <f t="shared" si="39"/>
        <v>0</v>
      </c>
      <c r="L809" s="1">
        <f t="shared" si="40"/>
        <v>0</v>
      </c>
      <c r="M809" s="1">
        <f t="shared" si="41"/>
        <v>0</v>
      </c>
    </row>
    <row r="810" spans="11:13">
      <c r="K810" s="1">
        <f t="shared" si="39"/>
        <v>0</v>
      </c>
      <c r="L810" s="1">
        <f t="shared" si="40"/>
        <v>0</v>
      </c>
      <c r="M810" s="1">
        <f t="shared" si="41"/>
        <v>0</v>
      </c>
    </row>
    <row r="811" spans="11:13">
      <c r="K811" s="1">
        <f t="shared" si="39"/>
        <v>0</v>
      </c>
      <c r="L811" s="1">
        <f t="shared" si="40"/>
        <v>0</v>
      </c>
      <c r="M811" s="1">
        <f t="shared" si="41"/>
        <v>0</v>
      </c>
    </row>
    <row r="812" spans="11:13">
      <c r="K812" s="1">
        <f t="shared" si="39"/>
        <v>0</v>
      </c>
      <c r="L812" s="1">
        <f t="shared" si="40"/>
        <v>0</v>
      </c>
      <c r="M812" s="1">
        <f t="shared" si="41"/>
        <v>0</v>
      </c>
    </row>
    <row r="813" spans="11:13">
      <c r="K813" s="1">
        <f t="shared" si="39"/>
        <v>0</v>
      </c>
      <c r="L813" s="1">
        <f t="shared" si="40"/>
        <v>0</v>
      </c>
      <c r="M813" s="1">
        <f t="shared" si="41"/>
        <v>0</v>
      </c>
    </row>
    <row r="814" spans="11:13">
      <c r="K814" s="1">
        <f t="shared" si="39"/>
        <v>0</v>
      </c>
      <c r="L814" s="1">
        <f t="shared" si="40"/>
        <v>0</v>
      </c>
      <c r="M814" s="1">
        <f t="shared" si="41"/>
        <v>0</v>
      </c>
    </row>
    <row r="815" spans="11:13">
      <c r="K815" s="1">
        <f t="shared" si="39"/>
        <v>0</v>
      </c>
      <c r="L815" s="1">
        <f t="shared" si="40"/>
        <v>0</v>
      </c>
      <c r="M815" s="1">
        <f t="shared" si="41"/>
        <v>0</v>
      </c>
    </row>
    <row r="816" spans="11:13">
      <c r="K816" s="1">
        <f t="shared" si="39"/>
        <v>0</v>
      </c>
      <c r="L816" s="1">
        <f t="shared" si="40"/>
        <v>0</v>
      </c>
      <c r="M816" s="1">
        <f t="shared" si="41"/>
        <v>0</v>
      </c>
    </row>
    <row r="817" spans="11:13">
      <c r="K817" s="1">
        <f t="shared" si="39"/>
        <v>0</v>
      </c>
      <c r="L817" s="1">
        <f t="shared" si="40"/>
        <v>0</v>
      </c>
      <c r="M817" s="1">
        <f t="shared" si="41"/>
        <v>0</v>
      </c>
    </row>
    <row r="818" spans="11:13">
      <c r="K818" s="1">
        <f t="shared" si="39"/>
        <v>0</v>
      </c>
      <c r="L818" s="1">
        <f t="shared" si="40"/>
        <v>0</v>
      </c>
      <c r="M818" s="1">
        <f t="shared" si="41"/>
        <v>0</v>
      </c>
    </row>
    <row r="819" spans="11:13">
      <c r="K819" s="1">
        <f t="shared" si="39"/>
        <v>0</v>
      </c>
      <c r="L819" s="1">
        <f t="shared" si="40"/>
        <v>0</v>
      </c>
      <c r="M819" s="1">
        <f t="shared" si="41"/>
        <v>0</v>
      </c>
    </row>
    <row r="820" spans="11:13">
      <c r="K820" s="1">
        <f t="shared" si="39"/>
        <v>0</v>
      </c>
      <c r="L820" s="1">
        <f t="shared" si="40"/>
        <v>0</v>
      </c>
      <c r="M820" s="1">
        <f t="shared" si="41"/>
        <v>0</v>
      </c>
    </row>
    <row r="821" spans="11:13">
      <c r="K821" s="1">
        <f t="shared" si="39"/>
        <v>0</v>
      </c>
      <c r="L821" s="1">
        <f t="shared" si="40"/>
        <v>0</v>
      </c>
      <c r="M821" s="1">
        <f t="shared" si="41"/>
        <v>0</v>
      </c>
    </row>
    <row r="822" spans="11:13">
      <c r="K822" s="1">
        <f t="shared" si="39"/>
        <v>0</v>
      </c>
      <c r="L822" s="1">
        <f t="shared" si="40"/>
        <v>0</v>
      </c>
      <c r="M822" s="1">
        <f t="shared" si="41"/>
        <v>0</v>
      </c>
    </row>
    <row r="823" spans="11:13">
      <c r="K823" s="1">
        <f t="shared" si="39"/>
        <v>0</v>
      </c>
      <c r="L823" s="1">
        <f t="shared" si="40"/>
        <v>0</v>
      </c>
      <c r="M823" s="1">
        <f t="shared" si="41"/>
        <v>0</v>
      </c>
    </row>
    <row r="824" spans="11:13">
      <c r="K824" s="1">
        <f t="shared" si="39"/>
        <v>0</v>
      </c>
      <c r="L824" s="1">
        <f t="shared" si="40"/>
        <v>0</v>
      </c>
      <c r="M824" s="1">
        <f t="shared" si="41"/>
        <v>0</v>
      </c>
    </row>
    <row r="825" spans="11:13">
      <c r="K825" s="1">
        <f t="shared" si="39"/>
        <v>0</v>
      </c>
      <c r="L825" s="1">
        <f t="shared" si="40"/>
        <v>0</v>
      </c>
      <c r="M825" s="1">
        <f t="shared" si="41"/>
        <v>0</v>
      </c>
    </row>
    <row r="826" spans="11:13">
      <c r="K826" s="1">
        <f t="shared" si="39"/>
        <v>0</v>
      </c>
      <c r="L826" s="1">
        <f t="shared" si="40"/>
        <v>0</v>
      </c>
      <c r="M826" s="1">
        <f t="shared" si="41"/>
        <v>0</v>
      </c>
    </row>
    <row r="827" spans="11:13">
      <c r="K827" s="1">
        <f t="shared" si="39"/>
        <v>0</v>
      </c>
      <c r="L827" s="1">
        <f t="shared" si="40"/>
        <v>0</v>
      </c>
      <c r="M827" s="1">
        <f t="shared" si="41"/>
        <v>0</v>
      </c>
    </row>
    <row r="828" spans="11:13">
      <c r="K828" s="1">
        <f t="shared" si="39"/>
        <v>0</v>
      </c>
      <c r="L828" s="1">
        <f t="shared" si="40"/>
        <v>0</v>
      </c>
      <c r="M828" s="1">
        <f t="shared" si="41"/>
        <v>0</v>
      </c>
    </row>
    <row r="829" spans="11:13">
      <c r="K829" s="1">
        <f t="shared" si="39"/>
        <v>0</v>
      </c>
      <c r="L829" s="1">
        <f t="shared" si="40"/>
        <v>0</v>
      </c>
      <c r="M829" s="1">
        <f t="shared" si="41"/>
        <v>0</v>
      </c>
    </row>
    <row r="830" spans="11:13">
      <c r="K830" s="1">
        <f t="shared" si="39"/>
        <v>0</v>
      </c>
      <c r="L830" s="1">
        <f t="shared" si="40"/>
        <v>0</v>
      </c>
      <c r="M830" s="1">
        <f t="shared" si="41"/>
        <v>0</v>
      </c>
    </row>
    <row r="831" spans="11:13">
      <c r="K831" s="1">
        <f t="shared" si="39"/>
        <v>0</v>
      </c>
      <c r="L831" s="1">
        <f t="shared" si="40"/>
        <v>0</v>
      </c>
      <c r="M831" s="1">
        <f t="shared" si="41"/>
        <v>0</v>
      </c>
    </row>
    <row r="832" spans="11:13">
      <c r="K832" s="1">
        <f t="shared" si="39"/>
        <v>0</v>
      </c>
      <c r="L832" s="1">
        <f t="shared" si="40"/>
        <v>0</v>
      </c>
      <c r="M832" s="1">
        <f t="shared" si="41"/>
        <v>0</v>
      </c>
    </row>
    <row r="833" spans="11:13">
      <c r="K833" s="1">
        <f t="shared" si="39"/>
        <v>0</v>
      </c>
      <c r="L833" s="1">
        <f t="shared" si="40"/>
        <v>0</v>
      </c>
      <c r="M833" s="1">
        <f t="shared" si="41"/>
        <v>0</v>
      </c>
    </row>
    <row r="834" spans="11:13">
      <c r="K834" s="1">
        <f t="shared" si="39"/>
        <v>0</v>
      </c>
      <c r="L834" s="1">
        <f t="shared" si="40"/>
        <v>0</v>
      </c>
      <c r="M834" s="1">
        <f t="shared" si="41"/>
        <v>0</v>
      </c>
    </row>
    <row r="835" spans="11:13">
      <c r="K835" s="1">
        <f t="shared" si="39"/>
        <v>0</v>
      </c>
      <c r="L835" s="1">
        <f t="shared" si="40"/>
        <v>0</v>
      </c>
      <c r="M835" s="1">
        <f t="shared" si="41"/>
        <v>0</v>
      </c>
    </row>
    <row r="836" spans="11:13">
      <c r="K836" s="1">
        <f t="shared" si="39"/>
        <v>0</v>
      </c>
      <c r="L836" s="1">
        <f t="shared" si="40"/>
        <v>0</v>
      </c>
      <c r="M836" s="1">
        <f t="shared" si="41"/>
        <v>0</v>
      </c>
    </row>
    <row r="837" spans="11:13">
      <c r="K837" s="1">
        <f t="shared" si="39"/>
        <v>0</v>
      </c>
      <c r="L837" s="1">
        <f t="shared" si="40"/>
        <v>0</v>
      </c>
      <c r="M837" s="1">
        <f t="shared" si="41"/>
        <v>0</v>
      </c>
    </row>
    <row r="838" spans="11:13">
      <c r="K838" s="1">
        <f t="shared" si="39"/>
        <v>0</v>
      </c>
      <c r="L838" s="1">
        <f t="shared" si="40"/>
        <v>0</v>
      </c>
      <c r="M838" s="1">
        <f t="shared" si="41"/>
        <v>0</v>
      </c>
    </row>
    <row r="839" spans="11:13">
      <c r="K839" s="1">
        <f t="shared" si="39"/>
        <v>0</v>
      </c>
      <c r="L839" s="1">
        <f t="shared" si="40"/>
        <v>0</v>
      </c>
      <c r="M839" s="1">
        <f t="shared" si="41"/>
        <v>0</v>
      </c>
    </row>
    <row r="840" spans="11:13">
      <c r="K840" s="1">
        <f t="shared" si="39"/>
        <v>0</v>
      </c>
      <c r="L840" s="1">
        <f t="shared" si="40"/>
        <v>0</v>
      </c>
      <c r="M840" s="1">
        <f t="shared" si="41"/>
        <v>0</v>
      </c>
    </row>
    <row r="841" spans="11:13">
      <c r="K841" s="1">
        <f t="shared" si="39"/>
        <v>0</v>
      </c>
      <c r="L841" s="1">
        <f t="shared" si="40"/>
        <v>0</v>
      </c>
      <c r="M841" s="1">
        <f t="shared" si="41"/>
        <v>0</v>
      </c>
    </row>
    <row r="842" spans="11:13">
      <c r="K842" s="1">
        <f t="shared" si="39"/>
        <v>0</v>
      </c>
      <c r="L842" s="1">
        <f t="shared" si="40"/>
        <v>0</v>
      </c>
      <c r="M842" s="1">
        <f t="shared" si="41"/>
        <v>0</v>
      </c>
    </row>
    <row r="843" spans="11:13">
      <c r="K843" s="1">
        <f t="shared" si="39"/>
        <v>0</v>
      </c>
      <c r="L843" s="1">
        <f t="shared" si="40"/>
        <v>0</v>
      </c>
      <c r="M843" s="1">
        <f t="shared" si="41"/>
        <v>0</v>
      </c>
    </row>
    <row r="844" spans="11:13">
      <c r="K844" s="1">
        <f t="shared" si="39"/>
        <v>0</v>
      </c>
      <c r="L844" s="1">
        <f t="shared" si="40"/>
        <v>0</v>
      </c>
      <c r="M844" s="1">
        <f t="shared" si="41"/>
        <v>0</v>
      </c>
    </row>
    <row r="845" spans="11:13">
      <c r="K845" s="1">
        <f t="shared" si="39"/>
        <v>0</v>
      </c>
      <c r="L845" s="1">
        <f t="shared" si="40"/>
        <v>0</v>
      </c>
      <c r="M845" s="1">
        <f t="shared" si="41"/>
        <v>0</v>
      </c>
    </row>
    <row r="846" spans="11:13">
      <c r="K846" s="1">
        <f t="shared" si="39"/>
        <v>0</v>
      </c>
      <c r="L846" s="1">
        <f t="shared" si="40"/>
        <v>0</v>
      </c>
      <c r="M846" s="1">
        <f t="shared" si="41"/>
        <v>0</v>
      </c>
    </row>
    <row r="847" spans="11:13">
      <c r="K847" s="1">
        <f t="shared" si="39"/>
        <v>0</v>
      </c>
      <c r="L847" s="1">
        <f t="shared" si="40"/>
        <v>0</v>
      </c>
      <c r="M847" s="1">
        <f t="shared" si="41"/>
        <v>0</v>
      </c>
    </row>
    <row r="848" spans="11:13">
      <c r="K848" s="1">
        <f t="shared" si="39"/>
        <v>0</v>
      </c>
      <c r="L848" s="1">
        <f t="shared" si="40"/>
        <v>0</v>
      </c>
      <c r="M848" s="1">
        <f t="shared" si="41"/>
        <v>0</v>
      </c>
    </row>
    <row r="849" spans="11:13">
      <c r="K849" s="1">
        <f t="shared" si="39"/>
        <v>0</v>
      </c>
      <c r="L849" s="1">
        <f t="shared" si="40"/>
        <v>0</v>
      </c>
      <c r="M849" s="1">
        <f t="shared" si="41"/>
        <v>0</v>
      </c>
    </row>
    <row r="850" spans="11:13">
      <c r="K850" s="1">
        <f t="shared" si="39"/>
        <v>0</v>
      </c>
      <c r="L850" s="1">
        <f t="shared" si="40"/>
        <v>0</v>
      </c>
      <c r="M850" s="1">
        <f t="shared" si="41"/>
        <v>0</v>
      </c>
    </row>
    <row r="851" spans="11:13">
      <c r="K851" s="1">
        <f t="shared" si="39"/>
        <v>0</v>
      </c>
      <c r="L851" s="1">
        <f t="shared" si="40"/>
        <v>0</v>
      </c>
      <c r="M851" s="1">
        <f t="shared" si="41"/>
        <v>0</v>
      </c>
    </row>
    <row r="852" spans="11:13">
      <c r="K852" s="1">
        <f t="shared" si="39"/>
        <v>0</v>
      </c>
      <c r="L852" s="1">
        <f t="shared" si="40"/>
        <v>0</v>
      </c>
      <c r="M852" s="1">
        <f t="shared" si="41"/>
        <v>0</v>
      </c>
    </row>
    <row r="853" spans="11:13">
      <c r="K853" s="1">
        <f t="shared" si="39"/>
        <v>0</v>
      </c>
      <c r="L853" s="1">
        <f t="shared" si="40"/>
        <v>0</v>
      </c>
      <c r="M853" s="1">
        <f t="shared" si="41"/>
        <v>0</v>
      </c>
    </row>
    <row r="854" spans="11:13">
      <c r="K854" s="1">
        <f t="shared" si="39"/>
        <v>0</v>
      </c>
      <c r="L854" s="1">
        <f t="shared" si="40"/>
        <v>0</v>
      </c>
      <c r="M854" s="1">
        <f t="shared" si="41"/>
        <v>0</v>
      </c>
    </row>
    <row r="855" spans="11:13">
      <c r="K855" s="1">
        <f t="shared" si="39"/>
        <v>0</v>
      </c>
      <c r="L855" s="1">
        <f t="shared" si="40"/>
        <v>0</v>
      </c>
      <c r="M855" s="1">
        <f t="shared" si="41"/>
        <v>0</v>
      </c>
    </row>
    <row r="856" spans="11:13">
      <c r="K856" s="1">
        <f t="shared" si="39"/>
        <v>0</v>
      </c>
      <c r="L856" s="1">
        <f t="shared" si="40"/>
        <v>0</v>
      </c>
      <c r="M856" s="1">
        <f t="shared" si="41"/>
        <v>0</v>
      </c>
    </row>
    <row r="857" spans="11:13">
      <c r="K857" s="1">
        <f t="shared" si="39"/>
        <v>0</v>
      </c>
      <c r="L857" s="1">
        <f t="shared" si="40"/>
        <v>0</v>
      </c>
      <c r="M857" s="1">
        <f t="shared" si="41"/>
        <v>0</v>
      </c>
    </row>
    <row r="858" spans="11:13">
      <c r="K858" s="1">
        <f t="shared" si="39"/>
        <v>0</v>
      </c>
      <c r="L858" s="1">
        <f t="shared" si="40"/>
        <v>0</v>
      </c>
      <c r="M858" s="1">
        <f t="shared" si="41"/>
        <v>0</v>
      </c>
    </row>
    <row r="859" spans="11:13">
      <c r="K859" s="1">
        <f t="shared" si="39"/>
        <v>0</v>
      </c>
      <c r="L859" s="1">
        <f t="shared" si="40"/>
        <v>0</v>
      </c>
      <c r="M859" s="1">
        <f t="shared" si="41"/>
        <v>0</v>
      </c>
    </row>
    <row r="860" spans="11:13">
      <c r="K860" s="1">
        <f t="shared" si="39"/>
        <v>0</v>
      </c>
      <c r="L860" s="1">
        <f t="shared" si="40"/>
        <v>0</v>
      </c>
      <c r="M860" s="1">
        <f t="shared" si="41"/>
        <v>0</v>
      </c>
    </row>
    <row r="861" spans="11:13">
      <c r="K861" s="1">
        <f t="shared" si="39"/>
        <v>0</v>
      </c>
      <c r="L861" s="1">
        <f t="shared" si="40"/>
        <v>0</v>
      </c>
      <c r="M861" s="1">
        <f t="shared" si="41"/>
        <v>0</v>
      </c>
    </row>
    <row r="862" spans="11:13">
      <c r="K862" s="1">
        <f t="shared" si="39"/>
        <v>0</v>
      </c>
      <c r="L862" s="1">
        <f t="shared" si="40"/>
        <v>0</v>
      </c>
      <c r="M862" s="1">
        <f t="shared" si="41"/>
        <v>0</v>
      </c>
    </row>
    <row r="863" spans="11:13">
      <c r="K863" s="1">
        <f t="shared" si="39"/>
        <v>0</v>
      </c>
      <c r="L863" s="1">
        <f t="shared" si="40"/>
        <v>0</v>
      </c>
      <c r="M863" s="1">
        <f t="shared" si="41"/>
        <v>0</v>
      </c>
    </row>
    <row r="864" spans="11:13">
      <c r="K864" s="1">
        <f t="shared" si="39"/>
        <v>0</v>
      </c>
      <c r="L864" s="1">
        <f t="shared" si="40"/>
        <v>0</v>
      </c>
      <c r="M864" s="1">
        <f t="shared" si="41"/>
        <v>0</v>
      </c>
    </row>
    <row r="865" spans="11:13">
      <c r="K865" s="1">
        <f t="shared" si="39"/>
        <v>0</v>
      </c>
      <c r="L865" s="1">
        <f t="shared" si="40"/>
        <v>0</v>
      </c>
      <c r="M865" s="1">
        <f t="shared" si="41"/>
        <v>0</v>
      </c>
    </row>
    <row r="866" spans="11:13">
      <c r="K866" s="1">
        <f t="shared" si="39"/>
        <v>0</v>
      </c>
      <c r="L866" s="1">
        <f t="shared" si="40"/>
        <v>0</v>
      </c>
      <c r="M866" s="1">
        <f t="shared" si="41"/>
        <v>0</v>
      </c>
    </row>
    <row r="867" spans="11:13">
      <c r="K867" s="1">
        <f t="shared" si="39"/>
        <v>0</v>
      </c>
      <c r="L867" s="1">
        <f t="shared" si="40"/>
        <v>0</v>
      </c>
      <c r="M867" s="1">
        <f t="shared" si="41"/>
        <v>0</v>
      </c>
    </row>
    <row r="868" spans="11:13">
      <c r="K868" s="1">
        <f t="shared" si="39"/>
        <v>0</v>
      </c>
      <c r="L868" s="1">
        <f t="shared" si="40"/>
        <v>0</v>
      </c>
      <c r="M868" s="1">
        <f t="shared" si="41"/>
        <v>0</v>
      </c>
    </row>
    <row r="869" spans="11:13">
      <c r="K869" s="1">
        <f t="shared" si="39"/>
        <v>0</v>
      </c>
      <c r="L869" s="1">
        <f t="shared" si="40"/>
        <v>0</v>
      </c>
      <c r="M869" s="1">
        <f t="shared" si="41"/>
        <v>0</v>
      </c>
    </row>
    <row r="870" spans="11:13">
      <c r="K870" s="1">
        <f t="shared" si="39"/>
        <v>0</v>
      </c>
      <c r="L870" s="1">
        <f t="shared" si="40"/>
        <v>0</v>
      </c>
      <c r="M870" s="1">
        <f t="shared" si="41"/>
        <v>0</v>
      </c>
    </row>
    <row r="871" spans="11:13">
      <c r="K871" s="1">
        <f t="shared" ref="K871:K934" si="42">J871-C871</f>
        <v>0</v>
      </c>
      <c r="L871" s="1">
        <f t="shared" ref="L871:L934" si="43">IF(C871&gt;0,C871,0)</f>
        <v>0</v>
      </c>
      <c r="M871" s="1">
        <f t="shared" ref="M871:M934" si="44">IF(C871&lt;0,C871,0)</f>
        <v>0</v>
      </c>
    </row>
    <row r="872" spans="11:13">
      <c r="K872" s="1">
        <f t="shared" si="42"/>
        <v>0</v>
      </c>
      <c r="L872" s="1">
        <f t="shared" si="43"/>
        <v>0</v>
      </c>
      <c r="M872" s="1">
        <f t="shared" si="44"/>
        <v>0</v>
      </c>
    </row>
    <row r="873" spans="11:13">
      <c r="K873" s="1">
        <f t="shared" si="42"/>
        <v>0</v>
      </c>
      <c r="L873" s="1">
        <f t="shared" si="43"/>
        <v>0</v>
      </c>
      <c r="M873" s="1">
        <f t="shared" si="44"/>
        <v>0</v>
      </c>
    </row>
    <row r="874" spans="11:13">
      <c r="K874" s="1">
        <f t="shared" si="42"/>
        <v>0</v>
      </c>
      <c r="L874" s="1">
        <f t="shared" si="43"/>
        <v>0</v>
      </c>
      <c r="M874" s="1">
        <f t="shared" si="44"/>
        <v>0</v>
      </c>
    </row>
    <row r="875" spans="11:13">
      <c r="K875" s="1">
        <f t="shared" si="42"/>
        <v>0</v>
      </c>
      <c r="L875" s="1">
        <f t="shared" si="43"/>
        <v>0</v>
      </c>
      <c r="M875" s="1">
        <f t="shared" si="44"/>
        <v>0</v>
      </c>
    </row>
    <row r="876" spans="11:13">
      <c r="K876" s="1">
        <f t="shared" si="42"/>
        <v>0</v>
      </c>
      <c r="L876" s="1">
        <f t="shared" si="43"/>
        <v>0</v>
      </c>
      <c r="M876" s="1">
        <f t="shared" si="44"/>
        <v>0</v>
      </c>
    </row>
    <row r="877" spans="11:13">
      <c r="K877" s="1">
        <f t="shared" si="42"/>
        <v>0</v>
      </c>
      <c r="L877" s="1">
        <f t="shared" si="43"/>
        <v>0</v>
      </c>
      <c r="M877" s="1">
        <f t="shared" si="44"/>
        <v>0</v>
      </c>
    </row>
    <row r="878" spans="11:13">
      <c r="K878" s="1">
        <f t="shared" si="42"/>
        <v>0</v>
      </c>
      <c r="L878" s="1">
        <f t="shared" si="43"/>
        <v>0</v>
      </c>
      <c r="M878" s="1">
        <f t="shared" si="44"/>
        <v>0</v>
      </c>
    </row>
    <row r="879" spans="11:13">
      <c r="K879" s="1">
        <f t="shared" si="42"/>
        <v>0</v>
      </c>
      <c r="L879" s="1">
        <f t="shared" si="43"/>
        <v>0</v>
      </c>
      <c r="M879" s="1">
        <f t="shared" si="44"/>
        <v>0</v>
      </c>
    </row>
    <row r="880" spans="11:13">
      <c r="K880" s="1">
        <f t="shared" si="42"/>
        <v>0</v>
      </c>
      <c r="L880" s="1">
        <f t="shared" si="43"/>
        <v>0</v>
      </c>
      <c r="M880" s="1">
        <f t="shared" si="44"/>
        <v>0</v>
      </c>
    </row>
    <row r="881" spans="11:13">
      <c r="K881" s="1">
        <f t="shared" si="42"/>
        <v>0</v>
      </c>
      <c r="L881" s="1">
        <f t="shared" si="43"/>
        <v>0</v>
      </c>
      <c r="M881" s="1">
        <f t="shared" si="44"/>
        <v>0</v>
      </c>
    </row>
    <row r="882" spans="11:13">
      <c r="K882" s="1">
        <f t="shared" si="42"/>
        <v>0</v>
      </c>
      <c r="L882" s="1">
        <f t="shared" si="43"/>
        <v>0</v>
      </c>
      <c r="M882" s="1">
        <f t="shared" si="44"/>
        <v>0</v>
      </c>
    </row>
    <row r="883" spans="11:13">
      <c r="K883" s="1">
        <f t="shared" si="42"/>
        <v>0</v>
      </c>
      <c r="L883" s="1">
        <f t="shared" si="43"/>
        <v>0</v>
      </c>
      <c r="M883" s="1">
        <f t="shared" si="44"/>
        <v>0</v>
      </c>
    </row>
    <row r="884" spans="11:13">
      <c r="K884" s="1">
        <f t="shared" si="42"/>
        <v>0</v>
      </c>
      <c r="L884" s="1">
        <f t="shared" si="43"/>
        <v>0</v>
      </c>
      <c r="M884" s="1">
        <f t="shared" si="44"/>
        <v>0</v>
      </c>
    </row>
    <row r="885" spans="11:13">
      <c r="K885" s="1">
        <f t="shared" si="42"/>
        <v>0</v>
      </c>
      <c r="L885" s="1">
        <f t="shared" si="43"/>
        <v>0</v>
      </c>
      <c r="M885" s="1">
        <f t="shared" si="44"/>
        <v>0</v>
      </c>
    </row>
    <row r="886" spans="11:13">
      <c r="K886" s="1">
        <f t="shared" si="42"/>
        <v>0</v>
      </c>
      <c r="L886" s="1">
        <f t="shared" si="43"/>
        <v>0</v>
      </c>
      <c r="M886" s="1">
        <f t="shared" si="44"/>
        <v>0</v>
      </c>
    </row>
    <row r="887" spans="11:13">
      <c r="K887" s="1">
        <f t="shared" si="42"/>
        <v>0</v>
      </c>
      <c r="L887" s="1">
        <f t="shared" si="43"/>
        <v>0</v>
      </c>
      <c r="M887" s="1">
        <f t="shared" si="44"/>
        <v>0</v>
      </c>
    </row>
    <row r="888" spans="11:13">
      <c r="K888" s="1">
        <f t="shared" si="42"/>
        <v>0</v>
      </c>
      <c r="L888" s="1">
        <f t="shared" si="43"/>
        <v>0</v>
      </c>
      <c r="M888" s="1">
        <f t="shared" si="44"/>
        <v>0</v>
      </c>
    </row>
    <row r="889" spans="11:13">
      <c r="K889" s="1">
        <f t="shared" si="42"/>
        <v>0</v>
      </c>
      <c r="L889" s="1">
        <f t="shared" si="43"/>
        <v>0</v>
      </c>
      <c r="M889" s="1">
        <f t="shared" si="44"/>
        <v>0</v>
      </c>
    </row>
    <row r="890" spans="11:13">
      <c r="K890" s="1">
        <f t="shared" si="42"/>
        <v>0</v>
      </c>
      <c r="L890" s="1">
        <f t="shared" si="43"/>
        <v>0</v>
      </c>
      <c r="M890" s="1">
        <f t="shared" si="44"/>
        <v>0</v>
      </c>
    </row>
    <row r="891" spans="11:13">
      <c r="K891" s="1">
        <f t="shared" si="42"/>
        <v>0</v>
      </c>
      <c r="L891" s="1">
        <f t="shared" si="43"/>
        <v>0</v>
      </c>
      <c r="M891" s="1">
        <f t="shared" si="44"/>
        <v>0</v>
      </c>
    </row>
    <row r="892" spans="11:13">
      <c r="K892" s="1">
        <f t="shared" si="42"/>
        <v>0</v>
      </c>
      <c r="L892" s="1">
        <f t="shared" si="43"/>
        <v>0</v>
      </c>
      <c r="M892" s="1">
        <f t="shared" si="44"/>
        <v>0</v>
      </c>
    </row>
    <row r="893" spans="11:13">
      <c r="K893" s="1">
        <f t="shared" si="42"/>
        <v>0</v>
      </c>
      <c r="L893" s="1">
        <f t="shared" si="43"/>
        <v>0</v>
      </c>
      <c r="M893" s="1">
        <f t="shared" si="44"/>
        <v>0</v>
      </c>
    </row>
    <row r="894" spans="11:13">
      <c r="K894" s="1">
        <f t="shared" si="42"/>
        <v>0</v>
      </c>
      <c r="L894" s="1">
        <f t="shared" si="43"/>
        <v>0</v>
      </c>
      <c r="M894" s="1">
        <f t="shared" si="44"/>
        <v>0</v>
      </c>
    </row>
    <row r="895" spans="11:13">
      <c r="K895" s="1">
        <f t="shared" si="42"/>
        <v>0</v>
      </c>
      <c r="L895" s="1">
        <f t="shared" si="43"/>
        <v>0</v>
      </c>
      <c r="M895" s="1">
        <f t="shared" si="44"/>
        <v>0</v>
      </c>
    </row>
    <row r="896" spans="11:13">
      <c r="K896" s="1">
        <f t="shared" si="42"/>
        <v>0</v>
      </c>
      <c r="L896" s="1">
        <f t="shared" si="43"/>
        <v>0</v>
      </c>
      <c r="M896" s="1">
        <f t="shared" si="44"/>
        <v>0</v>
      </c>
    </row>
    <row r="897" spans="11:13">
      <c r="K897" s="1">
        <f t="shared" si="42"/>
        <v>0</v>
      </c>
      <c r="L897" s="1">
        <f t="shared" si="43"/>
        <v>0</v>
      </c>
      <c r="M897" s="1">
        <f t="shared" si="44"/>
        <v>0</v>
      </c>
    </row>
    <row r="898" spans="11:13">
      <c r="K898" s="1">
        <f t="shared" si="42"/>
        <v>0</v>
      </c>
      <c r="L898" s="1">
        <f t="shared" si="43"/>
        <v>0</v>
      </c>
      <c r="M898" s="1">
        <f t="shared" si="44"/>
        <v>0</v>
      </c>
    </row>
    <row r="899" spans="11:13">
      <c r="K899" s="1">
        <f t="shared" si="42"/>
        <v>0</v>
      </c>
      <c r="L899" s="1">
        <f t="shared" si="43"/>
        <v>0</v>
      </c>
      <c r="M899" s="1">
        <f t="shared" si="44"/>
        <v>0</v>
      </c>
    </row>
    <row r="900" spans="11:13">
      <c r="K900" s="1">
        <f t="shared" si="42"/>
        <v>0</v>
      </c>
      <c r="L900" s="1">
        <f t="shared" si="43"/>
        <v>0</v>
      </c>
      <c r="M900" s="1">
        <f t="shared" si="44"/>
        <v>0</v>
      </c>
    </row>
    <row r="901" spans="11:13">
      <c r="K901" s="1">
        <f t="shared" si="42"/>
        <v>0</v>
      </c>
      <c r="L901" s="1">
        <f t="shared" si="43"/>
        <v>0</v>
      </c>
      <c r="M901" s="1">
        <f t="shared" si="44"/>
        <v>0</v>
      </c>
    </row>
    <row r="902" spans="11:13">
      <c r="K902" s="1">
        <f t="shared" si="42"/>
        <v>0</v>
      </c>
      <c r="L902" s="1">
        <f t="shared" si="43"/>
        <v>0</v>
      </c>
      <c r="M902" s="1">
        <f t="shared" si="44"/>
        <v>0</v>
      </c>
    </row>
    <row r="903" spans="11:13">
      <c r="K903" s="1">
        <f t="shared" si="42"/>
        <v>0</v>
      </c>
      <c r="L903" s="1">
        <f t="shared" si="43"/>
        <v>0</v>
      </c>
      <c r="M903" s="1">
        <f t="shared" si="44"/>
        <v>0</v>
      </c>
    </row>
    <row r="904" spans="11:13">
      <c r="K904" s="1">
        <f t="shared" si="42"/>
        <v>0</v>
      </c>
      <c r="L904" s="1">
        <f t="shared" si="43"/>
        <v>0</v>
      </c>
      <c r="M904" s="1">
        <f t="shared" si="44"/>
        <v>0</v>
      </c>
    </row>
    <row r="905" spans="11:13">
      <c r="K905" s="1">
        <f t="shared" si="42"/>
        <v>0</v>
      </c>
      <c r="L905" s="1">
        <f t="shared" si="43"/>
        <v>0</v>
      </c>
      <c r="M905" s="1">
        <f t="shared" si="44"/>
        <v>0</v>
      </c>
    </row>
    <row r="906" spans="11:13">
      <c r="K906" s="1">
        <f t="shared" si="42"/>
        <v>0</v>
      </c>
      <c r="L906" s="1">
        <f t="shared" si="43"/>
        <v>0</v>
      </c>
      <c r="M906" s="1">
        <f t="shared" si="44"/>
        <v>0</v>
      </c>
    </row>
    <row r="907" spans="11:13">
      <c r="K907" s="1">
        <f t="shared" si="42"/>
        <v>0</v>
      </c>
      <c r="L907" s="1">
        <f t="shared" si="43"/>
        <v>0</v>
      </c>
      <c r="M907" s="1">
        <f t="shared" si="44"/>
        <v>0</v>
      </c>
    </row>
    <row r="908" spans="11:13">
      <c r="K908" s="1">
        <f t="shared" si="42"/>
        <v>0</v>
      </c>
      <c r="L908" s="1">
        <f t="shared" si="43"/>
        <v>0</v>
      </c>
      <c r="M908" s="1">
        <f t="shared" si="44"/>
        <v>0</v>
      </c>
    </row>
    <row r="909" spans="11:13">
      <c r="K909" s="1">
        <f t="shared" si="42"/>
        <v>0</v>
      </c>
      <c r="L909" s="1">
        <f t="shared" si="43"/>
        <v>0</v>
      </c>
      <c r="M909" s="1">
        <f t="shared" si="44"/>
        <v>0</v>
      </c>
    </row>
    <row r="910" spans="11:13">
      <c r="K910" s="1">
        <f t="shared" si="42"/>
        <v>0</v>
      </c>
      <c r="L910" s="1">
        <f t="shared" si="43"/>
        <v>0</v>
      </c>
      <c r="M910" s="1">
        <f t="shared" si="44"/>
        <v>0</v>
      </c>
    </row>
    <row r="911" spans="11:13">
      <c r="K911" s="1">
        <f t="shared" si="42"/>
        <v>0</v>
      </c>
      <c r="L911" s="1">
        <f t="shared" si="43"/>
        <v>0</v>
      </c>
      <c r="M911" s="1">
        <f t="shared" si="44"/>
        <v>0</v>
      </c>
    </row>
    <row r="912" spans="11:13">
      <c r="K912" s="1">
        <f t="shared" si="42"/>
        <v>0</v>
      </c>
      <c r="L912" s="1">
        <f t="shared" si="43"/>
        <v>0</v>
      </c>
      <c r="M912" s="1">
        <f t="shared" si="44"/>
        <v>0</v>
      </c>
    </row>
    <row r="913" spans="11:13">
      <c r="K913" s="1">
        <f t="shared" si="42"/>
        <v>0</v>
      </c>
      <c r="L913" s="1">
        <f t="shared" si="43"/>
        <v>0</v>
      </c>
      <c r="M913" s="1">
        <f t="shared" si="44"/>
        <v>0</v>
      </c>
    </row>
    <row r="914" spans="11:13">
      <c r="K914" s="1">
        <f t="shared" si="42"/>
        <v>0</v>
      </c>
      <c r="L914" s="1">
        <f t="shared" si="43"/>
        <v>0</v>
      </c>
      <c r="M914" s="1">
        <f t="shared" si="44"/>
        <v>0</v>
      </c>
    </row>
    <row r="915" spans="11:13">
      <c r="K915" s="1">
        <f t="shared" si="42"/>
        <v>0</v>
      </c>
      <c r="L915" s="1">
        <f t="shared" si="43"/>
        <v>0</v>
      </c>
      <c r="M915" s="1">
        <f t="shared" si="44"/>
        <v>0</v>
      </c>
    </row>
    <row r="916" spans="11:13">
      <c r="K916" s="1">
        <f t="shared" si="42"/>
        <v>0</v>
      </c>
      <c r="L916" s="1">
        <f t="shared" si="43"/>
        <v>0</v>
      </c>
      <c r="M916" s="1">
        <f t="shared" si="44"/>
        <v>0</v>
      </c>
    </row>
    <row r="917" spans="11:13">
      <c r="K917" s="1">
        <f t="shared" si="42"/>
        <v>0</v>
      </c>
      <c r="L917" s="1">
        <f t="shared" si="43"/>
        <v>0</v>
      </c>
      <c r="M917" s="1">
        <f t="shared" si="44"/>
        <v>0</v>
      </c>
    </row>
    <row r="918" spans="11:13">
      <c r="K918" s="1">
        <f t="shared" si="42"/>
        <v>0</v>
      </c>
      <c r="L918" s="1">
        <f t="shared" si="43"/>
        <v>0</v>
      </c>
      <c r="M918" s="1">
        <f t="shared" si="44"/>
        <v>0</v>
      </c>
    </row>
    <row r="919" spans="11:13">
      <c r="K919" s="1">
        <f t="shared" si="42"/>
        <v>0</v>
      </c>
      <c r="L919" s="1">
        <f t="shared" si="43"/>
        <v>0</v>
      </c>
      <c r="M919" s="1">
        <f t="shared" si="44"/>
        <v>0</v>
      </c>
    </row>
    <row r="920" spans="11:13">
      <c r="K920" s="1">
        <f t="shared" si="42"/>
        <v>0</v>
      </c>
      <c r="L920" s="1">
        <f t="shared" si="43"/>
        <v>0</v>
      </c>
      <c r="M920" s="1">
        <f t="shared" si="44"/>
        <v>0</v>
      </c>
    </row>
    <row r="921" spans="11:13">
      <c r="K921" s="1">
        <f t="shared" si="42"/>
        <v>0</v>
      </c>
      <c r="L921" s="1">
        <f t="shared" si="43"/>
        <v>0</v>
      </c>
      <c r="M921" s="1">
        <f t="shared" si="44"/>
        <v>0</v>
      </c>
    </row>
    <row r="922" spans="11:13">
      <c r="K922" s="1">
        <f t="shared" si="42"/>
        <v>0</v>
      </c>
      <c r="L922" s="1">
        <f t="shared" si="43"/>
        <v>0</v>
      </c>
      <c r="M922" s="1">
        <f t="shared" si="44"/>
        <v>0</v>
      </c>
    </row>
    <row r="923" spans="11:13">
      <c r="K923" s="1">
        <f t="shared" si="42"/>
        <v>0</v>
      </c>
      <c r="L923" s="1">
        <f t="shared" si="43"/>
        <v>0</v>
      </c>
      <c r="M923" s="1">
        <f t="shared" si="44"/>
        <v>0</v>
      </c>
    </row>
    <row r="924" spans="11:13">
      <c r="K924" s="1">
        <f t="shared" si="42"/>
        <v>0</v>
      </c>
      <c r="L924" s="1">
        <f t="shared" si="43"/>
        <v>0</v>
      </c>
      <c r="M924" s="1">
        <f t="shared" si="44"/>
        <v>0</v>
      </c>
    </row>
    <row r="925" spans="11:13">
      <c r="K925" s="1">
        <f t="shared" si="42"/>
        <v>0</v>
      </c>
      <c r="L925" s="1">
        <f t="shared" si="43"/>
        <v>0</v>
      </c>
      <c r="M925" s="1">
        <f t="shared" si="44"/>
        <v>0</v>
      </c>
    </row>
    <row r="926" spans="11:13">
      <c r="K926" s="1">
        <f t="shared" si="42"/>
        <v>0</v>
      </c>
      <c r="L926" s="1">
        <f t="shared" si="43"/>
        <v>0</v>
      </c>
      <c r="M926" s="1">
        <f t="shared" si="44"/>
        <v>0</v>
      </c>
    </row>
    <row r="927" spans="11:13">
      <c r="K927" s="1">
        <f t="shared" si="42"/>
        <v>0</v>
      </c>
      <c r="L927" s="1">
        <f t="shared" si="43"/>
        <v>0</v>
      </c>
      <c r="M927" s="1">
        <f t="shared" si="44"/>
        <v>0</v>
      </c>
    </row>
    <row r="928" spans="11:13">
      <c r="K928" s="1">
        <f t="shared" si="42"/>
        <v>0</v>
      </c>
      <c r="L928" s="1">
        <f t="shared" si="43"/>
        <v>0</v>
      </c>
      <c r="M928" s="1">
        <f t="shared" si="44"/>
        <v>0</v>
      </c>
    </row>
    <row r="929" spans="11:13">
      <c r="K929" s="1">
        <f t="shared" si="42"/>
        <v>0</v>
      </c>
      <c r="L929" s="1">
        <f t="shared" si="43"/>
        <v>0</v>
      </c>
      <c r="M929" s="1">
        <f t="shared" si="44"/>
        <v>0</v>
      </c>
    </row>
    <row r="930" spans="11:13">
      <c r="K930" s="1">
        <f t="shared" si="42"/>
        <v>0</v>
      </c>
      <c r="L930" s="1">
        <f t="shared" si="43"/>
        <v>0</v>
      </c>
      <c r="M930" s="1">
        <f t="shared" si="44"/>
        <v>0</v>
      </c>
    </row>
    <row r="931" spans="11:13">
      <c r="K931" s="1">
        <f t="shared" si="42"/>
        <v>0</v>
      </c>
      <c r="L931" s="1">
        <f t="shared" si="43"/>
        <v>0</v>
      </c>
      <c r="M931" s="1">
        <f t="shared" si="44"/>
        <v>0</v>
      </c>
    </row>
    <row r="932" spans="11:13">
      <c r="K932" s="1">
        <f t="shared" si="42"/>
        <v>0</v>
      </c>
      <c r="L932" s="1">
        <f t="shared" si="43"/>
        <v>0</v>
      </c>
      <c r="M932" s="1">
        <f t="shared" si="44"/>
        <v>0</v>
      </c>
    </row>
    <row r="933" spans="11:13">
      <c r="K933" s="1">
        <f t="shared" si="42"/>
        <v>0</v>
      </c>
      <c r="L933" s="1">
        <f t="shared" si="43"/>
        <v>0</v>
      </c>
      <c r="M933" s="1">
        <f t="shared" si="44"/>
        <v>0</v>
      </c>
    </row>
    <row r="934" spans="11:13">
      <c r="K934" s="1">
        <f t="shared" si="42"/>
        <v>0</v>
      </c>
      <c r="L934" s="1">
        <f t="shared" si="43"/>
        <v>0</v>
      </c>
      <c r="M934" s="1">
        <f t="shared" si="44"/>
        <v>0</v>
      </c>
    </row>
    <row r="935" spans="11:13">
      <c r="K935" s="1">
        <f t="shared" ref="K935:K998" si="45">J935-C935</f>
        <v>0</v>
      </c>
      <c r="L935" s="1">
        <f t="shared" ref="L935:L998" si="46">IF(C935&gt;0,C935,0)</f>
        <v>0</v>
      </c>
      <c r="M935" s="1">
        <f t="shared" ref="M935:M998" si="47">IF(C935&lt;0,C935,0)</f>
        <v>0</v>
      </c>
    </row>
    <row r="936" spans="11:13">
      <c r="K936" s="1">
        <f t="shared" si="45"/>
        <v>0</v>
      </c>
      <c r="L936" s="1">
        <f t="shared" si="46"/>
        <v>0</v>
      </c>
      <c r="M936" s="1">
        <f t="shared" si="47"/>
        <v>0</v>
      </c>
    </row>
    <row r="937" spans="11:13">
      <c r="K937" s="1">
        <f t="shared" si="45"/>
        <v>0</v>
      </c>
      <c r="L937" s="1">
        <f t="shared" si="46"/>
        <v>0</v>
      </c>
      <c r="M937" s="1">
        <f t="shared" si="47"/>
        <v>0</v>
      </c>
    </row>
    <row r="938" spans="11:13">
      <c r="K938" s="1">
        <f t="shared" si="45"/>
        <v>0</v>
      </c>
      <c r="L938" s="1">
        <f t="shared" si="46"/>
        <v>0</v>
      </c>
      <c r="M938" s="1">
        <f t="shared" si="47"/>
        <v>0</v>
      </c>
    </row>
    <row r="939" spans="11:13">
      <c r="K939" s="1">
        <f t="shared" si="45"/>
        <v>0</v>
      </c>
      <c r="L939" s="1">
        <f t="shared" si="46"/>
        <v>0</v>
      </c>
      <c r="M939" s="1">
        <f t="shared" si="47"/>
        <v>0</v>
      </c>
    </row>
    <row r="940" spans="11:13">
      <c r="K940" s="1">
        <f t="shared" si="45"/>
        <v>0</v>
      </c>
      <c r="L940" s="1">
        <f t="shared" si="46"/>
        <v>0</v>
      </c>
      <c r="M940" s="1">
        <f t="shared" si="47"/>
        <v>0</v>
      </c>
    </row>
    <row r="941" spans="11:13">
      <c r="K941" s="1">
        <f t="shared" si="45"/>
        <v>0</v>
      </c>
      <c r="L941" s="1">
        <f t="shared" si="46"/>
        <v>0</v>
      </c>
      <c r="M941" s="1">
        <f t="shared" si="47"/>
        <v>0</v>
      </c>
    </row>
    <row r="942" spans="11:13">
      <c r="K942" s="1">
        <f t="shared" si="45"/>
        <v>0</v>
      </c>
      <c r="L942" s="1">
        <f t="shared" si="46"/>
        <v>0</v>
      </c>
      <c r="M942" s="1">
        <f t="shared" si="47"/>
        <v>0</v>
      </c>
    </row>
    <row r="943" spans="11:13">
      <c r="K943" s="1">
        <f t="shared" si="45"/>
        <v>0</v>
      </c>
      <c r="L943" s="1">
        <f t="shared" si="46"/>
        <v>0</v>
      </c>
      <c r="M943" s="1">
        <f t="shared" si="47"/>
        <v>0</v>
      </c>
    </row>
    <row r="944" spans="11:13">
      <c r="K944" s="1">
        <f t="shared" si="45"/>
        <v>0</v>
      </c>
      <c r="L944" s="1">
        <f t="shared" si="46"/>
        <v>0</v>
      </c>
      <c r="M944" s="1">
        <f t="shared" si="47"/>
        <v>0</v>
      </c>
    </row>
    <row r="945" spans="11:13">
      <c r="K945" s="1">
        <f t="shared" si="45"/>
        <v>0</v>
      </c>
      <c r="L945" s="1">
        <f t="shared" si="46"/>
        <v>0</v>
      </c>
      <c r="M945" s="1">
        <f t="shared" si="47"/>
        <v>0</v>
      </c>
    </row>
    <row r="946" spans="11:13">
      <c r="K946" s="1">
        <f t="shared" si="45"/>
        <v>0</v>
      </c>
      <c r="L946" s="1">
        <f t="shared" si="46"/>
        <v>0</v>
      </c>
      <c r="M946" s="1">
        <f t="shared" si="47"/>
        <v>0</v>
      </c>
    </row>
    <row r="947" spans="11:13">
      <c r="K947" s="1">
        <f t="shared" si="45"/>
        <v>0</v>
      </c>
      <c r="L947" s="1">
        <f t="shared" si="46"/>
        <v>0</v>
      </c>
      <c r="M947" s="1">
        <f t="shared" si="47"/>
        <v>0</v>
      </c>
    </row>
    <row r="948" spans="11:13">
      <c r="K948" s="1">
        <f t="shared" si="45"/>
        <v>0</v>
      </c>
      <c r="L948" s="1">
        <f t="shared" si="46"/>
        <v>0</v>
      </c>
      <c r="M948" s="1">
        <f t="shared" si="47"/>
        <v>0</v>
      </c>
    </row>
    <row r="949" spans="11:13">
      <c r="K949" s="1">
        <f t="shared" si="45"/>
        <v>0</v>
      </c>
      <c r="L949" s="1">
        <f t="shared" si="46"/>
        <v>0</v>
      </c>
      <c r="M949" s="1">
        <f t="shared" si="47"/>
        <v>0</v>
      </c>
    </row>
    <row r="950" spans="11:13">
      <c r="K950" s="1">
        <f t="shared" si="45"/>
        <v>0</v>
      </c>
      <c r="L950" s="1">
        <f t="shared" si="46"/>
        <v>0</v>
      </c>
      <c r="M950" s="1">
        <f t="shared" si="47"/>
        <v>0</v>
      </c>
    </row>
    <row r="951" spans="11:13">
      <c r="K951" s="1">
        <f t="shared" si="45"/>
        <v>0</v>
      </c>
      <c r="L951" s="1">
        <f t="shared" si="46"/>
        <v>0</v>
      </c>
      <c r="M951" s="1">
        <f t="shared" si="47"/>
        <v>0</v>
      </c>
    </row>
    <row r="952" spans="11:13">
      <c r="K952" s="1">
        <f t="shared" si="45"/>
        <v>0</v>
      </c>
      <c r="L952" s="1">
        <f t="shared" si="46"/>
        <v>0</v>
      </c>
      <c r="M952" s="1">
        <f t="shared" si="47"/>
        <v>0</v>
      </c>
    </row>
    <row r="953" spans="11:13">
      <c r="K953" s="1">
        <f t="shared" si="45"/>
        <v>0</v>
      </c>
      <c r="L953" s="1">
        <f t="shared" si="46"/>
        <v>0</v>
      </c>
      <c r="M953" s="1">
        <f t="shared" si="47"/>
        <v>0</v>
      </c>
    </row>
    <row r="954" spans="11:13">
      <c r="K954" s="1">
        <f t="shared" si="45"/>
        <v>0</v>
      </c>
      <c r="L954" s="1">
        <f t="shared" si="46"/>
        <v>0</v>
      </c>
      <c r="M954" s="1">
        <f t="shared" si="47"/>
        <v>0</v>
      </c>
    </row>
    <row r="955" spans="11:13">
      <c r="K955" s="1">
        <f t="shared" si="45"/>
        <v>0</v>
      </c>
      <c r="L955" s="1">
        <f t="shared" si="46"/>
        <v>0</v>
      </c>
      <c r="M955" s="1">
        <f t="shared" si="47"/>
        <v>0</v>
      </c>
    </row>
    <row r="956" spans="11:13">
      <c r="K956" s="1">
        <f t="shared" si="45"/>
        <v>0</v>
      </c>
      <c r="L956" s="1">
        <f t="shared" si="46"/>
        <v>0</v>
      </c>
      <c r="M956" s="1">
        <f t="shared" si="47"/>
        <v>0</v>
      </c>
    </row>
    <row r="957" spans="11:13">
      <c r="K957" s="1">
        <f t="shared" si="45"/>
        <v>0</v>
      </c>
      <c r="L957" s="1">
        <f t="shared" si="46"/>
        <v>0</v>
      </c>
      <c r="M957" s="1">
        <f t="shared" si="47"/>
        <v>0</v>
      </c>
    </row>
    <row r="958" spans="11:13">
      <c r="K958" s="1">
        <f t="shared" si="45"/>
        <v>0</v>
      </c>
      <c r="L958" s="1">
        <f t="shared" si="46"/>
        <v>0</v>
      </c>
      <c r="M958" s="1">
        <f t="shared" si="47"/>
        <v>0</v>
      </c>
    </row>
    <row r="959" spans="11:13">
      <c r="K959" s="1">
        <f t="shared" si="45"/>
        <v>0</v>
      </c>
      <c r="L959" s="1">
        <f t="shared" si="46"/>
        <v>0</v>
      </c>
      <c r="M959" s="1">
        <f t="shared" si="47"/>
        <v>0</v>
      </c>
    </row>
    <row r="960" spans="11:13">
      <c r="K960" s="1">
        <f t="shared" si="45"/>
        <v>0</v>
      </c>
      <c r="L960" s="1">
        <f t="shared" si="46"/>
        <v>0</v>
      </c>
      <c r="M960" s="1">
        <f t="shared" si="47"/>
        <v>0</v>
      </c>
    </row>
    <row r="961" spans="11:13">
      <c r="K961" s="1">
        <f t="shared" si="45"/>
        <v>0</v>
      </c>
      <c r="L961" s="1">
        <f t="shared" si="46"/>
        <v>0</v>
      </c>
      <c r="M961" s="1">
        <f t="shared" si="47"/>
        <v>0</v>
      </c>
    </row>
    <row r="962" spans="11:13">
      <c r="K962" s="1">
        <f t="shared" si="45"/>
        <v>0</v>
      </c>
      <c r="L962" s="1">
        <f t="shared" si="46"/>
        <v>0</v>
      </c>
      <c r="M962" s="1">
        <f t="shared" si="47"/>
        <v>0</v>
      </c>
    </row>
    <row r="963" spans="11:13">
      <c r="K963" s="1">
        <f t="shared" si="45"/>
        <v>0</v>
      </c>
      <c r="L963" s="1">
        <f t="shared" si="46"/>
        <v>0</v>
      </c>
      <c r="M963" s="1">
        <f t="shared" si="47"/>
        <v>0</v>
      </c>
    </row>
    <row r="964" spans="11:13">
      <c r="K964" s="1">
        <f t="shared" si="45"/>
        <v>0</v>
      </c>
      <c r="L964" s="1">
        <f t="shared" si="46"/>
        <v>0</v>
      </c>
      <c r="M964" s="1">
        <f t="shared" si="47"/>
        <v>0</v>
      </c>
    </row>
    <row r="965" spans="11:13">
      <c r="K965" s="1">
        <f t="shared" si="45"/>
        <v>0</v>
      </c>
      <c r="L965" s="1">
        <f t="shared" si="46"/>
        <v>0</v>
      </c>
      <c r="M965" s="1">
        <f t="shared" si="47"/>
        <v>0</v>
      </c>
    </row>
    <row r="966" spans="11:13">
      <c r="K966" s="1">
        <f t="shared" si="45"/>
        <v>0</v>
      </c>
      <c r="L966" s="1">
        <f t="shared" si="46"/>
        <v>0</v>
      </c>
      <c r="M966" s="1">
        <f t="shared" si="47"/>
        <v>0</v>
      </c>
    </row>
    <row r="967" spans="11:13">
      <c r="K967" s="1">
        <f t="shared" si="45"/>
        <v>0</v>
      </c>
      <c r="L967" s="1">
        <f t="shared" si="46"/>
        <v>0</v>
      </c>
      <c r="M967" s="1">
        <f t="shared" si="47"/>
        <v>0</v>
      </c>
    </row>
    <row r="968" spans="11:13">
      <c r="K968" s="1">
        <f t="shared" si="45"/>
        <v>0</v>
      </c>
      <c r="L968" s="1">
        <f t="shared" si="46"/>
        <v>0</v>
      </c>
      <c r="M968" s="1">
        <f t="shared" si="47"/>
        <v>0</v>
      </c>
    </row>
    <row r="969" spans="11:13">
      <c r="K969" s="1">
        <f t="shared" si="45"/>
        <v>0</v>
      </c>
      <c r="L969" s="1">
        <f t="shared" si="46"/>
        <v>0</v>
      </c>
      <c r="M969" s="1">
        <f t="shared" si="47"/>
        <v>0</v>
      </c>
    </row>
    <row r="970" spans="11:13">
      <c r="K970" s="1">
        <f t="shared" si="45"/>
        <v>0</v>
      </c>
      <c r="L970" s="1">
        <f t="shared" si="46"/>
        <v>0</v>
      </c>
      <c r="M970" s="1">
        <f t="shared" si="47"/>
        <v>0</v>
      </c>
    </row>
    <row r="971" spans="11:13">
      <c r="K971" s="1">
        <f t="shared" si="45"/>
        <v>0</v>
      </c>
      <c r="L971" s="1">
        <f t="shared" si="46"/>
        <v>0</v>
      </c>
      <c r="M971" s="1">
        <f t="shared" si="47"/>
        <v>0</v>
      </c>
    </row>
    <row r="972" spans="11:13">
      <c r="K972" s="1">
        <f t="shared" si="45"/>
        <v>0</v>
      </c>
      <c r="L972" s="1">
        <f t="shared" si="46"/>
        <v>0</v>
      </c>
      <c r="M972" s="1">
        <f t="shared" si="47"/>
        <v>0</v>
      </c>
    </row>
    <row r="973" spans="11:13">
      <c r="K973" s="1">
        <f t="shared" si="45"/>
        <v>0</v>
      </c>
      <c r="L973" s="1">
        <f t="shared" si="46"/>
        <v>0</v>
      </c>
      <c r="M973" s="1">
        <f t="shared" si="47"/>
        <v>0</v>
      </c>
    </row>
    <row r="974" spans="11:13">
      <c r="K974" s="1">
        <f t="shared" si="45"/>
        <v>0</v>
      </c>
      <c r="L974" s="1">
        <f t="shared" si="46"/>
        <v>0</v>
      </c>
      <c r="M974" s="1">
        <f t="shared" si="47"/>
        <v>0</v>
      </c>
    </row>
    <row r="975" spans="11:13">
      <c r="K975" s="1">
        <f t="shared" si="45"/>
        <v>0</v>
      </c>
      <c r="L975" s="1">
        <f t="shared" si="46"/>
        <v>0</v>
      </c>
      <c r="M975" s="1">
        <f t="shared" si="47"/>
        <v>0</v>
      </c>
    </row>
    <row r="976" spans="11:13">
      <c r="K976" s="1">
        <f t="shared" si="45"/>
        <v>0</v>
      </c>
      <c r="L976" s="1">
        <f t="shared" si="46"/>
        <v>0</v>
      </c>
      <c r="M976" s="1">
        <f t="shared" si="47"/>
        <v>0</v>
      </c>
    </row>
    <row r="977" spans="11:13">
      <c r="K977" s="1">
        <f t="shared" si="45"/>
        <v>0</v>
      </c>
      <c r="L977" s="1">
        <f t="shared" si="46"/>
        <v>0</v>
      </c>
      <c r="M977" s="1">
        <f t="shared" si="47"/>
        <v>0</v>
      </c>
    </row>
    <row r="978" spans="11:13">
      <c r="K978" s="1">
        <f t="shared" si="45"/>
        <v>0</v>
      </c>
      <c r="L978" s="1">
        <f t="shared" si="46"/>
        <v>0</v>
      </c>
      <c r="M978" s="1">
        <f t="shared" si="47"/>
        <v>0</v>
      </c>
    </row>
    <row r="979" spans="11:13">
      <c r="K979" s="1">
        <f t="shared" si="45"/>
        <v>0</v>
      </c>
      <c r="L979" s="1">
        <f t="shared" si="46"/>
        <v>0</v>
      </c>
      <c r="M979" s="1">
        <f t="shared" si="47"/>
        <v>0</v>
      </c>
    </row>
    <row r="980" spans="11:13">
      <c r="K980" s="1">
        <f t="shared" si="45"/>
        <v>0</v>
      </c>
      <c r="L980" s="1">
        <f t="shared" si="46"/>
        <v>0</v>
      </c>
      <c r="M980" s="1">
        <f t="shared" si="47"/>
        <v>0</v>
      </c>
    </row>
    <row r="981" spans="11:13">
      <c r="K981" s="1">
        <f t="shared" si="45"/>
        <v>0</v>
      </c>
      <c r="L981" s="1">
        <f t="shared" si="46"/>
        <v>0</v>
      </c>
      <c r="M981" s="1">
        <f t="shared" si="47"/>
        <v>0</v>
      </c>
    </row>
    <row r="982" spans="11:13">
      <c r="K982" s="1">
        <f t="shared" si="45"/>
        <v>0</v>
      </c>
      <c r="L982" s="1">
        <f t="shared" si="46"/>
        <v>0</v>
      </c>
      <c r="M982" s="1">
        <f t="shared" si="47"/>
        <v>0</v>
      </c>
    </row>
    <row r="983" spans="11:13">
      <c r="K983" s="1">
        <f t="shared" si="45"/>
        <v>0</v>
      </c>
      <c r="L983" s="1">
        <f t="shared" si="46"/>
        <v>0</v>
      </c>
      <c r="M983" s="1">
        <f t="shared" si="47"/>
        <v>0</v>
      </c>
    </row>
    <row r="984" spans="11:13">
      <c r="K984" s="1">
        <f t="shared" si="45"/>
        <v>0</v>
      </c>
      <c r="L984" s="1">
        <f t="shared" si="46"/>
        <v>0</v>
      </c>
      <c r="M984" s="1">
        <f t="shared" si="47"/>
        <v>0</v>
      </c>
    </row>
    <row r="985" spans="11:13">
      <c r="K985" s="1">
        <f t="shared" si="45"/>
        <v>0</v>
      </c>
      <c r="L985" s="1">
        <f t="shared" si="46"/>
        <v>0</v>
      </c>
      <c r="M985" s="1">
        <f t="shared" si="47"/>
        <v>0</v>
      </c>
    </row>
    <row r="986" spans="11:13">
      <c r="K986" s="1">
        <f t="shared" si="45"/>
        <v>0</v>
      </c>
      <c r="L986" s="1">
        <f t="shared" si="46"/>
        <v>0</v>
      </c>
      <c r="M986" s="1">
        <f t="shared" si="47"/>
        <v>0</v>
      </c>
    </row>
    <row r="987" spans="11:13">
      <c r="K987" s="1">
        <f t="shared" si="45"/>
        <v>0</v>
      </c>
      <c r="L987" s="1">
        <f t="shared" si="46"/>
        <v>0</v>
      </c>
      <c r="M987" s="1">
        <f t="shared" si="47"/>
        <v>0</v>
      </c>
    </row>
    <row r="988" spans="11:13">
      <c r="K988" s="1">
        <f t="shared" si="45"/>
        <v>0</v>
      </c>
      <c r="L988" s="1">
        <f t="shared" si="46"/>
        <v>0</v>
      </c>
      <c r="M988" s="1">
        <f t="shared" si="47"/>
        <v>0</v>
      </c>
    </row>
    <row r="989" spans="11:13">
      <c r="K989" s="1">
        <f t="shared" si="45"/>
        <v>0</v>
      </c>
      <c r="L989" s="1">
        <f t="shared" si="46"/>
        <v>0</v>
      </c>
      <c r="M989" s="1">
        <f t="shared" si="47"/>
        <v>0</v>
      </c>
    </row>
    <row r="990" spans="11:13">
      <c r="K990" s="1">
        <f t="shared" si="45"/>
        <v>0</v>
      </c>
      <c r="L990" s="1">
        <f t="shared" si="46"/>
        <v>0</v>
      </c>
      <c r="M990" s="1">
        <f t="shared" si="47"/>
        <v>0</v>
      </c>
    </row>
    <row r="991" spans="11:13">
      <c r="K991" s="1">
        <f t="shared" si="45"/>
        <v>0</v>
      </c>
      <c r="L991" s="1">
        <f t="shared" si="46"/>
        <v>0</v>
      </c>
      <c r="M991" s="1">
        <f t="shared" si="47"/>
        <v>0</v>
      </c>
    </row>
    <row r="992" spans="11:13">
      <c r="K992" s="1">
        <f t="shared" si="45"/>
        <v>0</v>
      </c>
      <c r="L992" s="1">
        <f t="shared" si="46"/>
        <v>0</v>
      </c>
      <c r="M992" s="1">
        <f t="shared" si="47"/>
        <v>0</v>
      </c>
    </row>
    <row r="993" spans="11:13">
      <c r="K993" s="1">
        <f t="shared" si="45"/>
        <v>0</v>
      </c>
      <c r="L993" s="1">
        <f t="shared" si="46"/>
        <v>0</v>
      </c>
      <c r="M993" s="1">
        <f t="shared" si="47"/>
        <v>0</v>
      </c>
    </row>
    <row r="994" spans="11:13">
      <c r="K994" s="1">
        <f t="shared" si="45"/>
        <v>0</v>
      </c>
      <c r="L994" s="1">
        <f t="shared" si="46"/>
        <v>0</v>
      </c>
      <c r="M994" s="1">
        <f t="shared" si="47"/>
        <v>0</v>
      </c>
    </row>
    <row r="995" spans="11:13">
      <c r="K995" s="1">
        <f t="shared" si="45"/>
        <v>0</v>
      </c>
      <c r="L995" s="1">
        <f t="shared" si="46"/>
        <v>0</v>
      </c>
      <c r="M995" s="1">
        <f t="shared" si="47"/>
        <v>0</v>
      </c>
    </row>
    <row r="996" spans="11:13">
      <c r="K996" s="1">
        <f t="shared" si="45"/>
        <v>0</v>
      </c>
      <c r="L996" s="1">
        <f t="shared" si="46"/>
        <v>0</v>
      </c>
      <c r="M996" s="1">
        <f t="shared" si="47"/>
        <v>0</v>
      </c>
    </row>
    <row r="997" spans="11:13">
      <c r="K997" s="1">
        <f t="shared" si="45"/>
        <v>0</v>
      </c>
      <c r="L997" s="1">
        <f t="shared" si="46"/>
        <v>0</v>
      </c>
      <c r="M997" s="1">
        <f t="shared" si="47"/>
        <v>0</v>
      </c>
    </row>
    <row r="998" spans="11:13">
      <c r="K998" s="1">
        <f t="shared" si="45"/>
        <v>0</v>
      </c>
      <c r="L998" s="1">
        <f t="shared" si="46"/>
        <v>0</v>
      </c>
      <c r="M998" s="1">
        <f t="shared" si="47"/>
        <v>0</v>
      </c>
    </row>
    <row r="999" spans="11:13">
      <c r="K999" s="1">
        <f t="shared" ref="K999:K1062" si="48">J999-C999</f>
        <v>0</v>
      </c>
      <c r="L999" s="1">
        <f t="shared" ref="L999:L1062" si="49">IF(C999&gt;0,C999,0)</f>
        <v>0</v>
      </c>
      <c r="M999" s="1">
        <f t="shared" ref="M999:M1062" si="50">IF(C999&lt;0,C999,0)</f>
        <v>0</v>
      </c>
    </row>
    <row r="1000" spans="11:13">
      <c r="K1000" s="1">
        <f t="shared" si="48"/>
        <v>0</v>
      </c>
      <c r="L1000" s="1">
        <f t="shared" si="49"/>
        <v>0</v>
      </c>
      <c r="M1000" s="1">
        <f t="shared" si="50"/>
        <v>0</v>
      </c>
    </row>
    <row r="1001" spans="11:13">
      <c r="K1001" s="1">
        <f t="shared" si="48"/>
        <v>0</v>
      </c>
      <c r="L1001" s="1">
        <f t="shared" si="49"/>
        <v>0</v>
      </c>
      <c r="M1001" s="1">
        <f t="shared" si="50"/>
        <v>0</v>
      </c>
    </row>
    <row r="1002" spans="11:13">
      <c r="K1002" s="1">
        <f t="shared" si="48"/>
        <v>0</v>
      </c>
      <c r="L1002" s="1">
        <f t="shared" si="49"/>
        <v>0</v>
      </c>
      <c r="M1002" s="1">
        <f t="shared" si="50"/>
        <v>0</v>
      </c>
    </row>
    <row r="1003" spans="11:13">
      <c r="K1003" s="1">
        <f t="shared" si="48"/>
        <v>0</v>
      </c>
      <c r="L1003" s="1">
        <f t="shared" si="49"/>
        <v>0</v>
      </c>
      <c r="M1003" s="1">
        <f t="shared" si="50"/>
        <v>0</v>
      </c>
    </row>
    <row r="1004" spans="11:13">
      <c r="K1004" s="1">
        <f t="shared" si="48"/>
        <v>0</v>
      </c>
      <c r="L1004" s="1">
        <f t="shared" si="49"/>
        <v>0</v>
      </c>
      <c r="M1004" s="1">
        <f t="shared" si="50"/>
        <v>0</v>
      </c>
    </row>
    <row r="1005" spans="11:13">
      <c r="K1005" s="1">
        <f t="shared" si="48"/>
        <v>0</v>
      </c>
      <c r="L1005" s="1">
        <f t="shared" si="49"/>
        <v>0</v>
      </c>
      <c r="M1005" s="1">
        <f t="shared" si="50"/>
        <v>0</v>
      </c>
    </row>
    <row r="1006" spans="11:13">
      <c r="K1006" s="1">
        <f t="shared" si="48"/>
        <v>0</v>
      </c>
      <c r="L1006" s="1">
        <f t="shared" si="49"/>
        <v>0</v>
      </c>
      <c r="M1006" s="1">
        <f t="shared" si="50"/>
        <v>0</v>
      </c>
    </row>
    <row r="1007" spans="11:13">
      <c r="K1007" s="1">
        <f t="shared" si="48"/>
        <v>0</v>
      </c>
      <c r="L1007" s="1">
        <f t="shared" si="49"/>
        <v>0</v>
      </c>
      <c r="M1007" s="1">
        <f t="shared" si="50"/>
        <v>0</v>
      </c>
    </row>
    <row r="1008" spans="11:13">
      <c r="K1008" s="1">
        <f t="shared" si="48"/>
        <v>0</v>
      </c>
      <c r="L1008" s="1">
        <f t="shared" si="49"/>
        <v>0</v>
      </c>
      <c r="M1008" s="1">
        <f t="shared" si="50"/>
        <v>0</v>
      </c>
    </row>
    <row r="1009" spans="11:13">
      <c r="K1009" s="1">
        <f t="shared" si="48"/>
        <v>0</v>
      </c>
      <c r="L1009" s="1">
        <f t="shared" si="49"/>
        <v>0</v>
      </c>
      <c r="M1009" s="1">
        <f t="shared" si="50"/>
        <v>0</v>
      </c>
    </row>
    <row r="1010" spans="11:13">
      <c r="K1010" s="1">
        <f t="shared" si="48"/>
        <v>0</v>
      </c>
      <c r="L1010" s="1">
        <f t="shared" si="49"/>
        <v>0</v>
      </c>
      <c r="M1010" s="1">
        <f t="shared" si="50"/>
        <v>0</v>
      </c>
    </row>
    <row r="1011" spans="11:13">
      <c r="K1011" s="1">
        <f t="shared" si="48"/>
        <v>0</v>
      </c>
      <c r="L1011" s="1">
        <f t="shared" si="49"/>
        <v>0</v>
      </c>
      <c r="M1011" s="1">
        <f t="shared" si="50"/>
        <v>0</v>
      </c>
    </row>
    <row r="1012" spans="11:13">
      <c r="K1012" s="1">
        <f t="shared" si="48"/>
        <v>0</v>
      </c>
      <c r="L1012" s="1">
        <f t="shared" si="49"/>
        <v>0</v>
      </c>
      <c r="M1012" s="1">
        <f t="shared" si="50"/>
        <v>0</v>
      </c>
    </row>
    <row r="1013" spans="11:13">
      <c r="K1013" s="1">
        <f t="shared" si="48"/>
        <v>0</v>
      </c>
      <c r="L1013" s="1">
        <f t="shared" si="49"/>
        <v>0</v>
      </c>
      <c r="M1013" s="1">
        <f t="shared" si="50"/>
        <v>0</v>
      </c>
    </row>
    <row r="1014" spans="11:13">
      <c r="K1014" s="1">
        <f t="shared" si="48"/>
        <v>0</v>
      </c>
      <c r="L1014" s="1">
        <f t="shared" si="49"/>
        <v>0</v>
      </c>
      <c r="M1014" s="1">
        <f t="shared" si="50"/>
        <v>0</v>
      </c>
    </row>
    <row r="1015" spans="11:13">
      <c r="K1015" s="1">
        <f t="shared" si="48"/>
        <v>0</v>
      </c>
      <c r="L1015" s="1">
        <f t="shared" si="49"/>
        <v>0</v>
      </c>
      <c r="M1015" s="1">
        <f t="shared" si="50"/>
        <v>0</v>
      </c>
    </row>
    <row r="1016" spans="11:13">
      <c r="K1016" s="1">
        <f t="shared" si="48"/>
        <v>0</v>
      </c>
      <c r="L1016" s="1">
        <f t="shared" si="49"/>
        <v>0</v>
      </c>
      <c r="M1016" s="1">
        <f t="shared" si="50"/>
        <v>0</v>
      </c>
    </row>
    <row r="1017" spans="11:13">
      <c r="K1017" s="1">
        <f t="shared" si="48"/>
        <v>0</v>
      </c>
      <c r="L1017" s="1">
        <f t="shared" si="49"/>
        <v>0</v>
      </c>
      <c r="M1017" s="1">
        <f t="shared" si="50"/>
        <v>0</v>
      </c>
    </row>
    <row r="1018" spans="11:13">
      <c r="K1018" s="1">
        <f t="shared" si="48"/>
        <v>0</v>
      </c>
      <c r="L1018" s="1">
        <f t="shared" si="49"/>
        <v>0</v>
      </c>
      <c r="M1018" s="1">
        <f t="shared" si="50"/>
        <v>0</v>
      </c>
    </row>
    <row r="1019" spans="11:13">
      <c r="K1019" s="1">
        <f t="shared" si="48"/>
        <v>0</v>
      </c>
      <c r="L1019" s="1">
        <f t="shared" si="49"/>
        <v>0</v>
      </c>
      <c r="M1019" s="1">
        <f t="shared" si="50"/>
        <v>0</v>
      </c>
    </row>
    <row r="1020" spans="11:13">
      <c r="K1020" s="1">
        <f t="shared" si="48"/>
        <v>0</v>
      </c>
      <c r="L1020" s="1">
        <f t="shared" si="49"/>
        <v>0</v>
      </c>
      <c r="M1020" s="1">
        <f t="shared" si="50"/>
        <v>0</v>
      </c>
    </row>
    <row r="1021" spans="11:13">
      <c r="K1021" s="1">
        <f t="shared" si="48"/>
        <v>0</v>
      </c>
      <c r="L1021" s="1">
        <f t="shared" si="49"/>
        <v>0</v>
      </c>
      <c r="M1021" s="1">
        <f t="shared" si="50"/>
        <v>0</v>
      </c>
    </row>
    <row r="1022" spans="11:13">
      <c r="K1022" s="1">
        <f t="shared" si="48"/>
        <v>0</v>
      </c>
      <c r="L1022" s="1">
        <f t="shared" si="49"/>
        <v>0</v>
      </c>
      <c r="M1022" s="1">
        <f t="shared" si="50"/>
        <v>0</v>
      </c>
    </row>
    <row r="1023" spans="11:13">
      <c r="K1023" s="1">
        <f t="shared" si="48"/>
        <v>0</v>
      </c>
      <c r="L1023" s="1">
        <f t="shared" si="49"/>
        <v>0</v>
      </c>
      <c r="M1023" s="1">
        <f t="shared" si="50"/>
        <v>0</v>
      </c>
    </row>
    <row r="1024" spans="11:13">
      <c r="K1024" s="1">
        <f t="shared" si="48"/>
        <v>0</v>
      </c>
      <c r="L1024" s="1">
        <f t="shared" si="49"/>
        <v>0</v>
      </c>
      <c r="M1024" s="1">
        <f t="shared" si="50"/>
        <v>0</v>
      </c>
    </row>
    <row r="1025" spans="11:13">
      <c r="K1025" s="1">
        <f t="shared" si="48"/>
        <v>0</v>
      </c>
      <c r="L1025" s="1">
        <f t="shared" si="49"/>
        <v>0</v>
      </c>
      <c r="M1025" s="1">
        <f t="shared" si="50"/>
        <v>0</v>
      </c>
    </row>
    <row r="1026" spans="11:13">
      <c r="K1026" s="1">
        <f t="shared" si="48"/>
        <v>0</v>
      </c>
      <c r="L1026" s="1">
        <f t="shared" si="49"/>
        <v>0</v>
      </c>
      <c r="M1026" s="1">
        <f t="shared" si="50"/>
        <v>0</v>
      </c>
    </row>
    <row r="1027" spans="11:13">
      <c r="K1027" s="1">
        <f t="shared" si="48"/>
        <v>0</v>
      </c>
      <c r="L1027" s="1">
        <f t="shared" si="49"/>
        <v>0</v>
      </c>
      <c r="M1027" s="1">
        <f t="shared" si="50"/>
        <v>0</v>
      </c>
    </row>
    <row r="1028" spans="11:13">
      <c r="K1028" s="1">
        <f t="shared" si="48"/>
        <v>0</v>
      </c>
      <c r="L1028" s="1">
        <f t="shared" si="49"/>
        <v>0</v>
      </c>
      <c r="M1028" s="1">
        <f t="shared" si="50"/>
        <v>0</v>
      </c>
    </row>
    <row r="1029" spans="11:13">
      <c r="K1029" s="1">
        <f t="shared" si="48"/>
        <v>0</v>
      </c>
      <c r="L1029" s="1">
        <f t="shared" si="49"/>
        <v>0</v>
      </c>
      <c r="M1029" s="1">
        <f t="shared" si="50"/>
        <v>0</v>
      </c>
    </row>
    <row r="1030" spans="11:13">
      <c r="K1030" s="1">
        <f t="shared" si="48"/>
        <v>0</v>
      </c>
      <c r="L1030" s="1">
        <f t="shared" si="49"/>
        <v>0</v>
      </c>
      <c r="M1030" s="1">
        <f t="shared" si="50"/>
        <v>0</v>
      </c>
    </row>
    <row r="1031" spans="11:13">
      <c r="K1031" s="1">
        <f t="shared" si="48"/>
        <v>0</v>
      </c>
      <c r="L1031" s="1">
        <f t="shared" si="49"/>
        <v>0</v>
      </c>
      <c r="M1031" s="1">
        <f t="shared" si="50"/>
        <v>0</v>
      </c>
    </row>
    <row r="1032" spans="11:13">
      <c r="K1032" s="1">
        <f t="shared" si="48"/>
        <v>0</v>
      </c>
      <c r="L1032" s="1">
        <f t="shared" si="49"/>
        <v>0</v>
      </c>
      <c r="M1032" s="1">
        <f t="shared" si="50"/>
        <v>0</v>
      </c>
    </row>
    <row r="1033" spans="11:13">
      <c r="K1033" s="1">
        <f t="shared" si="48"/>
        <v>0</v>
      </c>
      <c r="L1033" s="1">
        <f t="shared" si="49"/>
        <v>0</v>
      </c>
      <c r="M1033" s="1">
        <f t="shared" si="50"/>
        <v>0</v>
      </c>
    </row>
    <row r="1034" spans="11:13">
      <c r="K1034" s="1">
        <f t="shared" si="48"/>
        <v>0</v>
      </c>
      <c r="L1034" s="1">
        <f t="shared" si="49"/>
        <v>0</v>
      </c>
      <c r="M1034" s="1">
        <f t="shared" si="50"/>
        <v>0</v>
      </c>
    </row>
    <row r="1035" spans="11:13">
      <c r="K1035" s="1">
        <f t="shared" si="48"/>
        <v>0</v>
      </c>
      <c r="L1035" s="1">
        <f t="shared" si="49"/>
        <v>0</v>
      </c>
      <c r="M1035" s="1">
        <f t="shared" si="50"/>
        <v>0</v>
      </c>
    </row>
    <row r="1036" spans="11:13">
      <c r="K1036" s="1">
        <f t="shared" si="48"/>
        <v>0</v>
      </c>
      <c r="L1036" s="1">
        <f t="shared" si="49"/>
        <v>0</v>
      </c>
      <c r="M1036" s="1">
        <f t="shared" si="50"/>
        <v>0</v>
      </c>
    </row>
    <row r="1037" spans="11:13">
      <c r="K1037" s="1">
        <f t="shared" si="48"/>
        <v>0</v>
      </c>
      <c r="L1037" s="1">
        <f t="shared" si="49"/>
        <v>0</v>
      </c>
      <c r="M1037" s="1">
        <f t="shared" si="50"/>
        <v>0</v>
      </c>
    </row>
    <row r="1038" spans="11:13">
      <c r="K1038" s="1">
        <f t="shared" si="48"/>
        <v>0</v>
      </c>
      <c r="L1038" s="1">
        <f t="shared" si="49"/>
        <v>0</v>
      </c>
      <c r="M1038" s="1">
        <f t="shared" si="50"/>
        <v>0</v>
      </c>
    </row>
    <row r="1039" spans="11:13">
      <c r="K1039" s="1">
        <f t="shared" si="48"/>
        <v>0</v>
      </c>
      <c r="L1039" s="1">
        <f t="shared" si="49"/>
        <v>0</v>
      </c>
      <c r="M1039" s="1">
        <f t="shared" si="50"/>
        <v>0</v>
      </c>
    </row>
    <row r="1040" spans="11:13">
      <c r="K1040" s="1">
        <f t="shared" si="48"/>
        <v>0</v>
      </c>
      <c r="L1040" s="1">
        <f t="shared" si="49"/>
        <v>0</v>
      </c>
      <c r="M1040" s="1">
        <f t="shared" si="50"/>
        <v>0</v>
      </c>
    </row>
    <row r="1041" spans="11:13">
      <c r="K1041" s="1">
        <f t="shared" si="48"/>
        <v>0</v>
      </c>
      <c r="L1041" s="1">
        <f t="shared" si="49"/>
        <v>0</v>
      </c>
      <c r="M1041" s="1">
        <f t="shared" si="50"/>
        <v>0</v>
      </c>
    </row>
    <row r="1042" spans="11:13">
      <c r="K1042" s="1">
        <f t="shared" si="48"/>
        <v>0</v>
      </c>
      <c r="L1042" s="1">
        <f t="shared" si="49"/>
        <v>0</v>
      </c>
      <c r="M1042" s="1">
        <f t="shared" si="50"/>
        <v>0</v>
      </c>
    </row>
    <row r="1043" spans="11:13">
      <c r="K1043" s="1">
        <f t="shared" si="48"/>
        <v>0</v>
      </c>
      <c r="L1043" s="1">
        <f t="shared" si="49"/>
        <v>0</v>
      </c>
      <c r="M1043" s="1">
        <f t="shared" si="50"/>
        <v>0</v>
      </c>
    </row>
    <row r="1044" spans="11:13">
      <c r="K1044" s="1">
        <f t="shared" si="48"/>
        <v>0</v>
      </c>
      <c r="L1044" s="1">
        <f t="shared" si="49"/>
        <v>0</v>
      </c>
      <c r="M1044" s="1">
        <f t="shared" si="50"/>
        <v>0</v>
      </c>
    </row>
    <row r="1045" spans="11:13">
      <c r="K1045" s="1">
        <f t="shared" si="48"/>
        <v>0</v>
      </c>
      <c r="L1045" s="1">
        <f t="shared" si="49"/>
        <v>0</v>
      </c>
      <c r="M1045" s="1">
        <f t="shared" si="50"/>
        <v>0</v>
      </c>
    </row>
    <row r="1046" spans="11:13">
      <c r="K1046" s="1">
        <f t="shared" si="48"/>
        <v>0</v>
      </c>
      <c r="L1046" s="1">
        <f t="shared" si="49"/>
        <v>0</v>
      </c>
      <c r="M1046" s="1">
        <f t="shared" si="50"/>
        <v>0</v>
      </c>
    </row>
    <row r="1047" spans="11:13">
      <c r="K1047" s="1">
        <f t="shared" si="48"/>
        <v>0</v>
      </c>
      <c r="L1047" s="1">
        <f t="shared" si="49"/>
        <v>0</v>
      </c>
      <c r="M1047" s="1">
        <f t="shared" si="50"/>
        <v>0</v>
      </c>
    </row>
    <row r="1048" spans="11:13">
      <c r="K1048" s="1">
        <f t="shared" si="48"/>
        <v>0</v>
      </c>
      <c r="L1048" s="1">
        <f t="shared" si="49"/>
        <v>0</v>
      </c>
      <c r="M1048" s="1">
        <f t="shared" si="50"/>
        <v>0</v>
      </c>
    </row>
    <row r="1049" spans="11:13">
      <c r="K1049" s="1">
        <f t="shared" si="48"/>
        <v>0</v>
      </c>
      <c r="L1049" s="1">
        <f t="shared" si="49"/>
        <v>0</v>
      </c>
      <c r="M1049" s="1">
        <f t="shared" si="50"/>
        <v>0</v>
      </c>
    </row>
    <row r="1050" spans="11:13">
      <c r="K1050" s="1">
        <f t="shared" si="48"/>
        <v>0</v>
      </c>
      <c r="L1050" s="1">
        <f t="shared" si="49"/>
        <v>0</v>
      </c>
      <c r="M1050" s="1">
        <f t="shared" si="50"/>
        <v>0</v>
      </c>
    </row>
    <row r="1051" spans="11:13">
      <c r="K1051" s="1">
        <f t="shared" si="48"/>
        <v>0</v>
      </c>
      <c r="L1051" s="1">
        <f t="shared" si="49"/>
        <v>0</v>
      </c>
      <c r="M1051" s="1">
        <f t="shared" si="50"/>
        <v>0</v>
      </c>
    </row>
    <row r="1052" spans="11:13">
      <c r="K1052" s="1">
        <f t="shared" si="48"/>
        <v>0</v>
      </c>
      <c r="L1052" s="1">
        <f t="shared" si="49"/>
        <v>0</v>
      </c>
      <c r="M1052" s="1">
        <f t="shared" si="50"/>
        <v>0</v>
      </c>
    </row>
    <row r="1053" spans="11:13">
      <c r="K1053" s="1">
        <f t="shared" si="48"/>
        <v>0</v>
      </c>
      <c r="L1053" s="1">
        <f t="shared" si="49"/>
        <v>0</v>
      </c>
      <c r="M1053" s="1">
        <f t="shared" si="50"/>
        <v>0</v>
      </c>
    </row>
    <row r="1054" spans="11:13">
      <c r="K1054" s="1">
        <f t="shared" si="48"/>
        <v>0</v>
      </c>
      <c r="L1054" s="1">
        <f t="shared" si="49"/>
        <v>0</v>
      </c>
      <c r="M1054" s="1">
        <f t="shared" si="50"/>
        <v>0</v>
      </c>
    </row>
    <row r="1055" spans="11:13">
      <c r="K1055" s="1">
        <f t="shared" si="48"/>
        <v>0</v>
      </c>
      <c r="L1055" s="1">
        <f t="shared" si="49"/>
        <v>0</v>
      </c>
      <c r="M1055" s="1">
        <f t="shared" si="50"/>
        <v>0</v>
      </c>
    </row>
    <row r="1056" spans="11:13">
      <c r="K1056" s="1">
        <f t="shared" si="48"/>
        <v>0</v>
      </c>
      <c r="L1056" s="1">
        <f t="shared" si="49"/>
        <v>0</v>
      </c>
      <c r="M1056" s="1">
        <f t="shared" si="50"/>
        <v>0</v>
      </c>
    </row>
    <row r="1057" spans="11:13">
      <c r="K1057" s="1">
        <f t="shared" si="48"/>
        <v>0</v>
      </c>
      <c r="L1057" s="1">
        <f t="shared" si="49"/>
        <v>0</v>
      </c>
      <c r="M1057" s="1">
        <f t="shared" si="50"/>
        <v>0</v>
      </c>
    </row>
    <row r="1058" spans="11:13">
      <c r="K1058" s="1">
        <f t="shared" si="48"/>
        <v>0</v>
      </c>
      <c r="L1058" s="1">
        <f t="shared" si="49"/>
        <v>0</v>
      </c>
      <c r="M1058" s="1">
        <f t="shared" si="50"/>
        <v>0</v>
      </c>
    </row>
    <row r="1059" spans="11:13">
      <c r="K1059" s="1">
        <f t="shared" si="48"/>
        <v>0</v>
      </c>
      <c r="L1059" s="1">
        <f t="shared" si="49"/>
        <v>0</v>
      </c>
      <c r="M1059" s="1">
        <f t="shared" si="50"/>
        <v>0</v>
      </c>
    </row>
    <row r="1060" spans="11:13">
      <c r="K1060" s="1">
        <f t="shared" si="48"/>
        <v>0</v>
      </c>
      <c r="L1060" s="1">
        <f t="shared" si="49"/>
        <v>0</v>
      </c>
      <c r="M1060" s="1">
        <f t="shared" si="50"/>
        <v>0</v>
      </c>
    </row>
    <row r="1061" spans="11:13">
      <c r="K1061" s="1">
        <f t="shared" si="48"/>
        <v>0</v>
      </c>
      <c r="L1061" s="1">
        <f t="shared" si="49"/>
        <v>0</v>
      </c>
      <c r="M1061" s="1">
        <f t="shared" si="50"/>
        <v>0</v>
      </c>
    </row>
    <row r="1062" spans="11:13">
      <c r="K1062" s="1">
        <f t="shared" si="48"/>
        <v>0</v>
      </c>
      <c r="L1062" s="1">
        <f t="shared" si="49"/>
        <v>0</v>
      </c>
      <c r="M1062" s="1">
        <f t="shared" si="50"/>
        <v>0</v>
      </c>
    </row>
    <row r="1063" spans="11:13">
      <c r="K1063" s="1">
        <f t="shared" ref="K1063:K1126" si="51">J1063-C1063</f>
        <v>0</v>
      </c>
      <c r="L1063" s="1">
        <f t="shared" ref="L1063:L1126" si="52">IF(C1063&gt;0,C1063,0)</f>
        <v>0</v>
      </c>
      <c r="M1063" s="1">
        <f t="shared" ref="M1063:M1126" si="53">IF(C1063&lt;0,C1063,0)</f>
        <v>0</v>
      </c>
    </row>
    <row r="1064" spans="11:13">
      <c r="K1064" s="1">
        <f t="shared" si="51"/>
        <v>0</v>
      </c>
      <c r="L1064" s="1">
        <f t="shared" si="52"/>
        <v>0</v>
      </c>
      <c r="M1064" s="1">
        <f t="shared" si="53"/>
        <v>0</v>
      </c>
    </row>
    <row r="1065" spans="11:13">
      <c r="K1065" s="1">
        <f t="shared" si="51"/>
        <v>0</v>
      </c>
      <c r="L1065" s="1">
        <f t="shared" si="52"/>
        <v>0</v>
      </c>
      <c r="M1065" s="1">
        <f t="shared" si="53"/>
        <v>0</v>
      </c>
    </row>
    <row r="1066" spans="11:13">
      <c r="K1066" s="1">
        <f t="shared" si="51"/>
        <v>0</v>
      </c>
      <c r="L1066" s="1">
        <f t="shared" si="52"/>
        <v>0</v>
      </c>
      <c r="M1066" s="1">
        <f t="shared" si="53"/>
        <v>0</v>
      </c>
    </row>
    <row r="1067" spans="11:13">
      <c r="K1067" s="1">
        <f t="shared" si="51"/>
        <v>0</v>
      </c>
      <c r="L1067" s="1">
        <f t="shared" si="52"/>
        <v>0</v>
      </c>
      <c r="M1067" s="1">
        <f t="shared" si="53"/>
        <v>0</v>
      </c>
    </row>
    <row r="1068" spans="11:13">
      <c r="K1068" s="1">
        <f t="shared" si="51"/>
        <v>0</v>
      </c>
      <c r="L1068" s="1">
        <f t="shared" si="52"/>
        <v>0</v>
      </c>
      <c r="M1068" s="1">
        <f t="shared" si="53"/>
        <v>0</v>
      </c>
    </row>
    <row r="1069" spans="11:13">
      <c r="K1069" s="1">
        <f t="shared" si="51"/>
        <v>0</v>
      </c>
      <c r="L1069" s="1">
        <f t="shared" si="52"/>
        <v>0</v>
      </c>
      <c r="M1069" s="1">
        <f t="shared" si="53"/>
        <v>0</v>
      </c>
    </row>
    <row r="1070" spans="11:13">
      <c r="K1070" s="1">
        <f t="shared" si="51"/>
        <v>0</v>
      </c>
      <c r="L1070" s="1">
        <f t="shared" si="52"/>
        <v>0</v>
      </c>
      <c r="M1070" s="1">
        <f t="shared" si="53"/>
        <v>0</v>
      </c>
    </row>
    <row r="1071" spans="11:13">
      <c r="K1071" s="1">
        <f t="shared" si="51"/>
        <v>0</v>
      </c>
      <c r="L1071" s="1">
        <f t="shared" si="52"/>
        <v>0</v>
      </c>
      <c r="M1071" s="1">
        <f t="shared" si="53"/>
        <v>0</v>
      </c>
    </row>
    <row r="1072" spans="11:13">
      <c r="K1072" s="1">
        <f t="shared" si="51"/>
        <v>0</v>
      </c>
      <c r="L1072" s="1">
        <f t="shared" si="52"/>
        <v>0</v>
      </c>
      <c r="M1072" s="1">
        <f t="shared" si="53"/>
        <v>0</v>
      </c>
    </row>
    <row r="1073" spans="11:13">
      <c r="K1073" s="1">
        <f t="shared" si="51"/>
        <v>0</v>
      </c>
      <c r="L1073" s="1">
        <f t="shared" si="52"/>
        <v>0</v>
      </c>
      <c r="M1073" s="1">
        <f t="shared" si="53"/>
        <v>0</v>
      </c>
    </row>
    <row r="1074" spans="11:13">
      <c r="K1074" s="1">
        <f t="shared" si="51"/>
        <v>0</v>
      </c>
      <c r="L1074" s="1">
        <f t="shared" si="52"/>
        <v>0</v>
      </c>
      <c r="M1074" s="1">
        <f t="shared" si="53"/>
        <v>0</v>
      </c>
    </row>
    <row r="1075" spans="11:13">
      <c r="K1075" s="1">
        <f t="shared" si="51"/>
        <v>0</v>
      </c>
      <c r="L1075" s="1">
        <f t="shared" si="52"/>
        <v>0</v>
      </c>
      <c r="M1075" s="1">
        <f t="shared" si="53"/>
        <v>0</v>
      </c>
    </row>
    <row r="1076" spans="11:13">
      <c r="K1076" s="1">
        <f t="shared" si="51"/>
        <v>0</v>
      </c>
      <c r="L1076" s="1">
        <f t="shared" si="52"/>
        <v>0</v>
      </c>
      <c r="M1076" s="1">
        <f t="shared" si="53"/>
        <v>0</v>
      </c>
    </row>
    <row r="1077" spans="11:13">
      <c r="K1077" s="1">
        <f t="shared" si="51"/>
        <v>0</v>
      </c>
      <c r="L1077" s="1">
        <f t="shared" si="52"/>
        <v>0</v>
      </c>
      <c r="M1077" s="1">
        <f t="shared" si="53"/>
        <v>0</v>
      </c>
    </row>
    <row r="1078" spans="11:13">
      <c r="K1078" s="1">
        <f t="shared" si="51"/>
        <v>0</v>
      </c>
      <c r="L1078" s="1">
        <f t="shared" si="52"/>
        <v>0</v>
      </c>
      <c r="M1078" s="1">
        <f t="shared" si="53"/>
        <v>0</v>
      </c>
    </row>
    <row r="1079" spans="11:13">
      <c r="K1079" s="1">
        <f t="shared" si="51"/>
        <v>0</v>
      </c>
      <c r="L1079" s="1">
        <f t="shared" si="52"/>
        <v>0</v>
      </c>
      <c r="M1079" s="1">
        <f t="shared" si="53"/>
        <v>0</v>
      </c>
    </row>
    <row r="1080" spans="11:13">
      <c r="K1080" s="1">
        <f t="shared" si="51"/>
        <v>0</v>
      </c>
      <c r="L1080" s="1">
        <f t="shared" si="52"/>
        <v>0</v>
      </c>
      <c r="M1080" s="1">
        <f t="shared" si="53"/>
        <v>0</v>
      </c>
    </row>
    <row r="1081" spans="11:13">
      <c r="K1081" s="1">
        <f t="shared" si="51"/>
        <v>0</v>
      </c>
      <c r="L1081" s="1">
        <f t="shared" si="52"/>
        <v>0</v>
      </c>
      <c r="M1081" s="1">
        <f t="shared" si="53"/>
        <v>0</v>
      </c>
    </row>
    <row r="1082" spans="11:13">
      <c r="K1082" s="1">
        <f t="shared" si="51"/>
        <v>0</v>
      </c>
      <c r="L1082" s="1">
        <f t="shared" si="52"/>
        <v>0</v>
      </c>
      <c r="M1082" s="1">
        <f t="shared" si="53"/>
        <v>0</v>
      </c>
    </row>
    <row r="1083" spans="11:13">
      <c r="K1083" s="1">
        <f t="shared" si="51"/>
        <v>0</v>
      </c>
      <c r="L1083" s="1">
        <f t="shared" si="52"/>
        <v>0</v>
      </c>
      <c r="M1083" s="1">
        <f t="shared" si="53"/>
        <v>0</v>
      </c>
    </row>
    <row r="1084" spans="11:13">
      <c r="K1084" s="1">
        <f t="shared" si="51"/>
        <v>0</v>
      </c>
      <c r="L1084" s="1">
        <f t="shared" si="52"/>
        <v>0</v>
      </c>
      <c r="M1084" s="1">
        <f t="shared" si="53"/>
        <v>0</v>
      </c>
    </row>
    <row r="1085" spans="11:13">
      <c r="K1085" s="1">
        <f t="shared" si="51"/>
        <v>0</v>
      </c>
      <c r="L1085" s="1">
        <f t="shared" si="52"/>
        <v>0</v>
      </c>
      <c r="M1085" s="1">
        <f t="shared" si="53"/>
        <v>0</v>
      </c>
    </row>
    <row r="1086" spans="11:13">
      <c r="K1086" s="1">
        <f t="shared" si="51"/>
        <v>0</v>
      </c>
      <c r="L1086" s="1">
        <f t="shared" si="52"/>
        <v>0</v>
      </c>
      <c r="M1086" s="1">
        <f t="shared" si="53"/>
        <v>0</v>
      </c>
    </row>
    <row r="1087" spans="11:13">
      <c r="K1087" s="1">
        <f t="shared" si="51"/>
        <v>0</v>
      </c>
      <c r="L1087" s="1">
        <f t="shared" si="52"/>
        <v>0</v>
      </c>
      <c r="M1087" s="1">
        <f t="shared" si="53"/>
        <v>0</v>
      </c>
    </row>
    <row r="1088" spans="11:13">
      <c r="K1088" s="1">
        <f t="shared" si="51"/>
        <v>0</v>
      </c>
      <c r="L1088" s="1">
        <f t="shared" si="52"/>
        <v>0</v>
      </c>
      <c r="M1088" s="1">
        <f t="shared" si="53"/>
        <v>0</v>
      </c>
    </row>
    <row r="1089" spans="11:13">
      <c r="K1089" s="1">
        <f t="shared" si="51"/>
        <v>0</v>
      </c>
      <c r="L1089" s="1">
        <f t="shared" si="52"/>
        <v>0</v>
      </c>
      <c r="M1089" s="1">
        <f t="shared" si="53"/>
        <v>0</v>
      </c>
    </row>
    <row r="1090" spans="11:13">
      <c r="K1090" s="1">
        <f t="shared" si="51"/>
        <v>0</v>
      </c>
      <c r="L1090" s="1">
        <f t="shared" si="52"/>
        <v>0</v>
      </c>
      <c r="M1090" s="1">
        <f t="shared" si="53"/>
        <v>0</v>
      </c>
    </row>
    <row r="1091" spans="11:13">
      <c r="K1091" s="1">
        <f t="shared" si="51"/>
        <v>0</v>
      </c>
      <c r="L1091" s="1">
        <f t="shared" si="52"/>
        <v>0</v>
      </c>
      <c r="M1091" s="1">
        <f t="shared" si="53"/>
        <v>0</v>
      </c>
    </row>
    <row r="1092" spans="11:13">
      <c r="K1092" s="1">
        <f t="shared" si="51"/>
        <v>0</v>
      </c>
      <c r="L1092" s="1">
        <f t="shared" si="52"/>
        <v>0</v>
      </c>
      <c r="M1092" s="1">
        <f t="shared" si="53"/>
        <v>0</v>
      </c>
    </row>
    <row r="1093" spans="11:13">
      <c r="K1093" s="1">
        <f t="shared" si="51"/>
        <v>0</v>
      </c>
      <c r="L1093" s="1">
        <f t="shared" si="52"/>
        <v>0</v>
      </c>
      <c r="M1093" s="1">
        <f t="shared" si="53"/>
        <v>0</v>
      </c>
    </row>
    <row r="1094" spans="11:13">
      <c r="K1094" s="1">
        <f t="shared" si="51"/>
        <v>0</v>
      </c>
      <c r="L1094" s="1">
        <f t="shared" si="52"/>
        <v>0</v>
      </c>
      <c r="M1094" s="1">
        <f t="shared" si="53"/>
        <v>0</v>
      </c>
    </row>
    <row r="1095" spans="11:13">
      <c r="K1095" s="1">
        <f t="shared" si="51"/>
        <v>0</v>
      </c>
      <c r="L1095" s="1">
        <f t="shared" si="52"/>
        <v>0</v>
      </c>
      <c r="M1095" s="1">
        <f t="shared" si="53"/>
        <v>0</v>
      </c>
    </row>
    <row r="1096" spans="11:13">
      <c r="K1096" s="1">
        <f t="shared" si="51"/>
        <v>0</v>
      </c>
      <c r="L1096" s="1">
        <f t="shared" si="52"/>
        <v>0</v>
      </c>
      <c r="M1096" s="1">
        <f t="shared" si="53"/>
        <v>0</v>
      </c>
    </row>
    <row r="1097" spans="11:13">
      <c r="K1097" s="1">
        <f t="shared" si="51"/>
        <v>0</v>
      </c>
      <c r="L1097" s="1">
        <f t="shared" si="52"/>
        <v>0</v>
      </c>
      <c r="M1097" s="1">
        <f t="shared" si="53"/>
        <v>0</v>
      </c>
    </row>
    <row r="1098" spans="11:13">
      <c r="K1098" s="1">
        <f t="shared" si="51"/>
        <v>0</v>
      </c>
      <c r="L1098" s="1">
        <f t="shared" si="52"/>
        <v>0</v>
      </c>
      <c r="M1098" s="1">
        <f t="shared" si="53"/>
        <v>0</v>
      </c>
    </row>
    <row r="1099" spans="11:13">
      <c r="K1099" s="1">
        <f t="shared" si="51"/>
        <v>0</v>
      </c>
      <c r="L1099" s="1">
        <f t="shared" si="52"/>
        <v>0</v>
      </c>
      <c r="M1099" s="1">
        <f t="shared" si="53"/>
        <v>0</v>
      </c>
    </row>
    <row r="1100" spans="11:13">
      <c r="K1100" s="1">
        <f t="shared" si="51"/>
        <v>0</v>
      </c>
      <c r="L1100" s="1">
        <f t="shared" si="52"/>
        <v>0</v>
      </c>
      <c r="M1100" s="1">
        <f t="shared" si="53"/>
        <v>0</v>
      </c>
    </row>
    <row r="1101" spans="11:13">
      <c r="K1101" s="1">
        <f t="shared" si="51"/>
        <v>0</v>
      </c>
      <c r="L1101" s="1">
        <f t="shared" si="52"/>
        <v>0</v>
      </c>
      <c r="M1101" s="1">
        <f t="shared" si="53"/>
        <v>0</v>
      </c>
    </row>
    <row r="1102" spans="11:13">
      <c r="K1102" s="1">
        <f t="shared" si="51"/>
        <v>0</v>
      </c>
      <c r="L1102" s="1">
        <f t="shared" si="52"/>
        <v>0</v>
      </c>
      <c r="M1102" s="1">
        <f t="shared" si="53"/>
        <v>0</v>
      </c>
    </row>
    <row r="1103" spans="11:13">
      <c r="K1103" s="1">
        <f t="shared" si="51"/>
        <v>0</v>
      </c>
      <c r="L1103" s="1">
        <f t="shared" si="52"/>
        <v>0</v>
      </c>
      <c r="M1103" s="1">
        <f t="shared" si="53"/>
        <v>0</v>
      </c>
    </row>
    <row r="1104" spans="11:13">
      <c r="K1104" s="1">
        <f t="shared" si="51"/>
        <v>0</v>
      </c>
      <c r="L1104" s="1">
        <f t="shared" si="52"/>
        <v>0</v>
      </c>
      <c r="M1104" s="1">
        <f t="shared" si="53"/>
        <v>0</v>
      </c>
    </row>
    <row r="1105" spans="11:13">
      <c r="K1105" s="1">
        <f t="shared" si="51"/>
        <v>0</v>
      </c>
      <c r="L1105" s="1">
        <f t="shared" si="52"/>
        <v>0</v>
      </c>
      <c r="M1105" s="1">
        <f t="shared" si="53"/>
        <v>0</v>
      </c>
    </row>
    <row r="1106" spans="11:13">
      <c r="K1106" s="1">
        <f t="shared" si="51"/>
        <v>0</v>
      </c>
      <c r="L1106" s="1">
        <f t="shared" si="52"/>
        <v>0</v>
      </c>
      <c r="M1106" s="1">
        <f t="shared" si="53"/>
        <v>0</v>
      </c>
    </row>
    <row r="1107" spans="11:13">
      <c r="K1107" s="1">
        <f t="shared" si="51"/>
        <v>0</v>
      </c>
      <c r="L1107" s="1">
        <f t="shared" si="52"/>
        <v>0</v>
      </c>
      <c r="M1107" s="1">
        <f t="shared" si="53"/>
        <v>0</v>
      </c>
    </row>
    <row r="1108" spans="11:13">
      <c r="K1108" s="1">
        <f t="shared" si="51"/>
        <v>0</v>
      </c>
      <c r="L1108" s="1">
        <f t="shared" si="52"/>
        <v>0</v>
      </c>
      <c r="M1108" s="1">
        <f t="shared" si="53"/>
        <v>0</v>
      </c>
    </row>
    <row r="1109" spans="11:13">
      <c r="K1109" s="1">
        <f t="shared" si="51"/>
        <v>0</v>
      </c>
      <c r="L1109" s="1">
        <f t="shared" si="52"/>
        <v>0</v>
      </c>
      <c r="M1109" s="1">
        <f t="shared" si="53"/>
        <v>0</v>
      </c>
    </row>
    <row r="1110" spans="11:13">
      <c r="K1110" s="1">
        <f t="shared" si="51"/>
        <v>0</v>
      </c>
      <c r="L1110" s="1">
        <f t="shared" si="52"/>
        <v>0</v>
      </c>
      <c r="M1110" s="1">
        <f t="shared" si="53"/>
        <v>0</v>
      </c>
    </row>
    <row r="1111" spans="11:13">
      <c r="K1111" s="1">
        <f t="shared" si="51"/>
        <v>0</v>
      </c>
      <c r="L1111" s="1">
        <f t="shared" si="52"/>
        <v>0</v>
      </c>
      <c r="M1111" s="1">
        <f t="shared" si="53"/>
        <v>0</v>
      </c>
    </row>
    <row r="1112" spans="11:13">
      <c r="K1112" s="1">
        <f t="shared" si="51"/>
        <v>0</v>
      </c>
      <c r="L1112" s="1">
        <f t="shared" si="52"/>
        <v>0</v>
      </c>
      <c r="M1112" s="1">
        <f t="shared" si="53"/>
        <v>0</v>
      </c>
    </row>
    <row r="1113" spans="11:13">
      <c r="K1113" s="1">
        <f t="shared" si="51"/>
        <v>0</v>
      </c>
      <c r="L1113" s="1">
        <f t="shared" si="52"/>
        <v>0</v>
      </c>
      <c r="M1113" s="1">
        <f t="shared" si="53"/>
        <v>0</v>
      </c>
    </row>
    <row r="1114" spans="11:13">
      <c r="K1114" s="1">
        <f t="shared" si="51"/>
        <v>0</v>
      </c>
      <c r="L1114" s="1">
        <f t="shared" si="52"/>
        <v>0</v>
      </c>
      <c r="M1114" s="1">
        <f t="shared" si="53"/>
        <v>0</v>
      </c>
    </row>
    <row r="1115" spans="11:13">
      <c r="K1115" s="1">
        <f t="shared" si="51"/>
        <v>0</v>
      </c>
      <c r="L1115" s="1">
        <f t="shared" si="52"/>
        <v>0</v>
      </c>
      <c r="M1115" s="1">
        <f t="shared" si="53"/>
        <v>0</v>
      </c>
    </row>
    <row r="1116" spans="11:13">
      <c r="K1116" s="1">
        <f t="shared" si="51"/>
        <v>0</v>
      </c>
      <c r="L1116" s="1">
        <f t="shared" si="52"/>
        <v>0</v>
      </c>
      <c r="M1116" s="1">
        <f t="shared" si="53"/>
        <v>0</v>
      </c>
    </row>
    <row r="1117" spans="11:13">
      <c r="K1117" s="1">
        <f t="shared" si="51"/>
        <v>0</v>
      </c>
      <c r="L1117" s="1">
        <f t="shared" si="52"/>
        <v>0</v>
      </c>
      <c r="M1117" s="1">
        <f t="shared" si="53"/>
        <v>0</v>
      </c>
    </row>
    <row r="1118" spans="11:13">
      <c r="K1118" s="1">
        <f t="shared" si="51"/>
        <v>0</v>
      </c>
      <c r="L1118" s="1">
        <f t="shared" si="52"/>
        <v>0</v>
      </c>
      <c r="M1118" s="1">
        <f t="shared" si="53"/>
        <v>0</v>
      </c>
    </row>
    <row r="1119" spans="11:13">
      <c r="K1119" s="1">
        <f t="shared" si="51"/>
        <v>0</v>
      </c>
      <c r="L1119" s="1">
        <f t="shared" si="52"/>
        <v>0</v>
      </c>
      <c r="M1119" s="1">
        <f t="shared" si="53"/>
        <v>0</v>
      </c>
    </row>
    <row r="1120" spans="11:13">
      <c r="K1120" s="1">
        <f t="shared" si="51"/>
        <v>0</v>
      </c>
      <c r="L1120" s="1">
        <f t="shared" si="52"/>
        <v>0</v>
      </c>
      <c r="M1120" s="1">
        <f t="shared" si="53"/>
        <v>0</v>
      </c>
    </row>
    <row r="1121" spans="11:13">
      <c r="K1121" s="1">
        <f t="shared" si="51"/>
        <v>0</v>
      </c>
      <c r="L1121" s="1">
        <f t="shared" si="52"/>
        <v>0</v>
      </c>
      <c r="M1121" s="1">
        <f t="shared" si="53"/>
        <v>0</v>
      </c>
    </row>
    <row r="1122" spans="11:13">
      <c r="K1122" s="1">
        <f t="shared" si="51"/>
        <v>0</v>
      </c>
      <c r="L1122" s="1">
        <f t="shared" si="52"/>
        <v>0</v>
      </c>
      <c r="M1122" s="1">
        <f t="shared" si="53"/>
        <v>0</v>
      </c>
    </row>
    <row r="1123" spans="11:13">
      <c r="K1123" s="1">
        <f t="shared" si="51"/>
        <v>0</v>
      </c>
      <c r="L1123" s="1">
        <f t="shared" si="52"/>
        <v>0</v>
      </c>
      <c r="M1123" s="1">
        <f t="shared" si="53"/>
        <v>0</v>
      </c>
    </row>
    <row r="1124" spans="11:13">
      <c r="K1124" s="1">
        <f t="shared" si="51"/>
        <v>0</v>
      </c>
      <c r="L1124" s="1">
        <f t="shared" si="52"/>
        <v>0</v>
      </c>
      <c r="M1124" s="1">
        <f t="shared" si="53"/>
        <v>0</v>
      </c>
    </row>
    <row r="1125" spans="11:13">
      <c r="K1125" s="1">
        <f t="shared" si="51"/>
        <v>0</v>
      </c>
      <c r="L1125" s="1">
        <f t="shared" si="52"/>
        <v>0</v>
      </c>
      <c r="M1125" s="1">
        <f t="shared" si="53"/>
        <v>0</v>
      </c>
    </row>
    <row r="1126" spans="11:13">
      <c r="K1126" s="1">
        <f t="shared" si="51"/>
        <v>0</v>
      </c>
      <c r="L1126" s="1">
        <f t="shared" si="52"/>
        <v>0</v>
      </c>
      <c r="M1126" s="1">
        <f t="shared" si="53"/>
        <v>0</v>
      </c>
    </row>
    <row r="1127" spans="11:13">
      <c r="K1127" s="1">
        <f t="shared" ref="K1127:K1190" si="54">J1127-C1127</f>
        <v>0</v>
      </c>
      <c r="L1127" s="1">
        <f t="shared" ref="L1127:L1190" si="55">IF(C1127&gt;0,C1127,0)</f>
        <v>0</v>
      </c>
      <c r="M1127" s="1">
        <f t="shared" ref="M1127:M1190" si="56">IF(C1127&lt;0,C1127,0)</f>
        <v>0</v>
      </c>
    </row>
    <row r="1128" spans="11:13">
      <c r="K1128" s="1">
        <f t="shared" si="54"/>
        <v>0</v>
      </c>
      <c r="L1128" s="1">
        <f t="shared" si="55"/>
        <v>0</v>
      </c>
      <c r="M1128" s="1">
        <f t="shared" si="56"/>
        <v>0</v>
      </c>
    </row>
    <row r="1129" spans="11:13">
      <c r="K1129" s="1">
        <f t="shared" si="54"/>
        <v>0</v>
      </c>
      <c r="L1129" s="1">
        <f t="shared" si="55"/>
        <v>0</v>
      </c>
      <c r="M1129" s="1">
        <f t="shared" si="56"/>
        <v>0</v>
      </c>
    </row>
    <row r="1130" spans="11:13">
      <c r="K1130" s="1">
        <f t="shared" si="54"/>
        <v>0</v>
      </c>
      <c r="L1130" s="1">
        <f t="shared" si="55"/>
        <v>0</v>
      </c>
      <c r="M1130" s="1">
        <f t="shared" si="56"/>
        <v>0</v>
      </c>
    </row>
    <row r="1131" spans="11:13">
      <c r="K1131" s="1">
        <f t="shared" si="54"/>
        <v>0</v>
      </c>
      <c r="L1131" s="1">
        <f t="shared" si="55"/>
        <v>0</v>
      </c>
      <c r="M1131" s="1">
        <f t="shared" si="56"/>
        <v>0</v>
      </c>
    </row>
    <row r="1132" spans="11:13">
      <c r="K1132" s="1">
        <f t="shared" si="54"/>
        <v>0</v>
      </c>
      <c r="L1132" s="1">
        <f t="shared" si="55"/>
        <v>0</v>
      </c>
      <c r="M1132" s="1">
        <f t="shared" si="56"/>
        <v>0</v>
      </c>
    </row>
    <row r="1133" spans="11:13">
      <c r="K1133" s="1">
        <f t="shared" si="54"/>
        <v>0</v>
      </c>
      <c r="L1133" s="1">
        <f t="shared" si="55"/>
        <v>0</v>
      </c>
      <c r="M1133" s="1">
        <f t="shared" si="56"/>
        <v>0</v>
      </c>
    </row>
    <row r="1134" spans="11:13">
      <c r="K1134" s="1">
        <f t="shared" si="54"/>
        <v>0</v>
      </c>
      <c r="L1134" s="1">
        <f t="shared" si="55"/>
        <v>0</v>
      </c>
      <c r="M1134" s="1">
        <f t="shared" si="56"/>
        <v>0</v>
      </c>
    </row>
    <row r="1135" spans="11:13">
      <c r="K1135" s="1">
        <f t="shared" si="54"/>
        <v>0</v>
      </c>
      <c r="L1135" s="1">
        <f t="shared" si="55"/>
        <v>0</v>
      </c>
      <c r="M1135" s="1">
        <f t="shared" si="56"/>
        <v>0</v>
      </c>
    </row>
    <row r="1136" spans="11:13">
      <c r="K1136" s="1">
        <f t="shared" si="54"/>
        <v>0</v>
      </c>
      <c r="L1136" s="1">
        <f t="shared" si="55"/>
        <v>0</v>
      </c>
      <c r="M1136" s="1">
        <f t="shared" si="56"/>
        <v>0</v>
      </c>
    </row>
    <row r="1137" spans="11:13">
      <c r="K1137" s="1">
        <f t="shared" si="54"/>
        <v>0</v>
      </c>
      <c r="L1137" s="1">
        <f t="shared" si="55"/>
        <v>0</v>
      </c>
      <c r="M1137" s="1">
        <f t="shared" si="56"/>
        <v>0</v>
      </c>
    </row>
    <row r="1138" spans="11:13">
      <c r="K1138" s="1">
        <f t="shared" si="54"/>
        <v>0</v>
      </c>
      <c r="L1138" s="1">
        <f t="shared" si="55"/>
        <v>0</v>
      </c>
      <c r="M1138" s="1">
        <f t="shared" si="56"/>
        <v>0</v>
      </c>
    </row>
    <row r="1139" spans="11:13">
      <c r="K1139" s="1">
        <f t="shared" si="54"/>
        <v>0</v>
      </c>
      <c r="L1139" s="1">
        <f t="shared" si="55"/>
        <v>0</v>
      </c>
      <c r="M1139" s="1">
        <f t="shared" si="56"/>
        <v>0</v>
      </c>
    </row>
    <row r="1140" spans="11:13">
      <c r="K1140" s="1">
        <f t="shared" si="54"/>
        <v>0</v>
      </c>
      <c r="L1140" s="1">
        <f t="shared" si="55"/>
        <v>0</v>
      </c>
      <c r="M1140" s="1">
        <f t="shared" si="56"/>
        <v>0</v>
      </c>
    </row>
    <row r="1141" spans="11:13">
      <c r="K1141" s="1">
        <f t="shared" si="54"/>
        <v>0</v>
      </c>
      <c r="L1141" s="1">
        <f t="shared" si="55"/>
        <v>0</v>
      </c>
      <c r="M1141" s="1">
        <f t="shared" si="56"/>
        <v>0</v>
      </c>
    </row>
    <row r="1142" spans="11:13">
      <c r="K1142" s="1">
        <f t="shared" si="54"/>
        <v>0</v>
      </c>
      <c r="L1142" s="1">
        <f t="shared" si="55"/>
        <v>0</v>
      </c>
      <c r="M1142" s="1">
        <f t="shared" si="56"/>
        <v>0</v>
      </c>
    </row>
    <row r="1143" spans="11:13">
      <c r="K1143" s="1">
        <f t="shared" si="54"/>
        <v>0</v>
      </c>
      <c r="L1143" s="1">
        <f t="shared" si="55"/>
        <v>0</v>
      </c>
      <c r="M1143" s="1">
        <f t="shared" si="56"/>
        <v>0</v>
      </c>
    </row>
    <row r="1144" spans="11:13">
      <c r="K1144" s="1">
        <f t="shared" si="54"/>
        <v>0</v>
      </c>
      <c r="L1144" s="1">
        <f t="shared" si="55"/>
        <v>0</v>
      </c>
      <c r="M1144" s="1">
        <f t="shared" si="56"/>
        <v>0</v>
      </c>
    </row>
    <row r="1145" spans="11:13">
      <c r="K1145" s="1">
        <f t="shared" si="54"/>
        <v>0</v>
      </c>
      <c r="L1145" s="1">
        <f t="shared" si="55"/>
        <v>0</v>
      </c>
      <c r="M1145" s="1">
        <f t="shared" si="56"/>
        <v>0</v>
      </c>
    </row>
    <row r="1146" spans="11:13">
      <c r="K1146" s="1">
        <f t="shared" si="54"/>
        <v>0</v>
      </c>
      <c r="L1146" s="1">
        <f t="shared" si="55"/>
        <v>0</v>
      </c>
      <c r="M1146" s="1">
        <f t="shared" si="56"/>
        <v>0</v>
      </c>
    </row>
    <row r="1147" spans="11:13">
      <c r="K1147" s="1">
        <f t="shared" si="54"/>
        <v>0</v>
      </c>
      <c r="L1147" s="1">
        <f t="shared" si="55"/>
        <v>0</v>
      </c>
      <c r="M1147" s="1">
        <f t="shared" si="56"/>
        <v>0</v>
      </c>
    </row>
    <row r="1148" spans="11:13">
      <c r="K1148" s="1">
        <f t="shared" si="54"/>
        <v>0</v>
      </c>
      <c r="L1148" s="1">
        <f t="shared" si="55"/>
        <v>0</v>
      </c>
      <c r="M1148" s="1">
        <f t="shared" si="56"/>
        <v>0</v>
      </c>
    </row>
    <row r="1149" spans="11:13">
      <c r="K1149" s="1">
        <f t="shared" si="54"/>
        <v>0</v>
      </c>
      <c r="L1149" s="1">
        <f t="shared" si="55"/>
        <v>0</v>
      </c>
      <c r="M1149" s="1">
        <f t="shared" si="56"/>
        <v>0</v>
      </c>
    </row>
    <row r="1150" spans="11:13">
      <c r="K1150" s="1">
        <f t="shared" si="54"/>
        <v>0</v>
      </c>
      <c r="L1150" s="1">
        <f t="shared" si="55"/>
        <v>0</v>
      </c>
      <c r="M1150" s="1">
        <f t="shared" si="56"/>
        <v>0</v>
      </c>
    </row>
    <row r="1151" spans="11:13">
      <c r="K1151" s="1">
        <f t="shared" si="54"/>
        <v>0</v>
      </c>
      <c r="L1151" s="1">
        <f t="shared" si="55"/>
        <v>0</v>
      </c>
      <c r="M1151" s="1">
        <f t="shared" si="56"/>
        <v>0</v>
      </c>
    </row>
    <row r="1152" spans="11:13">
      <c r="K1152" s="1">
        <f t="shared" si="54"/>
        <v>0</v>
      </c>
      <c r="L1152" s="1">
        <f t="shared" si="55"/>
        <v>0</v>
      </c>
      <c r="M1152" s="1">
        <f t="shared" si="56"/>
        <v>0</v>
      </c>
    </row>
    <row r="1153" spans="11:13">
      <c r="K1153" s="1">
        <f t="shared" si="54"/>
        <v>0</v>
      </c>
      <c r="L1153" s="1">
        <f t="shared" si="55"/>
        <v>0</v>
      </c>
      <c r="M1153" s="1">
        <f t="shared" si="56"/>
        <v>0</v>
      </c>
    </row>
    <row r="1154" spans="11:13">
      <c r="K1154" s="1">
        <f t="shared" si="54"/>
        <v>0</v>
      </c>
      <c r="L1154" s="1">
        <f t="shared" si="55"/>
        <v>0</v>
      </c>
      <c r="M1154" s="1">
        <f t="shared" si="56"/>
        <v>0</v>
      </c>
    </row>
    <row r="1155" spans="11:13">
      <c r="K1155" s="1">
        <f t="shared" si="54"/>
        <v>0</v>
      </c>
      <c r="L1155" s="1">
        <f t="shared" si="55"/>
        <v>0</v>
      </c>
      <c r="M1155" s="1">
        <f t="shared" si="56"/>
        <v>0</v>
      </c>
    </row>
    <row r="1156" spans="11:13">
      <c r="K1156" s="1">
        <f t="shared" si="54"/>
        <v>0</v>
      </c>
      <c r="L1156" s="1">
        <f t="shared" si="55"/>
        <v>0</v>
      </c>
      <c r="M1156" s="1">
        <f t="shared" si="56"/>
        <v>0</v>
      </c>
    </row>
    <row r="1157" spans="11:13">
      <c r="K1157" s="1">
        <f t="shared" si="54"/>
        <v>0</v>
      </c>
      <c r="L1157" s="1">
        <f t="shared" si="55"/>
        <v>0</v>
      </c>
      <c r="M1157" s="1">
        <f t="shared" si="56"/>
        <v>0</v>
      </c>
    </row>
    <row r="1158" spans="11:13">
      <c r="K1158" s="1">
        <f t="shared" si="54"/>
        <v>0</v>
      </c>
      <c r="L1158" s="1">
        <f t="shared" si="55"/>
        <v>0</v>
      </c>
      <c r="M1158" s="1">
        <f t="shared" si="56"/>
        <v>0</v>
      </c>
    </row>
    <row r="1159" spans="11:13">
      <c r="K1159" s="1">
        <f t="shared" si="54"/>
        <v>0</v>
      </c>
      <c r="L1159" s="1">
        <f t="shared" si="55"/>
        <v>0</v>
      </c>
      <c r="M1159" s="1">
        <f t="shared" si="56"/>
        <v>0</v>
      </c>
    </row>
    <row r="1160" spans="11:13">
      <c r="K1160" s="1">
        <f t="shared" si="54"/>
        <v>0</v>
      </c>
      <c r="L1160" s="1">
        <f t="shared" si="55"/>
        <v>0</v>
      </c>
      <c r="M1160" s="1">
        <f t="shared" si="56"/>
        <v>0</v>
      </c>
    </row>
    <row r="1161" spans="11:13">
      <c r="K1161" s="1">
        <f t="shared" si="54"/>
        <v>0</v>
      </c>
      <c r="L1161" s="1">
        <f t="shared" si="55"/>
        <v>0</v>
      </c>
      <c r="M1161" s="1">
        <f t="shared" si="56"/>
        <v>0</v>
      </c>
    </row>
    <row r="1162" spans="11:13">
      <c r="K1162" s="1">
        <f t="shared" si="54"/>
        <v>0</v>
      </c>
      <c r="L1162" s="1">
        <f t="shared" si="55"/>
        <v>0</v>
      </c>
      <c r="M1162" s="1">
        <f t="shared" si="56"/>
        <v>0</v>
      </c>
    </row>
    <row r="1163" spans="11:13">
      <c r="K1163" s="1">
        <f t="shared" si="54"/>
        <v>0</v>
      </c>
      <c r="L1163" s="1">
        <f t="shared" si="55"/>
        <v>0</v>
      </c>
      <c r="M1163" s="1">
        <f t="shared" si="56"/>
        <v>0</v>
      </c>
    </row>
    <row r="1164" spans="11:13">
      <c r="K1164" s="1">
        <f t="shared" si="54"/>
        <v>0</v>
      </c>
      <c r="L1164" s="1">
        <f t="shared" si="55"/>
        <v>0</v>
      </c>
      <c r="M1164" s="1">
        <f t="shared" si="56"/>
        <v>0</v>
      </c>
    </row>
    <row r="1165" spans="11:13">
      <c r="K1165" s="1">
        <f t="shared" si="54"/>
        <v>0</v>
      </c>
      <c r="L1165" s="1">
        <f t="shared" si="55"/>
        <v>0</v>
      </c>
      <c r="M1165" s="1">
        <f t="shared" si="56"/>
        <v>0</v>
      </c>
    </row>
    <row r="1166" spans="11:13">
      <c r="K1166" s="1">
        <f t="shared" si="54"/>
        <v>0</v>
      </c>
      <c r="L1166" s="1">
        <f t="shared" si="55"/>
        <v>0</v>
      </c>
      <c r="M1166" s="1">
        <f t="shared" si="56"/>
        <v>0</v>
      </c>
    </row>
    <row r="1167" spans="11:13">
      <c r="K1167" s="1">
        <f t="shared" si="54"/>
        <v>0</v>
      </c>
      <c r="L1167" s="1">
        <f t="shared" si="55"/>
        <v>0</v>
      </c>
      <c r="M1167" s="1">
        <f t="shared" si="56"/>
        <v>0</v>
      </c>
    </row>
    <row r="1168" spans="11:13">
      <c r="K1168" s="1">
        <f t="shared" si="54"/>
        <v>0</v>
      </c>
      <c r="L1168" s="1">
        <f t="shared" si="55"/>
        <v>0</v>
      </c>
      <c r="M1168" s="1">
        <f t="shared" si="56"/>
        <v>0</v>
      </c>
    </row>
    <row r="1169" spans="11:13">
      <c r="K1169" s="1">
        <f t="shared" si="54"/>
        <v>0</v>
      </c>
      <c r="L1169" s="1">
        <f t="shared" si="55"/>
        <v>0</v>
      </c>
      <c r="M1169" s="1">
        <f t="shared" si="56"/>
        <v>0</v>
      </c>
    </row>
    <row r="1170" spans="11:13">
      <c r="K1170" s="1">
        <f t="shared" si="54"/>
        <v>0</v>
      </c>
      <c r="L1170" s="1">
        <f t="shared" si="55"/>
        <v>0</v>
      </c>
      <c r="M1170" s="1">
        <f t="shared" si="56"/>
        <v>0</v>
      </c>
    </row>
    <row r="1171" spans="11:13">
      <c r="K1171" s="1">
        <f t="shared" si="54"/>
        <v>0</v>
      </c>
      <c r="L1171" s="1">
        <f t="shared" si="55"/>
        <v>0</v>
      </c>
      <c r="M1171" s="1">
        <f t="shared" si="56"/>
        <v>0</v>
      </c>
    </row>
    <row r="1172" spans="11:13">
      <c r="K1172" s="1">
        <f t="shared" si="54"/>
        <v>0</v>
      </c>
      <c r="L1172" s="1">
        <f t="shared" si="55"/>
        <v>0</v>
      </c>
      <c r="M1172" s="1">
        <f t="shared" si="56"/>
        <v>0</v>
      </c>
    </row>
    <row r="1173" spans="11:13">
      <c r="K1173" s="1">
        <f t="shared" si="54"/>
        <v>0</v>
      </c>
      <c r="L1173" s="1">
        <f t="shared" si="55"/>
        <v>0</v>
      </c>
      <c r="M1173" s="1">
        <f t="shared" si="56"/>
        <v>0</v>
      </c>
    </row>
    <row r="1174" spans="11:13">
      <c r="K1174" s="1">
        <f t="shared" si="54"/>
        <v>0</v>
      </c>
      <c r="L1174" s="1">
        <f t="shared" si="55"/>
        <v>0</v>
      </c>
      <c r="M1174" s="1">
        <f t="shared" si="56"/>
        <v>0</v>
      </c>
    </row>
    <row r="1175" spans="11:13">
      <c r="K1175" s="1">
        <f t="shared" si="54"/>
        <v>0</v>
      </c>
      <c r="L1175" s="1">
        <f t="shared" si="55"/>
        <v>0</v>
      </c>
      <c r="M1175" s="1">
        <f t="shared" si="56"/>
        <v>0</v>
      </c>
    </row>
    <row r="1176" spans="11:13">
      <c r="K1176" s="1">
        <f t="shared" si="54"/>
        <v>0</v>
      </c>
      <c r="L1176" s="1">
        <f t="shared" si="55"/>
        <v>0</v>
      </c>
      <c r="M1176" s="1">
        <f t="shared" si="56"/>
        <v>0</v>
      </c>
    </row>
    <row r="1177" spans="11:13">
      <c r="K1177" s="1">
        <f t="shared" si="54"/>
        <v>0</v>
      </c>
      <c r="L1177" s="1">
        <f t="shared" si="55"/>
        <v>0</v>
      </c>
      <c r="M1177" s="1">
        <f t="shared" si="56"/>
        <v>0</v>
      </c>
    </row>
    <row r="1178" spans="11:13">
      <c r="K1178" s="1">
        <f t="shared" si="54"/>
        <v>0</v>
      </c>
      <c r="L1178" s="1">
        <f t="shared" si="55"/>
        <v>0</v>
      </c>
      <c r="M1178" s="1">
        <f t="shared" si="56"/>
        <v>0</v>
      </c>
    </row>
    <row r="1179" spans="11:13">
      <c r="K1179" s="1">
        <f t="shared" si="54"/>
        <v>0</v>
      </c>
      <c r="L1179" s="1">
        <f t="shared" si="55"/>
        <v>0</v>
      </c>
      <c r="M1179" s="1">
        <f t="shared" si="56"/>
        <v>0</v>
      </c>
    </row>
    <row r="1180" spans="11:13">
      <c r="K1180" s="1">
        <f t="shared" si="54"/>
        <v>0</v>
      </c>
      <c r="L1180" s="1">
        <f t="shared" si="55"/>
        <v>0</v>
      </c>
      <c r="M1180" s="1">
        <f t="shared" si="56"/>
        <v>0</v>
      </c>
    </row>
    <row r="1181" spans="11:13">
      <c r="K1181" s="1">
        <f t="shared" si="54"/>
        <v>0</v>
      </c>
      <c r="L1181" s="1">
        <f t="shared" si="55"/>
        <v>0</v>
      </c>
      <c r="M1181" s="1">
        <f t="shared" si="56"/>
        <v>0</v>
      </c>
    </row>
    <row r="1182" spans="11:13">
      <c r="K1182" s="1">
        <f t="shared" si="54"/>
        <v>0</v>
      </c>
      <c r="L1182" s="1">
        <f t="shared" si="55"/>
        <v>0</v>
      </c>
      <c r="M1182" s="1">
        <f t="shared" si="56"/>
        <v>0</v>
      </c>
    </row>
    <row r="1183" spans="11:13">
      <c r="K1183" s="1">
        <f t="shared" si="54"/>
        <v>0</v>
      </c>
      <c r="L1183" s="1">
        <f t="shared" si="55"/>
        <v>0</v>
      </c>
      <c r="M1183" s="1">
        <f t="shared" si="56"/>
        <v>0</v>
      </c>
    </row>
    <row r="1184" spans="11:13">
      <c r="K1184" s="1">
        <f t="shared" si="54"/>
        <v>0</v>
      </c>
      <c r="L1184" s="1">
        <f t="shared" si="55"/>
        <v>0</v>
      </c>
      <c r="M1184" s="1">
        <f t="shared" si="56"/>
        <v>0</v>
      </c>
    </row>
    <row r="1185" spans="11:13">
      <c r="K1185" s="1">
        <f t="shared" si="54"/>
        <v>0</v>
      </c>
      <c r="L1185" s="1">
        <f t="shared" si="55"/>
        <v>0</v>
      </c>
      <c r="M1185" s="1">
        <f t="shared" si="56"/>
        <v>0</v>
      </c>
    </row>
    <row r="1186" spans="11:13">
      <c r="K1186" s="1">
        <f t="shared" si="54"/>
        <v>0</v>
      </c>
      <c r="L1186" s="1">
        <f t="shared" si="55"/>
        <v>0</v>
      </c>
      <c r="M1186" s="1">
        <f t="shared" si="56"/>
        <v>0</v>
      </c>
    </row>
    <row r="1187" spans="11:13">
      <c r="K1187" s="1">
        <f t="shared" si="54"/>
        <v>0</v>
      </c>
      <c r="L1187" s="1">
        <f t="shared" si="55"/>
        <v>0</v>
      </c>
      <c r="M1187" s="1">
        <f t="shared" si="56"/>
        <v>0</v>
      </c>
    </row>
    <row r="1188" spans="11:13">
      <c r="K1188" s="1">
        <f t="shared" si="54"/>
        <v>0</v>
      </c>
      <c r="L1188" s="1">
        <f t="shared" si="55"/>
        <v>0</v>
      </c>
      <c r="M1188" s="1">
        <f t="shared" si="56"/>
        <v>0</v>
      </c>
    </row>
    <row r="1189" spans="11:13">
      <c r="K1189" s="1">
        <f t="shared" si="54"/>
        <v>0</v>
      </c>
      <c r="L1189" s="1">
        <f t="shared" si="55"/>
        <v>0</v>
      </c>
      <c r="M1189" s="1">
        <f t="shared" si="56"/>
        <v>0</v>
      </c>
    </row>
    <row r="1190" spans="11:13">
      <c r="K1190" s="1">
        <f t="shared" si="54"/>
        <v>0</v>
      </c>
      <c r="L1190" s="1">
        <f t="shared" si="55"/>
        <v>0</v>
      </c>
      <c r="M1190" s="1">
        <f t="shared" si="56"/>
        <v>0</v>
      </c>
    </row>
    <row r="1191" spans="11:13">
      <c r="K1191" s="1">
        <f t="shared" ref="K1191:K1254" si="57">J1191-C1191</f>
        <v>0</v>
      </c>
      <c r="L1191" s="1">
        <f t="shared" ref="L1191:L1254" si="58">IF(C1191&gt;0,C1191,0)</f>
        <v>0</v>
      </c>
      <c r="M1191" s="1">
        <f t="shared" ref="M1191:M1254" si="59">IF(C1191&lt;0,C1191,0)</f>
        <v>0</v>
      </c>
    </row>
    <row r="1192" spans="11:13">
      <c r="K1192" s="1">
        <f t="shared" si="57"/>
        <v>0</v>
      </c>
      <c r="L1192" s="1">
        <f t="shared" si="58"/>
        <v>0</v>
      </c>
      <c r="M1192" s="1">
        <f t="shared" si="59"/>
        <v>0</v>
      </c>
    </row>
    <row r="1193" spans="11:13">
      <c r="K1193" s="1">
        <f t="shared" si="57"/>
        <v>0</v>
      </c>
      <c r="L1193" s="1">
        <f t="shared" si="58"/>
        <v>0</v>
      </c>
      <c r="M1193" s="1">
        <f t="shared" si="59"/>
        <v>0</v>
      </c>
    </row>
    <row r="1194" spans="11:13">
      <c r="K1194" s="1">
        <f t="shared" si="57"/>
        <v>0</v>
      </c>
      <c r="L1194" s="1">
        <f t="shared" si="58"/>
        <v>0</v>
      </c>
      <c r="M1194" s="1">
        <f t="shared" si="59"/>
        <v>0</v>
      </c>
    </row>
    <row r="1195" spans="11:13">
      <c r="K1195" s="1">
        <f t="shared" si="57"/>
        <v>0</v>
      </c>
      <c r="L1195" s="1">
        <f t="shared" si="58"/>
        <v>0</v>
      </c>
      <c r="M1195" s="1">
        <f t="shared" si="59"/>
        <v>0</v>
      </c>
    </row>
    <row r="1196" spans="11:13">
      <c r="K1196" s="1">
        <f t="shared" si="57"/>
        <v>0</v>
      </c>
      <c r="L1196" s="1">
        <f t="shared" si="58"/>
        <v>0</v>
      </c>
      <c r="M1196" s="1">
        <f t="shared" si="59"/>
        <v>0</v>
      </c>
    </row>
    <row r="1197" spans="11:13">
      <c r="K1197" s="1">
        <f t="shared" si="57"/>
        <v>0</v>
      </c>
      <c r="L1197" s="1">
        <f t="shared" si="58"/>
        <v>0</v>
      </c>
      <c r="M1197" s="1">
        <f t="shared" si="59"/>
        <v>0</v>
      </c>
    </row>
    <row r="1198" spans="11:13">
      <c r="K1198" s="1">
        <f t="shared" si="57"/>
        <v>0</v>
      </c>
      <c r="L1198" s="1">
        <f t="shared" si="58"/>
        <v>0</v>
      </c>
      <c r="M1198" s="1">
        <f t="shared" si="59"/>
        <v>0</v>
      </c>
    </row>
    <row r="1199" spans="11:13">
      <c r="K1199" s="1">
        <f t="shared" si="57"/>
        <v>0</v>
      </c>
      <c r="L1199" s="1">
        <f t="shared" si="58"/>
        <v>0</v>
      </c>
      <c r="M1199" s="1">
        <f t="shared" si="59"/>
        <v>0</v>
      </c>
    </row>
    <row r="1200" spans="11:13">
      <c r="K1200" s="1">
        <f t="shared" si="57"/>
        <v>0</v>
      </c>
      <c r="L1200" s="1">
        <f t="shared" si="58"/>
        <v>0</v>
      </c>
      <c r="M1200" s="1">
        <f t="shared" si="59"/>
        <v>0</v>
      </c>
    </row>
    <row r="1201" spans="11:13">
      <c r="K1201" s="1">
        <f t="shared" si="57"/>
        <v>0</v>
      </c>
      <c r="L1201" s="1">
        <f t="shared" si="58"/>
        <v>0</v>
      </c>
      <c r="M1201" s="1">
        <f t="shared" si="59"/>
        <v>0</v>
      </c>
    </row>
    <row r="1202" spans="11:13">
      <c r="K1202" s="1">
        <f t="shared" si="57"/>
        <v>0</v>
      </c>
      <c r="L1202" s="1">
        <f t="shared" si="58"/>
        <v>0</v>
      </c>
      <c r="M1202" s="1">
        <f t="shared" si="59"/>
        <v>0</v>
      </c>
    </row>
    <row r="1203" spans="11:13">
      <c r="K1203" s="1">
        <f t="shared" si="57"/>
        <v>0</v>
      </c>
      <c r="L1203" s="1">
        <f t="shared" si="58"/>
        <v>0</v>
      </c>
      <c r="M1203" s="1">
        <f t="shared" si="59"/>
        <v>0</v>
      </c>
    </row>
    <row r="1204" spans="11:13">
      <c r="K1204" s="1">
        <f t="shared" si="57"/>
        <v>0</v>
      </c>
      <c r="L1204" s="1">
        <f t="shared" si="58"/>
        <v>0</v>
      </c>
      <c r="M1204" s="1">
        <f t="shared" si="59"/>
        <v>0</v>
      </c>
    </row>
    <row r="1205" spans="11:13">
      <c r="K1205" s="1">
        <f t="shared" si="57"/>
        <v>0</v>
      </c>
      <c r="L1205" s="1">
        <f t="shared" si="58"/>
        <v>0</v>
      </c>
      <c r="M1205" s="1">
        <f t="shared" si="59"/>
        <v>0</v>
      </c>
    </row>
    <row r="1206" spans="11:13">
      <c r="K1206" s="1">
        <f t="shared" si="57"/>
        <v>0</v>
      </c>
      <c r="L1206" s="1">
        <f t="shared" si="58"/>
        <v>0</v>
      </c>
      <c r="M1206" s="1">
        <f t="shared" si="59"/>
        <v>0</v>
      </c>
    </row>
    <row r="1207" spans="11:13">
      <c r="K1207" s="1">
        <f t="shared" si="57"/>
        <v>0</v>
      </c>
      <c r="L1207" s="1">
        <f t="shared" si="58"/>
        <v>0</v>
      </c>
      <c r="M1207" s="1">
        <f t="shared" si="59"/>
        <v>0</v>
      </c>
    </row>
    <row r="1208" spans="11:13">
      <c r="K1208" s="1">
        <f t="shared" si="57"/>
        <v>0</v>
      </c>
      <c r="L1208" s="1">
        <f t="shared" si="58"/>
        <v>0</v>
      </c>
      <c r="M1208" s="1">
        <f t="shared" si="59"/>
        <v>0</v>
      </c>
    </row>
    <row r="1209" spans="11:13">
      <c r="K1209" s="1">
        <f t="shared" si="57"/>
        <v>0</v>
      </c>
      <c r="L1209" s="1">
        <f t="shared" si="58"/>
        <v>0</v>
      </c>
      <c r="M1209" s="1">
        <f t="shared" si="59"/>
        <v>0</v>
      </c>
    </row>
    <row r="1210" spans="11:13">
      <c r="K1210" s="1">
        <f t="shared" si="57"/>
        <v>0</v>
      </c>
      <c r="L1210" s="1">
        <f t="shared" si="58"/>
        <v>0</v>
      </c>
      <c r="M1210" s="1">
        <f t="shared" si="59"/>
        <v>0</v>
      </c>
    </row>
    <row r="1211" spans="11:13">
      <c r="K1211" s="1">
        <f t="shared" si="57"/>
        <v>0</v>
      </c>
      <c r="L1211" s="1">
        <f t="shared" si="58"/>
        <v>0</v>
      </c>
      <c r="M1211" s="1">
        <f t="shared" si="59"/>
        <v>0</v>
      </c>
    </row>
    <row r="1212" spans="11:13">
      <c r="K1212" s="1">
        <f t="shared" si="57"/>
        <v>0</v>
      </c>
      <c r="L1212" s="1">
        <f t="shared" si="58"/>
        <v>0</v>
      </c>
      <c r="M1212" s="1">
        <f t="shared" si="59"/>
        <v>0</v>
      </c>
    </row>
    <row r="1213" spans="11:13">
      <c r="K1213" s="1">
        <f t="shared" si="57"/>
        <v>0</v>
      </c>
      <c r="L1213" s="1">
        <f t="shared" si="58"/>
        <v>0</v>
      </c>
      <c r="M1213" s="1">
        <f t="shared" si="59"/>
        <v>0</v>
      </c>
    </row>
    <row r="1214" spans="11:13">
      <c r="K1214" s="1">
        <f t="shared" si="57"/>
        <v>0</v>
      </c>
      <c r="L1214" s="1">
        <f t="shared" si="58"/>
        <v>0</v>
      </c>
      <c r="M1214" s="1">
        <f t="shared" si="59"/>
        <v>0</v>
      </c>
    </row>
    <row r="1215" spans="11:13">
      <c r="K1215" s="1">
        <f t="shared" si="57"/>
        <v>0</v>
      </c>
      <c r="L1215" s="1">
        <f t="shared" si="58"/>
        <v>0</v>
      </c>
      <c r="M1215" s="1">
        <f t="shared" si="59"/>
        <v>0</v>
      </c>
    </row>
    <row r="1216" spans="11:13">
      <c r="K1216" s="1">
        <f t="shared" si="57"/>
        <v>0</v>
      </c>
      <c r="L1216" s="1">
        <f t="shared" si="58"/>
        <v>0</v>
      </c>
      <c r="M1216" s="1">
        <f t="shared" si="59"/>
        <v>0</v>
      </c>
    </row>
    <row r="1217" spans="11:13">
      <c r="K1217" s="1">
        <f t="shared" si="57"/>
        <v>0</v>
      </c>
      <c r="L1217" s="1">
        <f t="shared" si="58"/>
        <v>0</v>
      </c>
      <c r="M1217" s="1">
        <f t="shared" si="59"/>
        <v>0</v>
      </c>
    </row>
    <row r="1218" spans="11:13">
      <c r="K1218" s="1">
        <f t="shared" si="57"/>
        <v>0</v>
      </c>
      <c r="L1218" s="1">
        <f t="shared" si="58"/>
        <v>0</v>
      </c>
      <c r="M1218" s="1">
        <f t="shared" si="59"/>
        <v>0</v>
      </c>
    </row>
    <row r="1219" spans="11:13">
      <c r="K1219" s="1">
        <f t="shared" si="57"/>
        <v>0</v>
      </c>
      <c r="L1219" s="1">
        <f t="shared" si="58"/>
        <v>0</v>
      </c>
      <c r="M1219" s="1">
        <f t="shared" si="59"/>
        <v>0</v>
      </c>
    </row>
    <row r="1220" spans="11:13">
      <c r="K1220" s="1">
        <f t="shared" si="57"/>
        <v>0</v>
      </c>
      <c r="L1220" s="1">
        <f t="shared" si="58"/>
        <v>0</v>
      </c>
      <c r="M1220" s="1">
        <f t="shared" si="59"/>
        <v>0</v>
      </c>
    </row>
    <row r="1221" spans="11:13">
      <c r="K1221" s="1">
        <f t="shared" si="57"/>
        <v>0</v>
      </c>
      <c r="L1221" s="1">
        <f t="shared" si="58"/>
        <v>0</v>
      </c>
      <c r="M1221" s="1">
        <f t="shared" si="59"/>
        <v>0</v>
      </c>
    </row>
    <row r="1222" spans="11:13">
      <c r="K1222" s="1">
        <f t="shared" si="57"/>
        <v>0</v>
      </c>
      <c r="L1222" s="1">
        <f t="shared" si="58"/>
        <v>0</v>
      </c>
      <c r="M1222" s="1">
        <f t="shared" si="59"/>
        <v>0</v>
      </c>
    </row>
    <row r="1223" spans="11:13">
      <c r="K1223" s="1">
        <f t="shared" si="57"/>
        <v>0</v>
      </c>
      <c r="L1223" s="1">
        <f t="shared" si="58"/>
        <v>0</v>
      </c>
      <c r="M1223" s="1">
        <f t="shared" si="59"/>
        <v>0</v>
      </c>
    </row>
    <row r="1224" spans="11:13">
      <c r="K1224" s="1">
        <f t="shared" si="57"/>
        <v>0</v>
      </c>
      <c r="L1224" s="1">
        <f t="shared" si="58"/>
        <v>0</v>
      </c>
      <c r="M1224" s="1">
        <f t="shared" si="59"/>
        <v>0</v>
      </c>
    </row>
    <row r="1225" spans="11:13">
      <c r="K1225" s="1">
        <f t="shared" si="57"/>
        <v>0</v>
      </c>
      <c r="L1225" s="1">
        <f t="shared" si="58"/>
        <v>0</v>
      </c>
      <c r="M1225" s="1">
        <f t="shared" si="59"/>
        <v>0</v>
      </c>
    </row>
    <row r="1226" spans="11:13">
      <c r="K1226" s="1">
        <f t="shared" si="57"/>
        <v>0</v>
      </c>
      <c r="L1226" s="1">
        <f t="shared" si="58"/>
        <v>0</v>
      </c>
      <c r="M1226" s="1">
        <f t="shared" si="59"/>
        <v>0</v>
      </c>
    </row>
    <row r="1227" spans="11:13">
      <c r="K1227" s="1">
        <f t="shared" si="57"/>
        <v>0</v>
      </c>
      <c r="L1227" s="1">
        <f t="shared" si="58"/>
        <v>0</v>
      </c>
      <c r="M1227" s="1">
        <f t="shared" si="59"/>
        <v>0</v>
      </c>
    </row>
    <row r="1228" spans="11:13">
      <c r="K1228" s="1">
        <f t="shared" si="57"/>
        <v>0</v>
      </c>
      <c r="L1228" s="1">
        <f t="shared" si="58"/>
        <v>0</v>
      </c>
      <c r="M1228" s="1">
        <f t="shared" si="59"/>
        <v>0</v>
      </c>
    </row>
    <row r="1229" spans="11:13">
      <c r="K1229" s="1">
        <f t="shared" si="57"/>
        <v>0</v>
      </c>
      <c r="L1229" s="1">
        <f t="shared" si="58"/>
        <v>0</v>
      </c>
      <c r="M1229" s="1">
        <f t="shared" si="59"/>
        <v>0</v>
      </c>
    </row>
    <row r="1230" spans="11:13">
      <c r="K1230" s="1">
        <f t="shared" si="57"/>
        <v>0</v>
      </c>
      <c r="L1230" s="1">
        <f t="shared" si="58"/>
        <v>0</v>
      </c>
      <c r="M1230" s="1">
        <f t="shared" si="59"/>
        <v>0</v>
      </c>
    </row>
    <row r="1231" spans="11:13">
      <c r="K1231" s="1">
        <f t="shared" si="57"/>
        <v>0</v>
      </c>
      <c r="L1231" s="1">
        <f t="shared" si="58"/>
        <v>0</v>
      </c>
      <c r="M1231" s="1">
        <f t="shared" si="59"/>
        <v>0</v>
      </c>
    </row>
    <row r="1232" spans="11:13">
      <c r="K1232" s="1">
        <f t="shared" si="57"/>
        <v>0</v>
      </c>
      <c r="L1232" s="1">
        <f t="shared" si="58"/>
        <v>0</v>
      </c>
      <c r="M1232" s="1">
        <f t="shared" si="59"/>
        <v>0</v>
      </c>
    </row>
    <row r="1233" spans="11:13">
      <c r="K1233" s="1">
        <f t="shared" si="57"/>
        <v>0</v>
      </c>
      <c r="L1233" s="1">
        <f t="shared" si="58"/>
        <v>0</v>
      </c>
      <c r="M1233" s="1">
        <f t="shared" si="59"/>
        <v>0</v>
      </c>
    </row>
    <row r="1234" spans="11:13">
      <c r="K1234" s="1">
        <f t="shared" si="57"/>
        <v>0</v>
      </c>
      <c r="L1234" s="1">
        <f t="shared" si="58"/>
        <v>0</v>
      </c>
      <c r="M1234" s="1">
        <f t="shared" si="59"/>
        <v>0</v>
      </c>
    </row>
    <row r="1235" spans="11:13">
      <c r="K1235" s="1">
        <f t="shared" si="57"/>
        <v>0</v>
      </c>
      <c r="L1235" s="1">
        <f t="shared" si="58"/>
        <v>0</v>
      </c>
      <c r="M1235" s="1">
        <f t="shared" si="59"/>
        <v>0</v>
      </c>
    </row>
    <row r="1236" spans="11:13">
      <c r="K1236" s="1">
        <f t="shared" si="57"/>
        <v>0</v>
      </c>
      <c r="L1236" s="1">
        <f t="shared" si="58"/>
        <v>0</v>
      </c>
      <c r="M1236" s="1">
        <f t="shared" si="59"/>
        <v>0</v>
      </c>
    </row>
    <row r="1237" spans="11:13">
      <c r="K1237" s="1">
        <f t="shared" si="57"/>
        <v>0</v>
      </c>
      <c r="L1237" s="1">
        <f t="shared" si="58"/>
        <v>0</v>
      </c>
      <c r="M1237" s="1">
        <f t="shared" si="59"/>
        <v>0</v>
      </c>
    </row>
    <row r="1238" spans="11:13">
      <c r="K1238" s="1">
        <f t="shared" si="57"/>
        <v>0</v>
      </c>
      <c r="L1238" s="1">
        <f t="shared" si="58"/>
        <v>0</v>
      </c>
      <c r="M1238" s="1">
        <f t="shared" si="59"/>
        <v>0</v>
      </c>
    </row>
    <row r="1239" spans="11:13">
      <c r="K1239" s="1">
        <f t="shared" si="57"/>
        <v>0</v>
      </c>
      <c r="L1239" s="1">
        <f t="shared" si="58"/>
        <v>0</v>
      </c>
      <c r="M1239" s="1">
        <f t="shared" si="59"/>
        <v>0</v>
      </c>
    </row>
    <row r="1240" spans="11:13">
      <c r="K1240" s="1">
        <f t="shared" si="57"/>
        <v>0</v>
      </c>
      <c r="L1240" s="1">
        <f t="shared" si="58"/>
        <v>0</v>
      </c>
      <c r="M1240" s="1">
        <f t="shared" si="59"/>
        <v>0</v>
      </c>
    </row>
    <row r="1241" spans="11:13">
      <c r="K1241" s="1">
        <f t="shared" si="57"/>
        <v>0</v>
      </c>
      <c r="L1241" s="1">
        <f t="shared" si="58"/>
        <v>0</v>
      </c>
      <c r="M1241" s="1">
        <f t="shared" si="59"/>
        <v>0</v>
      </c>
    </row>
    <row r="1242" spans="11:13">
      <c r="K1242" s="1">
        <f t="shared" si="57"/>
        <v>0</v>
      </c>
      <c r="L1242" s="1">
        <f t="shared" si="58"/>
        <v>0</v>
      </c>
      <c r="M1242" s="1">
        <f t="shared" si="59"/>
        <v>0</v>
      </c>
    </row>
    <row r="1243" spans="11:13">
      <c r="K1243" s="1">
        <f t="shared" si="57"/>
        <v>0</v>
      </c>
      <c r="L1243" s="1">
        <f t="shared" si="58"/>
        <v>0</v>
      </c>
      <c r="M1243" s="1">
        <f t="shared" si="59"/>
        <v>0</v>
      </c>
    </row>
    <row r="1244" spans="11:13">
      <c r="K1244" s="1">
        <f t="shared" si="57"/>
        <v>0</v>
      </c>
      <c r="L1244" s="1">
        <f t="shared" si="58"/>
        <v>0</v>
      </c>
      <c r="M1244" s="1">
        <f t="shared" si="59"/>
        <v>0</v>
      </c>
    </row>
    <row r="1245" spans="11:13">
      <c r="K1245" s="1">
        <f t="shared" si="57"/>
        <v>0</v>
      </c>
      <c r="L1245" s="1">
        <f t="shared" si="58"/>
        <v>0</v>
      </c>
      <c r="M1245" s="1">
        <f t="shared" si="59"/>
        <v>0</v>
      </c>
    </row>
    <row r="1246" spans="11:13">
      <c r="K1246" s="1">
        <f t="shared" si="57"/>
        <v>0</v>
      </c>
      <c r="L1246" s="1">
        <f t="shared" si="58"/>
        <v>0</v>
      </c>
      <c r="M1246" s="1">
        <f t="shared" si="59"/>
        <v>0</v>
      </c>
    </row>
    <row r="1247" spans="11:13">
      <c r="K1247" s="1">
        <f t="shared" si="57"/>
        <v>0</v>
      </c>
      <c r="L1247" s="1">
        <f t="shared" si="58"/>
        <v>0</v>
      </c>
      <c r="M1247" s="1">
        <f t="shared" si="59"/>
        <v>0</v>
      </c>
    </row>
    <row r="1248" spans="11:13">
      <c r="K1248" s="1">
        <f t="shared" si="57"/>
        <v>0</v>
      </c>
      <c r="L1248" s="1">
        <f t="shared" si="58"/>
        <v>0</v>
      </c>
      <c r="M1248" s="1">
        <f t="shared" si="59"/>
        <v>0</v>
      </c>
    </row>
    <row r="1249" spans="11:13">
      <c r="K1249" s="1">
        <f t="shared" si="57"/>
        <v>0</v>
      </c>
      <c r="L1249" s="1">
        <f t="shared" si="58"/>
        <v>0</v>
      </c>
      <c r="M1249" s="1">
        <f t="shared" si="59"/>
        <v>0</v>
      </c>
    </row>
    <row r="1250" spans="11:13">
      <c r="K1250" s="1">
        <f t="shared" si="57"/>
        <v>0</v>
      </c>
      <c r="L1250" s="1">
        <f t="shared" si="58"/>
        <v>0</v>
      </c>
      <c r="M1250" s="1">
        <f t="shared" si="59"/>
        <v>0</v>
      </c>
    </row>
    <row r="1251" spans="11:13">
      <c r="K1251" s="1">
        <f t="shared" si="57"/>
        <v>0</v>
      </c>
      <c r="L1251" s="1">
        <f t="shared" si="58"/>
        <v>0</v>
      </c>
      <c r="M1251" s="1">
        <f t="shared" si="59"/>
        <v>0</v>
      </c>
    </row>
    <row r="1252" spans="11:13">
      <c r="K1252" s="1">
        <f t="shared" si="57"/>
        <v>0</v>
      </c>
      <c r="L1252" s="1">
        <f t="shared" si="58"/>
        <v>0</v>
      </c>
      <c r="M1252" s="1">
        <f t="shared" si="59"/>
        <v>0</v>
      </c>
    </row>
    <row r="1253" spans="11:13">
      <c r="K1253" s="1">
        <f t="shared" si="57"/>
        <v>0</v>
      </c>
      <c r="L1253" s="1">
        <f t="shared" si="58"/>
        <v>0</v>
      </c>
      <c r="M1253" s="1">
        <f t="shared" si="59"/>
        <v>0</v>
      </c>
    </row>
    <row r="1254" spans="11:13">
      <c r="K1254" s="1">
        <f t="shared" si="57"/>
        <v>0</v>
      </c>
      <c r="L1254" s="1">
        <f t="shared" si="58"/>
        <v>0</v>
      </c>
      <c r="M1254" s="1">
        <f t="shared" si="59"/>
        <v>0</v>
      </c>
    </row>
    <row r="1255" spans="11:13">
      <c r="K1255" s="1">
        <f t="shared" ref="K1255:K1318" si="60">J1255-C1255</f>
        <v>0</v>
      </c>
      <c r="L1255" s="1">
        <f t="shared" ref="L1255:L1318" si="61">IF(C1255&gt;0,C1255,0)</f>
        <v>0</v>
      </c>
      <c r="M1255" s="1">
        <f t="shared" ref="M1255:M1318" si="62">IF(C1255&lt;0,C1255,0)</f>
        <v>0</v>
      </c>
    </row>
    <row r="1256" spans="11:13">
      <c r="K1256" s="1">
        <f t="shared" si="60"/>
        <v>0</v>
      </c>
      <c r="L1256" s="1">
        <f t="shared" si="61"/>
        <v>0</v>
      </c>
      <c r="M1256" s="1">
        <f t="shared" si="62"/>
        <v>0</v>
      </c>
    </row>
    <row r="1257" spans="11:13">
      <c r="K1257" s="1">
        <f t="shared" si="60"/>
        <v>0</v>
      </c>
      <c r="L1257" s="1">
        <f t="shared" si="61"/>
        <v>0</v>
      </c>
      <c r="M1257" s="1">
        <f t="shared" si="62"/>
        <v>0</v>
      </c>
    </row>
    <row r="1258" spans="11:13">
      <c r="K1258" s="1">
        <f t="shared" si="60"/>
        <v>0</v>
      </c>
      <c r="L1258" s="1">
        <f t="shared" si="61"/>
        <v>0</v>
      </c>
      <c r="M1258" s="1">
        <f t="shared" si="62"/>
        <v>0</v>
      </c>
    </row>
    <row r="1259" spans="11:13">
      <c r="K1259" s="1">
        <f t="shared" si="60"/>
        <v>0</v>
      </c>
      <c r="L1259" s="1">
        <f t="shared" si="61"/>
        <v>0</v>
      </c>
      <c r="M1259" s="1">
        <f t="shared" si="62"/>
        <v>0</v>
      </c>
    </row>
    <row r="1260" spans="11:13">
      <c r="K1260" s="1">
        <f t="shared" si="60"/>
        <v>0</v>
      </c>
      <c r="L1260" s="1">
        <f t="shared" si="61"/>
        <v>0</v>
      </c>
      <c r="M1260" s="1">
        <f t="shared" si="62"/>
        <v>0</v>
      </c>
    </row>
    <row r="1261" spans="11:13">
      <c r="K1261" s="1">
        <f t="shared" si="60"/>
        <v>0</v>
      </c>
      <c r="L1261" s="1">
        <f t="shared" si="61"/>
        <v>0</v>
      </c>
      <c r="M1261" s="1">
        <f t="shared" si="62"/>
        <v>0</v>
      </c>
    </row>
    <row r="1262" spans="11:13">
      <c r="K1262" s="1">
        <f t="shared" si="60"/>
        <v>0</v>
      </c>
      <c r="L1262" s="1">
        <f t="shared" si="61"/>
        <v>0</v>
      </c>
      <c r="M1262" s="1">
        <f t="shared" si="62"/>
        <v>0</v>
      </c>
    </row>
    <row r="1263" spans="11:13">
      <c r="K1263" s="1">
        <f t="shared" si="60"/>
        <v>0</v>
      </c>
      <c r="L1263" s="1">
        <f t="shared" si="61"/>
        <v>0</v>
      </c>
      <c r="M1263" s="1">
        <f t="shared" si="62"/>
        <v>0</v>
      </c>
    </row>
    <row r="1264" spans="11:13">
      <c r="K1264" s="1">
        <f t="shared" si="60"/>
        <v>0</v>
      </c>
      <c r="L1264" s="1">
        <f t="shared" si="61"/>
        <v>0</v>
      </c>
      <c r="M1264" s="1">
        <f t="shared" si="62"/>
        <v>0</v>
      </c>
    </row>
    <row r="1265" spans="11:13">
      <c r="K1265" s="1">
        <f t="shared" si="60"/>
        <v>0</v>
      </c>
      <c r="L1265" s="1">
        <f t="shared" si="61"/>
        <v>0</v>
      </c>
      <c r="M1265" s="1">
        <f t="shared" si="62"/>
        <v>0</v>
      </c>
    </row>
    <row r="1266" spans="11:13">
      <c r="K1266" s="1">
        <f t="shared" si="60"/>
        <v>0</v>
      </c>
      <c r="L1266" s="1">
        <f t="shared" si="61"/>
        <v>0</v>
      </c>
      <c r="M1266" s="1">
        <f t="shared" si="62"/>
        <v>0</v>
      </c>
    </row>
    <row r="1267" spans="11:13">
      <c r="K1267" s="1">
        <f t="shared" si="60"/>
        <v>0</v>
      </c>
      <c r="L1267" s="1">
        <f t="shared" si="61"/>
        <v>0</v>
      </c>
      <c r="M1267" s="1">
        <f t="shared" si="62"/>
        <v>0</v>
      </c>
    </row>
    <row r="1268" spans="11:13">
      <c r="K1268" s="1">
        <f t="shared" si="60"/>
        <v>0</v>
      </c>
      <c r="L1268" s="1">
        <f t="shared" si="61"/>
        <v>0</v>
      </c>
      <c r="M1268" s="1">
        <f t="shared" si="62"/>
        <v>0</v>
      </c>
    </row>
    <row r="1269" spans="11:13">
      <c r="K1269" s="1">
        <f t="shared" si="60"/>
        <v>0</v>
      </c>
      <c r="L1269" s="1">
        <f t="shared" si="61"/>
        <v>0</v>
      </c>
      <c r="M1269" s="1">
        <f t="shared" si="62"/>
        <v>0</v>
      </c>
    </row>
    <row r="1270" spans="11:13">
      <c r="K1270" s="1">
        <f t="shared" si="60"/>
        <v>0</v>
      </c>
      <c r="L1270" s="1">
        <f t="shared" si="61"/>
        <v>0</v>
      </c>
      <c r="M1270" s="1">
        <f t="shared" si="62"/>
        <v>0</v>
      </c>
    </row>
    <row r="1271" spans="11:13">
      <c r="K1271" s="1">
        <f t="shared" si="60"/>
        <v>0</v>
      </c>
      <c r="L1271" s="1">
        <f t="shared" si="61"/>
        <v>0</v>
      </c>
      <c r="M1271" s="1">
        <f t="shared" si="62"/>
        <v>0</v>
      </c>
    </row>
    <row r="1272" spans="11:13">
      <c r="K1272" s="1">
        <f t="shared" si="60"/>
        <v>0</v>
      </c>
      <c r="L1272" s="1">
        <f t="shared" si="61"/>
        <v>0</v>
      </c>
      <c r="M1272" s="1">
        <f t="shared" si="62"/>
        <v>0</v>
      </c>
    </row>
    <row r="1273" spans="11:13">
      <c r="K1273" s="1">
        <f t="shared" si="60"/>
        <v>0</v>
      </c>
      <c r="L1273" s="1">
        <f t="shared" si="61"/>
        <v>0</v>
      </c>
      <c r="M1273" s="1">
        <f t="shared" si="62"/>
        <v>0</v>
      </c>
    </row>
    <row r="1274" spans="11:13">
      <c r="K1274" s="1">
        <f t="shared" si="60"/>
        <v>0</v>
      </c>
      <c r="L1274" s="1">
        <f t="shared" si="61"/>
        <v>0</v>
      </c>
      <c r="M1274" s="1">
        <f t="shared" si="62"/>
        <v>0</v>
      </c>
    </row>
    <row r="1275" spans="11:13">
      <c r="K1275" s="1">
        <f t="shared" si="60"/>
        <v>0</v>
      </c>
      <c r="L1275" s="1">
        <f t="shared" si="61"/>
        <v>0</v>
      </c>
      <c r="M1275" s="1">
        <f t="shared" si="62"/>
        <v>0</v>
      </c>
    </row>
    <row r="1276" spans="11:13">
      <c r="K1276" s="1">
        <f t="shared" si="60"/>
        <v>0</v>
      </c>
      <c r="L1276" s="1">
        <f t="shared" si="61"/>
        <v>0</v>
      </c>
      <c r="M1276" s="1">
        <f t="shared" si="62"/>
        <v>0</v>
      </c>
    </row>
    <row r="1277" spans="11:13">
      <c r="K1277" s="1">
        <f t="shared" si="60"/>
        <v>0</v>
      </c>
      <c r="L1277" s="1">
        <f t="shared" si="61"/>
        <v>0</v>
      </c>
      <c r="M1277" s="1">
        <f t="shared" si="62"/>
        <v>0</v>
      </c>
    </row>
    <row r="1278" spans="11:13">
      <c r="K1278" s="1">
        <f t="shared" si="60"/>
        <v>0</v>
      </c>
      <c r="L1278" s="1">
        <f t="shared" si="61"/>
        <v>0</v>
      </c>
      <c r="M1278" s="1">
        <f t="shared" si="62"/>
        <v>0</v>
      </c>
    </row>
    <row r="1279" spans="11:13">
      <c r="K1279" s="1">
        <f t="shared" si="60"/>
        <v>0</v>
      </c>
      <c r="L1279" s="1">
        <f t="shared" si="61"/>
        <v>0</v>
      </c>
      <c r="M1279" s="1">
        <f t="shared" si="62"/>
        <v>0</v>
      </c>
    </row>
    <row r="1280" spans="11:13">
      <c r="K1280" s="1">
        <f t="shared" si="60"/>
        <v>0</v>
      </c>
      <c r="L1280" s="1">
        <f t="shared" si="61"/>
        <v>0</v>
      </c>
      <c r="M1280" s="1">
        <f t="shared" si="62"/>
        <v>0</v>
      </c>
    </row>
    <row r="1281" spans="11:13">
      <c r="K1281" s="1">
        <f t="shared" si="60"/>
        <v>0</v>
      </c>
      <c r="L1281" s="1">
        <f t="shared" si="61"/>
        <v>0</v>
      </c>
      <c r="M1281" s="1">
        <f t="shared" si="62"/>
        <v>0</v>
      </c>
    </row>
    <row r="1282" spans="11:13">
      <c r="K1282" s="1">
        <f t="shared" si="60"/>
        <v>0</v>
      </c>
      <c r="L1282" s="1">
        <f t="shared" si="61"/>
        <v>0</v>
      </c>
      <c r="M1282" s="1">
        <f t="shared" si="62"/>
        <v>0</v>
      </c>
    </row>
    <row r="1283" spans="11:13">
      <c r="K1283" s="1">
        <f t="shared" si="60"/>
        <v>0</v>
      </c>
      <c r="L1283" s="1">
        <f t="shared" si="61"/>
        <v>0</v>
      </c>
      <c r="M1283" s="1">
        <f t="shared" si="62"/>
        <v>0</v>
      </c>
    </row>
    <row r="1284" spans="11:13">
      <c r="K1284" s="1">
        <f t="shared" si="60"/>
        <v>0</v>
      </c>
      <c r="L1284" s="1">
        <f t="shared" si="61"/>
        <v>0</v>
      </c>
      <c r="M1284" s="1">
        <f t="shared" si="62"/>
        <v>0</v>
      </c>
    </row>
    <row r="1285" spans="11:13">
      <c r="K1285" s="1">
        <f t="shared" si="60"/>
        <v>0</v>
      </c>
      <c r="L1285" s="1">
        <f t="shared" si="61"/>
        <v>0</v>
      </c>
      <c r="M1285" s="1">
        <f t="shared" si="62"/>
        <v>0</v>
      </c>
    </row>
    <row r="1286" spans="11:13">
      <c r="K1286" s="1">
        <f t="shared" si="60"/>
        <v>0</v>
      </c>
      <c r="L1286" s="1">
        <f t="shared" si="61"/>
        <v>0</v>
      </c>
      <c r="M1286" s="1">
        <f t="shared" si="62"/>
        <v>0</v>
      </c>
    </row>
    <row r="1287" spans="11:13">
      <c r="K1287" s="1">
        <f t="shared" si="60"/>
        <v>0</v>
      </c>
      <c r="L1287" s="1">
        <f t="shared" si="61"/>
        <v>0</v>
      </c>
      <c r="M1287" s="1">
        <f t="shared" si="62"/>
        <v>0</v>
      </c>
    </row>
    <row r="1288" spans="11:13">
      <c r="K1288" s="1">
        <f t="shared" si="60"/>
        <v>0</v>
      </c>
      <c r="L1288" s="1">
        <f t="shared" si="61"/>
        <v>0</v>
      </c>
      <c r="M1288" s="1">
        <f t="shared" si="62"/>
        <v>0</v>
      </c>
    </row>
    <row r="1289" spans="11:13">
      <c r="K1289" s="1">
        <f t="shared" si="60"/>
        <v>0</v>
      </c>
      <c r="L1289" s="1">
        <f t="shared" si="61"/>
        <v>0</v>
      </c>
      <c r="M1289" s="1">
        <f t="shared" si="62"/>
        <v>0</v>
      </c>
    </row>
    <row r="1290" spans="11:13">
      <c r="K1290" s="1">
        <f t="shared" si="60"/>
        <v>0</v>
      </c>
      <c r="L1290" s="1">
        <f t="shared" si="61"/>
        <v>0</v>
      </c>
      <c r="M1290" s="1">
        <f t="shared" si="62"/>
        <v>0</v>
      </c>
    </row>
    <row r="1291" spans="11:13">
      <c r="K1291" s="1">
        <f t="shared" si="60"/>
        <v>0</v>
      </c>
      <c r="L1291" s="1">
        <f t="shared" si="61"/>
        <v>0</v>
      </c>
      <c r="M1291" s="1">
        <f t="shared" si="62"/>
        <v>0</v>
      </c>
    </row>
    <row r="1292" spans="11:13">
      <c r="K1292" s="1">
        <f t="shared" si="60"/>
        <v>0</v>
      </c>
      <c r="L1292" s="1">
        <f t="shared" si="61"/>
        <v>0</v>
      </c>
      <c r="M1292" s="1">
        <f t="shared" si="62"/>
        <v>0</v>
      </c>
    </row>
    <row r="1293" spans="11:13">
      <c r="K1293" s="1">
        <f t="shared" si="60"/>
        <v>0</v>
      </c>
      <c r="L1293" s="1">
        <f t="shared" si="61"/>
        <v>0</v>
      </c>
      <c r="M1293" s="1">
        <f t="shared" si="62"/>
        <v>0</v>
      </c>
    </row>
    <row r="1294" spans="11:13">
      <c r="K1294" s="1">
        <f t="shared" si="60"/>
        <v>0</v>
      </c>
      <c r="L1294" s="1">
        <f t="shared" si="61"/>
        <v>0</v>
      </c>
      <c r="M1294" s="1">
        <f t="shared" si="62"/>
        <v>0</v>
      </c>
    </row>
    <row r="1295" spans="11:13">
      <c r="K1295" s="1">
        <f t="shared" si="60"/>
        <v>0</v>
      </c>
      <c r="L1295" s="1">
        <f t="shared" si="61"/>
        <v>0</v>
      </c>
      <c r="M1295" s="1">
        <f t="shared" si="62"/>
        <v>0</v>
      </c>
    </row>
    <row r="1296" spans="11:13">
      <c r="K1296" s="1">
        <f t="shared" si="60"/>
        <v>0</v>
      </c>
      <c r="L1296" s="1">
        <f t="shared" si="61"/>
        <v>0</v>
      </c>
      <c r="M1296" s="1">
        <f t="shared" si="62"/>
        <v>0</v>
      </c>
    </row>
    <row r="1297" spans="11:13">
      <c r="K1297" s="1">
        <f t="shared" si="60"/>
        <v>0</v>
      </c>
      <c r="L1297" s="1">
        <f t="shared" si="61"/>
        <v>0</v>
      </c>
      <c r="M1297" s="1">
        <f t="shared" si="62"/>
        <v>0</v>
      </c>
    </row>
    <row r="1298" spans="11:13">
      <c r="K1298" s="1">
        <f t="shared" si="60"/>
        <v>0</v>
      </c>
      <c r="L1298" s="1">
        <f t="shared" si="61"/>
        <v>0</v>
      </c>
      <c r="M1298" s="1">
        <f t="shared" si="62"/>
        <v>0</v>
      </c>
    </row>
    <row r="1299" spans="11:13">
      <c r="K1299" s="1">
        <f t="shared" si="60"/>
        <v>0</v>
      </c>
      <c r="L1299" s="1">
        <f t="shared" si="61"/>
        <v>0</v>
      </c>
      <c r="M1299" s="1">
        <f t="shared" si="62"/>
        <v>0</v>
      </c>
    </row>
    <row r="1300" spans="11:13">
      <c r="K1300" s="1">
        <f t="shared" si="60"/>
        <v>0</v>
      </c>
      <c r="L1300" s="1">
        <f t="shared" si="61"/>
        <v>0</v>
      </c>
      <c r="M1300" s="1">
        <f t="shared" si="62"/>
        <v>0</v>
      </c>
    </row>
    <row r="1301" spans="11:13">
      <c r="K1301" s="1">
        <f t="shared" si="60"/>
        <v>0</v>
      </c>
      <c r="L1301" s="1">
        <f t="shared" si="61"/>
        <v>0</v>
      </c>
      <c r="M1301" s="1">
        <f t="shared" si="62"/>
        <v>0</v>
      </c>
    </row>
    <row r="1302" spans="11:13">
      <c r="K1302" s="1">
        <f t="shared" si="60"/>
        <v>0</v>
      </c>
      <c r="L1302" s="1">
        <f t="shared" si="61"/>
        <v>0</v>
      </c>
      <c r="M1302" s="1">
        <f t="shared" si="62"/>
        <v>0</v>
      </c>
    </row>
    <row r="1303" spans="11:13">
      <c r="K1303" s="1">
        <f t="shared" si="60"/>
        <v>0</v>
      </c>
      <c r="L1303" s="1">
        <f t="shared" si="61"/>
        <v>0</v>
      </c>
      <c r="M1303" s="1">
        <f t="shared" si="62"/>
        <v>0</v>
      </c>
    </row>
    <row r="1304" spans="11:13">
      <c r="K1304" s="1">
        <f t="shared" si="60"/>
        <v>0</v>
      </c>
      <c r="L1304" s="1">
        <f t="shared" si="61"/>
        <v>0</v>
      </c>
      <c r="M1304" s="1">
        <f t="shared" si="62"/>
        <v>0</v>
      </c>
    </row>
    <row r="1305" spans="11:13">
      <c r="K1305" s="1">
        <f t="shared" si="60"/>
        <v>0</v>
      </c>
      <c r="L1305" s="1">
        <f t="shared" si="61"/>
        <v>0</v>
      </c>
      <c r="M1305" s="1">
        <f t="shared" si="62"/>
        <v>0</v>
      </c>
    </row>
    <row r="1306" spans="11:13">
      <c r="K1306" s="1">
        <f t="shared" si="60"/>
        <v>0</v>
      </c>
      <c r="L1306" s="1">
        <f t="shared" si="61"/>
        <v>0</v>
      </c>
      <c r="M1306" s="1">
        <f t="shared" si="62"/>
        <v>0</v>
      </c>
    </row>
    <row r="1307" spans="11:13">
      <c r="K1307" s="1">
        <f t="shared" si="60"/>
        <v>0</v>
      </c>
      <c r="L1307" s="1">
        <f t="shared" si="61"/>
        <v>0</v>
      </c>
      <c r="M1307" s="1">
        <f t="shared" si="62"/>
        <v>0</v>
      </c>
    </row>
    <row r="1308" spans="11:13">
      <c r="K1308" s="1">
        <f t="shared" si="60"/>
        <v>0</v>
      </c>
      <c r="L1308" s="1">
        <f t="shared" si="61"/>
        <v>0</v>
      </c>
      <c r="M1308" s="1">
        <f t="shared" si="62"/>
        <v>0</v>
      </c>
    </row>
    <row r="1309" spans="11:13">
      <c r="K1309" s="1">
        <f t="shared" si="60"/>
        <v>0</v>
      </c>
      <c r="L1309" s="1">
        <f t="shared" si="61"/>
        <v>0</v>
      </c>
      <c r="M1309" s="1">
        <f t="shared" si="62"/>
        <v>0</v>
      </c>
    </row>
    <row r="1310" spans="11:13">
      <c r="K1310" s="1">
        <f t="shared" si="60"/>
        <v>0</v>
      </c>
      <c r="L1310" s="1">
        <f t="shared" si="61"/>
        <v>0</v>
      </c>
      <c r="M1310" s="1">
        <f t="shared" si="62"/>
        <v>0</v>
      </c>
    </row>
    <row r="1311" spans="11:13">
      <c r="K1311" s="1">
        <f t="shared" si="60"/>
        <v>0</v>
      </c>
      <c r="L1311" s="1">
        <f t="shared" si="61"/>
        <v>0</v>
      </c>
      <c r="M1311" s="1">
        <f t="shared" si="62"/>
        <v>0</v>
      </c>
    </row>
    <row r="1312" spans="11:13">
      <c r="K1312" s="1">
        <f t="shared" si="60"/>
        <v>0</v>
      </c>
      <c r="L1312" s="1">
        <f t="shared" si="61"/>
        <v>0</v>
      </c>
      <c r="M1312" s="1">
        <f t="shared" si="62"/>
        <v>0</v>
      </c>
    </row>
    <row r="1313" spans="11:13">
      <c r="K1313" s="1">
        <f t="shared" si="60"/>
        <v>0</v>
      </c>
      <c r="L1313" s="1">
        <f t="shared" si="61"/>
        <v>0</v>
      </c>
      <c r="M1313" s="1">
        <f t="shared" si="62"/>
        <v>0</v>
      </c>
    </row>
    <row r="1314" spans="11:13">
      <c r="K1314" s="1">
        <f t="shared" si="60"/>
        <v>0</v>
      </c>
      <c r="L1314" s="1">
        <f t="shared" si="61"/>
        <v>0</v>
      </c>
      <c r="M1314" s="1">
        <f t="shared" si="62"/>
        <v>0</v>
      </c>
    </row>
    <row r="1315" spans="11:13">
      <c r="K1315" s="1">
        <f t="shared" si="60"/>
        <v>0</v>
      </c>
      <c r="L1315" s="1">
        <f t="shared" si="61"/>
        <v>0</v>
      </c>
      <c r="M1315" s="1">
        <f t="shared" si="62"/>
        <v>0</v>
      </c>
    </row>
    <row r="1316" spans="11:13">
      <c r="K1316" s="1">
        <f t="shared" si="60"/>
        <v>0</v>
      </c>
      <c r="L1316" s="1">
        <f t="shared" si="61"/>
        <v>0</v>
      </c>
      <c r="M1316" s="1">
        <f t="shared" si="62"/>
        <v>0</v>
      </c>
    </row>
    <row r="1317" spans="11:13">
      <c r="K1317" s="1">
        <f t="shared" si="60"/>
        <v>0</v>
      </c>
      <c r="L1317" s="1">
        <f t="shared" si="61"/>
        <v>0</v>
      </c>
      <c r="M1317" s="1">
        <f t="shared" si="62"/>
        <v>0</v>
      </c>
    </row>
    <row r="1318" spans="11:13">
      <c r="K1318" s="1">
        <f t="shared" si="60"/>
        <v>0</v>
      </c>
      <c r="L1318" s="1">
        <f t="shared" si="61"/>
        <v>0</v>
      </c>
      <c r="M1318" s="1">
        <f t="shared" si="62"/>
        <v>0</v>
      </c>
    </row>
    <row r="1319" spans="11:13">
      <c r="K1319" s="1">
        <f t="shared" ref="K1319:K1382" si="63">J1319-C1319</f>
        <v>0</v>
      </c>
      <c r="L1319" s="1">
        <f t="shared" ref="L1319:L1382" si="64">IF(C1319&gt;0,C1319,0)</f>
        <v>0</v>
      </c>
      <c r="M1319" s="1">
        <f t="shared" ref="M1319:M1382" si="65">IF(C1319&lt;0,C1319,0)</f>
        <v>0</v>
      </c>
    </row>
    <row r="1320" spans="11:13">
      <c r="K1320" s="1">
        <f t="shared" si="63"/>
        <v>0</v>
      </c>
      <c r="L1320" s="1">
        <f t="shared" si="64"/>
        <v>0</v>
      </c>
      <c r="M1320" s="1">
        <f t="shared" si="65"/>
        <v>0</v>
      </c>
    </row>
    <row r="1321" spans="11:13">
      <c r="K1321" s="1">
        <f t="shared" si="63"/>
        <v>0</v>
      </c>
      <c r="L1321" s="1">
        <f t="shared" si="64"/>
        <v>0</v>
      </c>
      <c r="M1321" s="1">
        <f t="shared" si="65"/>
        <v>0</v>
      </c>
    </row>
    <row r="1322" spans="11:13">
      <c r="K1322" s="1">
        <f t="shared" si="63"/>
        <v>0</v>
      </c>
      <c r="L1322" s="1">
        <f t="shared" si="64"/>
        <v>0</v>
      </c>
      <c r="M1322" s="1">
        <f t="shared" si="65"/>
        <v>0</v>
      </c>
    </row>
    <row r="1323" spans="11:13">
      <c r="K1323" s="1">
        <f t="shared" si="63"/>
        <v>0</v>
      </c>
      <c r="L1323" s="1">
        <f t="shared" si="64"/>
        <v>0</v>
      </c>
      <c r="M1323" s="1">
        <f t="shared" si="65"/>
        <v>0</v>
      </c>
    </row>
    <row r="1324" spans="11:13">
      <c r="K1324" s="1">
        <f t="shared" si="63"/>
        <v>0</v>
      </c>
      <c r="L1324" s="1">
        <f t="shared" si="64"/>
        <v>0</v>
      </c>
      <c r="M1324" s="1">
        <f t="shared" si="65"/>
        <v>0</v>
      </c>
    </row>
    <row r="1325" spans="11:13">
      <c r="K1325" s="1">
        <f t="shared" si="63"/>
        <v>0</v>
      </c>
      <c r="L1325" s="1">
        <f t="shared" si="64"/>
        <v>0</v>
      </c>
      <c r="M1325" s="1">
        <f t="shared" si="65"/>
        <v>0</v>
      </c>
    </row>
    <row r="1326" spans="11:13">
      <c r="K1326" s="1">
        <f t="shared" si="63"/>
        <v>0</v>
      </c>
      <c r="L1326" s="1">
        <f t="shared" si="64"/>
        <v>0</v>
      </c>
      <c r="M1326" s="1">
        <f t="shared" si="65"/>
        <v>0</v>
      </c>
    </row>
    <row r="1327" spans="11:13">
      <c r="K1327" s="1">
        <f t="shared" si="63"/>
        <v>0</v>
      </c>
      <c r="L1327" s="1">
        <f t="shared" si="64"/>
        <v>0</v>
      </c>
      <c r="M1327" s="1">
        <f t="shared" si="65"/>
        <v>0</v>
      </c>
    </row>
    <row r="1328" spans="11:13">
      <c r="K1328" s="1">
        <f t="shared" si="63"/>
        <v>0</v>
      </c>
      <c r="L1328" s="1">
        <f t="shared" si="64"/>
        <v>0</v>
      </c>
      <c r="M1328" s="1">
        <f t="shared" si="65"/>
        <v>0</v>
      </c>
    </row>
    <row r="1329" spans="11:13">
      <c r="K1329" s="1">
        <f t="shared" si="63"/>
        <v>0</v>
      </c>
      <c r="L1329" s="1">
        <f t="shared" si="64"/>
        <v>0</v>
      </c>
      <c r="M1329" s="1">
        <f t="shared" si="65"/>
        <v>0</v>
      </c>
    </row>
    <row r="1330" spans="11:13">
      <c r="K1330" s="1">
        <f t="shared" si="63"/>
        <v>0</v>
      </c>
      <c r="L1330" s="1">
        <f t="shared" si="64"/>
        <v>0</v>
      </c>
      <c r="M1330" s="1">
        <f t="shared" si="65"/>
        <v>0</v>
      </c>
    </row>
    <row r="1331" spans="11:13">
      <c r="K1331" s="1">
        <f t="shared" si="63"/>
        <v>0</v>
      </c>
      <c r="L1331" s="1">
        <f t="shared" si="64"/>
        <v>0</v>
      </c>
      <c r="M1331" s="1">
        <f t="shared" si="65"/>
        <v>0</v>
      </c>
    </row>
    <row r="1332" spans="11:13">
      <c r="K1332" s="1">
        <f t="shared" si="63"/>
        <v>0</v>
      </c>
      <c r="L1332" s="1">
        <f t="shared" si="64"/>
        <v>0</v>
      </c>
      <c r="M1332" s="1">
        <f t="shared" si="65"/>
        <v>0</v>
      </c>
    </row>
    <row r="1333" spans="11:13">
      <c r="K1333" s="1">
        <f t="shared" si="63"/>
        <v>0</v>
      </c>
      <c r="L1333" s="1">
        <f t="shared" si="64"/>
        <v>0</v>
      </c>
      <c r="M1333" s="1">
        <f t="shared" si="65"/>
        <v>0</v>
      </c>
    </row>
    <row r="1334" spans="11:13">
      <c r="K1334" s="1">
        <f t="shared" si="63"/>
        <v>0</v>
      </c>
      <c r="L1334" s="1">
        <f t="shared" si="64"/>
        <v>0</v>
      </c>
      <c r="M1334" s="1">
        <f t="shared" si="65"/>
        <v>0</v>
      </c>
    </row>
    <row r="1335" spans="11:13">
      <c r="K1335" s="1">
        <f t="shared" si="63"/>
        <v>0</v>
      </c>
      <c r="L1335" s="1">
        <f t="shared" si="64"/>
        <v>0</v>
      </c>
      <c r="M1335" s="1">
        <f t="shared" si="65"/>
        <v>0</v>
      </c>
    </row>
    <row r="1336" spans="11:13">
      <c r="K1336" s="1">
        <f t="shared" si="63"/>
        <v>0</v>
      </c>
      <c r="L1336" s="1">
        <f t="shared" si="64"/>
        <v>0</v>
      </c>
      <c r="M1336" s="1">
        <f t="shared" si="65"/>
        <v>0</v>
      </c>
    </row>
    <row r="1337" spans="11:13">
      <c r="K1337" s="1">
        <f t="shared" si="63"/>
        <v>0</v>
      </c>
      <c r="L1337" s="1">
        <f t="shared" si="64"/>
        <v>0</v>
      </c>
      <c r="M1337" s="1">
        <f t="shared" si="65"/>
        <v>0</v>
      </c>
    </row>
    <row r="1338" spans="11:13">
      <c r="K1338" s="1">
        <f t="shared" si="63"/>
        <v>0</v>
      </c>
      <c r="L1338" s="1">
        <f t="shared" si="64"/>
        <v>0</v>
      </c>
      <c r="M1338" s="1">
        <f t="shared" si="65"/>
        <v>0</v>
      </c>
    </row>
    <row r="1339" spans="11:13">
      <c r="K1339" s="1">
        <f t="shared" si="63"/>
        <v>0</v>
      </c>
      <c r="L1339" s="1">
        <f t="shared" si="64"/>
        <v>0</v>
      </c>
      <c r="M1339" s="1">
        <f t="shared" si="65"/>
        <v>0</v>
      </c>
    </row>
    <row r="1340" spans="11:13">
      <c r="K1340" s="1">
        <f t="shared" si="63"/>
        <v>0</v>
      </c>
      <c r="L1340" s="1">
        <f t="shared" si="64"/>
        <v>0</v>
      </c>
      <c r="M1340" s="1">
        <f t="shared" si="65"/>
        <v>0</v>
      </c>
    </row>
    <row r="1341" spans="11:13">
      <c r="K1341" s="1">
        <f t="shared" si="63"/>
        <v>0</v>
      </c>
      <c r="L1341" s="1">
        <f t="shared" si="64"/>
        <v>0</v>
      </c>
      <c r="M1341" s="1">
        <f t="shared" si="65"/>
        <v>0</v>
      </c>
    </row>
    <row r="1342" spans="11:13">
      <c r="K1342" s="1">
        <f t="shared" si="63"/>
        <v>0</v>
      </c>
      <c r="L1342" s="1">
        <f t="shared" si="64"/>
        <v>0</v>
      </c>
      <c r="M1342" s="1">
        <f t="shared" si="65"/>
        <v>0</v>
      </c>
    </row>
    <row r="1343" spans="11:13">
      <c r="K1343" s="1">
        <f t="shared" si="63"/>
        <v>0</v>
      </c>
      <c r="L1343" s="1">
        <f t="shared" si="64"/>
        <v>0</v>
      </c>
      <c r="M1343" s="1">
        <f t="shared" si="65"/>
        <v>0</v>
      </c>
    </row>
    <row r="1344" spans="11:13">
      <c r="K1344" s="1">
        <f t="shared" si="63"/>
        <v>0</v>
      </c>
      <c r="L1344" s="1">
        <f t="shared" si="64"/>
        <v>0</v>
      </c>
      <c r="M1344" s="1">
        <f t="shared" si="65"/>
        <v>0</v>
      </c>
    </row>
    <row r="1345" spans="11:13">
      <c r="K1345" s="1">
        <f t="shared" si="63"/>
        <v>0</v>
      </c>
      <c r="L1345" s="1">
        <f t="shared" si="64"/>
        <v>0</v>
      </c>
      <c r="M1345" s="1">
        <f t="shared" si="65"/>
        <v>0</v>
      </c>
    </row>
    <row r="1346" spans="11:13">
      <c r="K1346" s="1">
        <f t="shared" si="63"/>
        <v>0</v>
      </c>
      <c r="L1346" s="1">
        <f t="shared" si="64"/>
        <v>0</v>
      </c>
      <c r="M1346" s="1">
        <f t="shared" si="65"/>
        <v>0</v>
      </c>
    </row>
    <row r="1347" spans="11:13">
      <c r="K1347" s="1">
        <f t="shared" si="63"/>
        <v>0</v>
      </c>
      <c r="L1347" s="1">
        <f t="shared" si="64"/>
        <v>0</v>
      </c>
      <c r="M1347" s="1">
        <f t="shared" si="65"/>
        <v>0</v>
      </c>
    </row>
    <row r="1348" spans="11:13">
      <c r="K1348" s="1">
        <f t="shared" si="63"/>
        <v>0</v>
      </c>
      <c r="L1348" s="1">
        <f t="shared" si="64"/>
        <v>0</v>
      </c>
      <c r="M1348" s="1">
        <f t="shared" si="65"/>
        <v>0</v>
      </c>
    </row>
    <row r="1349" spans="11:13">
      <c r="K1349" s="1">
        <f t="shared" si="63"/>
        <v>0</v>
      </c>
      <c r="L1349" s="1">
        <f t="shared" si="64"/>
        <v>0</v>
      </c>
      <c r="M1349" s="1">
        <f t="shared" si="65"/>
        <v>0</v>
      </c>
    </row>
    <row r="1350" spans="11:13">
      <c r="K1350" s="1">
        <f t="shared" si="63"/>
        <v>0</v>
      </c>
      <c r="L1350" s="1">
        <f t="shared" si="64"/>
        <v>0</v>
      </c>
      <c r="M1350" s="1">
        <f t="shared" si="65"/>
        <v>0</v>
      </c>
    </row>
    <row r="1351" spans="11:13">
      <c r="K1351" s="1">
        <f t="shared" si="63"/>
        <v>0</v>
      </c>
      <c r="L1351" s="1">
        <f t="shared" si="64"/>
        <v>0</v>
      </c>
      <c r="M1351" s="1">
        <f t="shared" si="65"/>
        <v>0</v>
      </c>
    </row>
    <row r="1352" spans="11:13">
      <c r="K1352" s="1">
        <f t="shared" si="63"/>
        <v>0</v>
      </c>
      <c r="L1352" s="1">
        <f t="shared" si="64"/>
        <v>0</v>
      </c>
      <c r="M1352" s="1">
        <f t="shared" si="65"/>
        <v>0</v>
      </c>
    </row>
    <row r="1353" spans="11:13">
      <c r="K1353" s="1">
        <f t="shared" si="63"/>
        <v>0</v>
      </c>
      <c r="L1353" s="1">
        <f t="shared" si="64"/>
        <v>0</v>
      </c>
      <c r="M1353" s="1">
        <f t="shared" si="65"/>
        <v>0</v>
      </c>
    </row>
    <row r="1354" spans="11:13">
      <c r="K1354" s="1">
        <f t="shared" si="63"/>
        <v>0</v>
      </c>
      <c r="L1354" s="1">
        <f t="shared" si="64"/>
        <v>0</v>
      </c>
      <c r="M1354" s="1">
        <f t="shared" si="65"/>
        <v>0</v>
      </c>
    </row>
    <row r="1355" spans="11:13">
      <c r="K1355" s="1">
        <f t="shared" si="63"/>
        <v>0</v>
      </c>
      <c r="L1355" s="1">
        <f t="shared" si="64"/>
        <v>0</v>
      </c>
      <c r="M1355" s="1">
        <f t="shared" si="65"/>
        <v>0</v>
      </c>
    </row>
    <row r="1356" spans="11:13">
      <c r="K1356" s="1">
        <f t="shared" si="63"/>
        <v>0</v>
      </c>
      <c r="L1356" s="1">
        <f t="shared" si="64"/>
        <v>0</v>
      </c>
      <c r="M1356" s="1">
        <f t="shared" si="65"/>
        <v>0</v>
      </c>
    </row>
    <row r="1357" spans="11:13">
      <c r="K1357" s="1">
        <f t="shared" si="63"/>
        <v>0</v>
      </c>
      <c r="L1357" s="1">
        <f t="shared" si="64"/>
        <v>0</v>
      </c>
      <c r="M1357" s="1">
        <f t="shared" si="65"/>
        <v>0</v>
      </c>
    </row>
    <row r="1358" spans="11:13">
      <c r="K1358" s="1">
        <f t="shared" si="63"/>
        <v>0</v>
      </c>
      <c r="L1358" s="1">
        <f t="shared" si="64"/>
        <v>0</v>
      </c>
      <c r="M1358" s="1">
        <f t="shared" si="65"/>
        <v>0</v>
      </c>
    </row>
    <row r="1359" spans="11:13">
      <c r="K1359" s="1">
        <f t="shared" si="63"/>
        <v>0</v>
      </c>
      <c r="L1359" s="1">
        <f t="shared" si="64"/>
        <v>0</v>
      </c>
      <c r="M1359" s="1">
        <f t="shared" si="65"/>
        <v>0</v>
      </c>
    </row>
    <row r="1360" spans="11:13">
      <c r="K1360" s="1">
        <f t="shared" si="63"/>
        <v>0</v>
      </c>
      <c r="L1360" s="1">
        <f t="shared" si="64"/>
        <v>0</v>
      </c>
      <c r="M1360" s="1">
        <f t="shared" si="65"/>
        <v>0</v>
      </c>
    </row>
    <row r="1361" spans="11:13">
      <c r="K1361" s="1">
        <f t="shared" si="63"/>
        <v>0</v>
      </c>
      <c r="L1361" s="1">
        <f t="shared" si="64"/>
        <v>0</v>
      </c>
      <c r="M1361" s="1">
        <f t="shared" si="65"/>
        <v>0</v>
      </c>
    </row>
    <row r="1362" spans="11:13">
      <c r="K1362" s="1">
        <f t="shared" si="63"/>
        <v>0</v>
      </c>
      <c r="L1362" s="1">
        <f t="shared" si="64"/>
        <v>0</v>
      </c>
      <c r="M1362" s="1">
        <f t="shared" si="65"/>
        <v>0</v>
      </c>
    </row>
    <row r="1363" spans="11:13">
      <c r="K1363" s="1">
        <f t="shared" si="63"/>
        <v>0</v>
      </c>
      <c r="L1363" s="1">
        <f t="shared" si="64"/>
        <v>0</v>
      </c>
      <c r="M1363" s="1">
        <f t="shared" si="65"/>
        <v>0</v>
      </c>
    </row>
    <row r="1364" spans="11:13">
      <c r="K1364" s="1">
        <f t="shared" si="63"/>
        <v>0</v>
      </c>
      <c r="L1364" s="1">
        <f t="shared" si="64"/>
        <v>0</v>
      </c>
      <c r="M1364" s="1">
        <f t="shared" si="65"/>
        <v>0</v>
      </c>
    </row>
    <row r="1365" spans="11:13">
      <c r="K1365" s="1">
        <f t="shared" si="63"/>
        <v>0</v>
      </c>
      <c r="L1365" s="1">
        <f t="shared" si="64"/>
        <v>0</v>
      </c>
      <c r="M1365" s="1">
        <f t="shared" si="65"/>
        <v>0</v>
      </c>
    </row>
    <row r="1366" spans="11:13">
      <c r="K1366" s="1">
        <f t="shared" si="63"/>
        <v>0</v>
      </c>
      <c r="L1366" s="1">
        <f t="shared" si="64"/>
        <v>0</v>
      </c>
      <c r="M1366" s="1">
        <f t="shared" si="65"/>
        <v>0</v>
      </c>
    </row>
    <row r="1367" spans="11:13">
      <c r="K1367" s="1">
        <f t="shared" si="63"/>
        <v>0</v>
      </c>
      <c r="L1367" s="1">
        <f t="shared" si="64"/>
        <v>0</v>
      </c>
      <c r="M1367" s="1">
        <f t="shared" si="65"/>
        <v>0</v>
      </c>
    </row>
    <row r="1368" spans="11:13">
      <c r="K1368" s="1">
        <f t="shared" si="63"/>
        <v>0</v>
      </c>
      <c r="L1368" s="1">
        <f t="shared" si="64"/>
        <v>0</v>
      </c>
      <c r="M1368" s="1">
        <f t="shared" si="65"/>
        <v>0</v>
      </c>
    </row>
    <row r="1369" spans="11:13">
      <c r="K1369" s="1">
        <f t="shared" si="63"/>
        <v>0</v>
      </c>
      <c r="L1369" s="1">
        <f t="shared" si="64"/>
        <v>0</v>
      </c>
      <c r="M1369" s="1">
        <f t="shared" si="65"/>
        <v>0</v>
      </c>
    </row>
    <row r="1370" spans="11:13">
      <c r="K1370" s="1">
        <f t="shared" si="63"/>
        <v>0</v>
      </c>
      <c r="L1370" s="1">
        <f t="shared" si="64"/>
        <v>0</v>
      </c>
      <c r="M1370" s="1">
        <f t="shared" si="65"/>
        <v>0</v>
      </c>
    </row>
    <row r="1371" spans="11:13">
      <c r="K1371" s="1">
        <f t="shared" si="63"/>
        <v>0</v>
      </c>
      <c r="L1371" s="1">
        <f t="shared" si="64"/>
        <v>0</v>
      </c>
      <c r="M1371" s="1">
        <f t="shared" si="65"/>
        <v>0</v>
      </c>
    </row>
    <row r="1372" spans="11:13">
      <c r="K1372" s="1">
        <f t="shared" si="63"/>
        <v>0</v>
      </c>
      <c r="L1372" s="1">
        <f t="shared" si="64"/>
        <v>0</v>
      </c>
      <c r="M1372" s="1">
        <f t="shared" si="65"/>
        <v>0</v>
      </c>
    </row>
    <row r="1373" spans="11:13">
      <c r="K1373" s="1">
        <f t="shared" si="63"/>
        <v>0</v>
      </c>
      <c r="L1373" s="1">
        <f t="shared" si="64"/>
        <v>0</v>
      </c>
      <c r="M1373" s="1">
        <f t="shared" si="65"/>
        <v>0</v>
      </c>
    </row>
    <row r="1374" spans="11:13">
      <c r="K1374" s="1">
        <f t="shared" si="63"/>
        <v>0</v>
      </c>
      <c r="L1374" s="1">
        <f t="shared" si="64"/>
        <v>0</v>
      </c>
      <c r="M1374" s="1">
        <f t="shared" si="65"/>
        <v>0</v>
      </c>
    </row>
    <row r="1375" spans="11:13">
      <c r="K1375" s="1">
        <f t="shared" si="63"/>
        <v>0</v>
      </c>
      <c r="L1375" s="1">
        <f t="shared" si="64"/>
        <v>0</v>
      </c>
      <c r="M1375" s="1">
        <f t="shared" si="65"/>
        <v>0</v>
      </c>
    </row>
    <row r="1376" spans="11:13">
      <c r="K1376" s="1">
        <f t="shared" si="63"/>
        <v>0</v>
      </c>
      <c r="L1376" s="1">
        <f t="shared" si="64"/>
        <v>0</v>
      </c>
      <c r="M1376" s="1">
        <f t="shared" si="65"/>
        <v>0</v>
      </c>
    </row>
    <row r="1377" spans="11:13">
      <c r="K1377" s="1">
        <f t="shared" si="63"/>
        <v>0</v>
      </c>
      <c r="L1377" s="1">
        <f t="shared" si="64"/>
        <v>0</v>
      </c>
      <c r="M1377" s="1">
        <f t="shared" si="65"/>
        <v>0</v>
      </c>
    </row>
    <row r="1378" spans="11:13">
      <c r="K1378" s="1">
        <f t="shared" si="63"/>
        <v>0</v>
      </c>
      <c r="L1378" s="1">
        <f t="shared" si="64"/>
        <v>0</v>
      </c>
      <c r="M1378" s="1">
        <f t="shared" si="65"/>
        <v>0</v>
      </c>
    </row>
    <row r="1379" spans="11:13">
      <c r="K1379" s="1">
        <f t="shared" si="63"/>
        <v>0</v>
      </c>
      <c r="L1379" s="1">
        <f t="shared" si="64"/>
        <v>0</v>
      </c>
      <c r="M1379" s="1">
        <f t="shared" si="65"/>
        <v>0</v>
      </c>
    </row>
    <row r="1380" spans="11:13">
      <c r="K1380" s="1">
        <f t="shared" si="63"/>
        <v>0</v>
      </c>
      <c r="L1380" s="1">
        <f t="shared" si="64"/>
        <v>0</v>
      </c>
      <c r="M1380" s="1">
        <f t="shared" si="65"/>
        <v>0</v>
      </c>
    </row>
    <row r="1381" spans="11:13">
      <c r="K1381" s="1">
        <f t="shared" si="63"/>
        <v>0</v>
      </c>
      <c r="L1381" s="1">
        <f t="shared" si="64"/>
        <v>0</v>
      </c>
      <c r="M1381" s="1">
        <f t="shared" si="65"/>
        <v>0</v>
      </c>
    </row>
    <row r="1382" spans="11:13">
      <c r="K1382" s="1">
        <f t="shared" si="63"/>
        <v>0</v>
      </c>
      <c r="L1382" s="1">
        <f t="shared" si="64"/>
        <v>0</v>
      </c>
      <c r="M1382" s="1">
        <f t="shared" si="65"/>
        <v>0</v>
      </c>
    </row>
    <row r="1383" spans="11:13">
      <c r="K1383" s="1">
        <f t="shared" ref="K1383:K1446" si="66">J1383-C1383</f>
        <v>0</v>
      </c>
      <c r="L1383" s="1">
        <f t="shared" ref="L1383:L1446" si="67">IF(C1383&gt;0,C1383,0)</f>
        <v>0</v>
      </c>
      <c r="M1383" s="1">
        <f t="shared" ref="M1383:M1446" si="68">IF(C1383&lt;0,C1383,0)</f>
        <v>0</v>
      </c>
    </row>
    <row r="1384" spans="11:13">
      <c r="K1384" s="1">
        <f t="shared" si="66"/>
        <v>0</v>
      </c>
      <c r="L1384" s="1">
        <f t="shared" si="67"/>
        <v>0</v>
      </c>
      <c r="M1384" s="1">
        <f t="shared" si="68"/>
        <v>0</v>
      </c>
    </row>
    <row r="1385" spans="11:13">
      <c r="K1385" s="1">
        <f t="shared" si="66"/>
        <v>0</v>
      </c>
      <c r="L1385" s="1">
        <f t="shared" si="67"/>
        <v>0</v>
      </c>
      <c r="M1385" s="1">
        <f t="shared" si="68"/>
        <v>0</v>
      </c>
    </row>
    <row r="1386" spans="11:13">
      <c r="K1386" s="1">
        <f t="shared" si="66"/>
        <v>0</v>
      </c>
      <c r="L1386" s="1">
        <f t="shared" si="67"/>
        <v>0</v>
      </c>
      <c r="M1386" s="1">
        <f t="shared" si="68"/>
        <v>0</v>
      </c>
    </row>
    <row r="1387" spans="11:13">
      <c r="K1387" s="1">
        <f t="shared" si="66"/>
        <v>0</v>
      </c>
      <c r="L1387" s="1">
        <f t="shared" si="67"/>
        <v>0</v>
      </c>
      <c r="M1387" s="1">
        <f t="shared" si="68"/>
        <v>0</v>
      </c>
    </row>
    <row r="1388" spans="11:13">
      <c r="K1388" s="1">
        <f t="shared" si="66"/>
        <v>0</v>
      </c>
      <c r="L1388" s="1">
        <f t="shared" si="67"/>
        <v>0</v>
      </c>
      <c r="M1388" s="1">
        <f t="shared" si="68"/>
        <v>0</v>
      </c>
    </row>
    <row r="1389" spans="11:13">
      <c r="K1389" s="1">
        <f t="shared" si="66"/>
        <v>0</v>
      </c>
      <c r="L1389" s="1">
        <f t="shared" si="67"/>
        <v>0</v>
      </c>
      <c r="M1389" s="1">
        <f t="shared" si="68"/>
        <v>0</v>
      </c>
    </row>
    <row r="1390" spans="11:13">
      <c r="K1390" s="1">
        <f t="shared" si="66"/>
        <v>0</v>
      </c>
      <c r="L1390" s="1">
        <f t="shared" si="67"/>
        <v>0</v>
      </c>
      <c r="M1390" s="1">
        <f t="shared" si="68"/>
        <v>0</v>
      </c>
    </row>
    <row r="1391" spans="11:13">
      <c r="K1391" s="1">
        <f t="shared" si="66"/>
        <v>0</v>
      </c>
      <c r="L1391" s="1">
        <f t="shared" si="67"/>
        <v>0</v>
      </c>
      <c r="M1391" s="1">
        <f t="shared" si="68"/>
        <v>0</v>
      </c>
    </row>
    <row r="1392" spans="11:13">
      <c r="K1392" s="1">
        <f t="shared" si="66"/>
        <v>0</v>
      </c>
      <c r="L1392" s="1">
        <f t="shared" si="67"/>
        <v>0</v>
      </c>
      <c r="M1392" s="1">
        <f t="shared" si="68"/>
        <v>0</v>
      </c>
    </row>
    <row r="1393" spans="11:13">
      <c r="K1393" s="1">
        <f t="shared" si="66"/>
        <v>0</v>
      </c>
      <c r="L1393" s="1">
        <f t="shared" si="67"/>
        <v>0</v>
      </c>
      <c r="M1393" s="1">
        <f t="shared" si="68"/>
        <v>0</v>
      </c>
    </row>
    <row r="1394" spans="11:13">
      <c r="K1394" s="1">
        <f t="shared" si="66"/>
        <v>0</v>
      </c>
      <c r="L1394" s="1">
        <f t="shared" si="67"/>
        <v>0</v>
      </c>
      <c r="M1394" s="1">
        <f t="shared" si="68"/>
        <v>0</v>
      </c>
    </row>
    <row r="1395" spans="11:13">
      <c r="K1395" s="1">
        <f t="shared" si="66"/>
        <v>0</v>
      </c>
      <c r="L1395" s="1">
        <f t="shared" si="67"/>
        <v>0</v>
      </c>
      <c r="M1395" s="1">
        <f t="shared" si="68"/>
        <v>0</v>
      </c>
    </row>
    <row r="1396" spans="11:13">
      <c r="K1396" s="1">
        <f t="shared" si="66"/>
        <v>0</v>
      </c>
      <c r="L1396" s="1">
        <f t="shared" si="67"/>
        <v>0</v>
      </c>
      <c r="M1396" s="1">
        <f t="shared" si="68"/>
        <v>0</v>
      </c>
    </row>
    <row r="1397" spans="11:13">
      <c r="K1397" s="1">
        <f t="shared" si="66"/>
        <v>0</v>
      </c>
      <c r="L1397" s="1">
        <f t="shared" si="67"/>
        <v>0</v>
      </c>
      <c r="M1397" s="1">
        <f t="shared" si="68"/>
        <v>0</v>
      </c>
    </row>
    <row r="1398" spans="11:13">
      <c r="K1398" s="1">
        <f t="shared" si="66"/>
        <v>0</v>
      </c>
      <c r="L1398" s="1">
        <f t="shared" si="67"/>
        <v>0</v>
      </c>
      <c r="M1398" s="1">
        <f t="shared" si="68"/>
        <v>0</v>
      </c>
    </row>
    <row r="1399" spans="11:13">
      <c r="K1399" s="1">
        <f t="shared" si="66"/>
        <v>0</v>
      </c>
      <c r="L1399" s="1">
        <f t="shared" si="67"/>
        <v>0</v>
      </c>
      <c r="M1399" s="1">
        <f t="shared" si="68"/>
        <v>0</v>
      </c>
    </row>
    <row r="1400" spans="11:13">
      <c r="K1400" s="1">
        <f t="shared" si="66"/>
        <v>0</v>
      </c>
      <c r="L1400" s="1">
        <f t="shared" si="67"/>
        <v>0</v>
      </c>
      <c r="M1400" s="1">
        <f t="shared" si="68"/>
        <v>0</v>
      </c>
    </row>
    <row r="1401" spans="11:13">
      <c r="K1401" s="1">
        <f t="shared" si="66"/>
        <v>0</v>
      </c>
      <c r="L1401" s="1">
        <f t="shared" si="67"/>
        <v>0</v>
      </c>
      <c r="M1401" s="1">
        <f t="shared" si="68"/>
        <v>0</v>
      </c>
    </row>
    <row r="1402" spans="11:13">
      <c r="K1402" s="1">
        <f t="shared" si="66"/>
        <v>0</v>
      </c>
      <c r="L1402" s="1">
        <f t="shared" si="67"/>
        <v>0</v>
      </c>
      <c r="M1402" s="1">
        <f t="shared" si="68"/>
        <v>0</v>
      </c>
    </row>
    <row r="1403" spans="11:13">
      <c r="K1403" s="1">
        <f t="shared" si="66"/>
        <v>0</v>
      </c>
      <c r="L1403" s="1">
        <f t="shared" si="67"/>
        <v>0</v>
      </c>
      <c r="M1403" s="1">
        <f t="shared" si="68"/>
        <v>0</v>
      </c>
    </row>
    <row r="1404" spans="11:13">
      <c r="K1404" s="1">
        <f t="shared" si="66"/>
        <v>0</v>
      </c>
      <c r="L1404" s="1">
        <f t="shared" si="67"/>
        <v>0</v>
      </c>
      <c r="M1404" s="1">
        <f t="shared" si="68"/>
        <v>0</v>
      </c>
    </row>
    <row r="1405" spans="11:13">
      <c r="K1405" s="1">
        <f t="shared" si="66"/>
        <v>0</v>
      </c>
      <c r="L1405" s="1">
        <f t="shared" si="67"/>
        <v>0</v>
      </c>
      <c r="M1405" s="1">
        <f t="shared" si="68"/>
        <v>0</v>
      </c>
    </row>
    <row r="1406" spans="11:13">
      <c r="K1406" s="1">
        <f t="shared" si="66"/>
        <v>0</v>
      </c>
      <c r="L1406" s="1">
        <f t="shared" si="67"/>
        <v>0</v>
      </c>
      <c r="M1406" s="1">
        <f t="shared" si="68"/>
        <v>0</v>
      </c>
    </row>
    <row r="1407" spans="11:13">
      <c r="K1407" s="1">
        <f t="shared" si="66"/>
        <v>0</v>
      </c>
      <c r="L1407" s="1">
        <f t="shared" si="67"/>
        <v>0</v>
      </c>
      <c r="M1407" s="1">
        <f t="shared" si="68"/>
        <v>0</v>
      </c>
    </row>
    <row r="1408" spans="11:13">
      <c r="K1408" s="1">
        <f t="shared" si="66"/>
        <v>0</v>
      </c>
      <c r="L1408" s="1">
        <f t="shared" si="67"/>
        <v>0</v>
      </c>
      <c r="M1408" s="1">
        <f t="shared" si="68"/>
        <v>0</v>
      </c>
    </row>
    <row r="1409" spans="11:13">
      <c r="K1409" s="1">
        <f t="shared" si="66"/>
        <v>0</v>
      </c>
      <c r="L1409" s="1">
        <f t="shared" si="67"/>
        <v>0</v>
      </c>
      <c r="M1409" s="1">
        <f t="shared" si="68"/>
        <v>0</v>
      </c>
    </row>
    <row r="1410" spans="11:13">
      <c r="K1410" s="1">
        <f t="shared" si="66"/>
        <v>0</v>
      </c>
      <c r="L1410" s="1">
        <f t="shared" si="67"/>
        <v>0</v>
      </c>
      <c r="M1410" s="1">
        <f t="shared" si="68"/>
        <v>0</v>
      </c>
    </row>
    <row r="1411" spans="11:13">
      <c r="K1411" s="1">
        <f t="shared" si="66"/>
        <v>0</v>
      </c>
      <c r="L1411" s="1">
        <f t="shared" si="67"/>
        <v>0</v>
      </c>
      <c r="M1411" s="1">
        <f t="shared" si="68"/>
        <v>0</v>
      </c>
    </row>
    <row r="1412" spans="11:13">
      <c r="K1412" s="1">
        <f t="shared" si="66"/>
        <v>0</v>
      </c>
      <c r="L1412" s="1">
        <f t="shared" si="67"/>
        <v>0</v>
      </c>
      <c r="M1412" s="1">
        <f t="shared" si="68"/>
        <v>0</v>
      </c>
    </row>
    <row r="1413" spans="11:13">
      <c r="K1413" s="1">
        <f t="shared" si="66"/>
        <v>0</v>
      </c>
      <c r="L1413" s="1">
        <f t="shared" si="67"/>
        <v>0</v>
      </c>
      <c r="M1413" s="1">
        <f t="shared" si="68"/>
        <v>0</v>
      </c>
    </row>
    <row r="1414" spans="11:13">
      <c r="K1414" s="1">
        <f t="shared" si="66"/>
        <v>0</v>
      </c>
      <c r="L1414" s="1">
        <f t="shared" si="67"/>
        <v>0</v>
      </c>
      <c r="M1414" s="1">
        <f t="shared" si="68"/>
        <v>0</v>
      </c>
    </row>
    <row r="1415" spans="11:13">
      <c r="K1415" s="1">
        <f t="shared" si="66"/>
        <v>0</v>
      </c>
      <c r="L1415" s="1">
        <f t="shared" si="67"/>
        <v>0</v>
      </c>
      <c r="M1415" s="1">
        <f t="shared" si="68"/>
        <v>0</v>
      </c>
    </row>
    <row r="1416" spans="11:13">
      <c r="K1416" s="1">
        <f t="shared" si="66"/>
        <v>0</v>
      </c>
      <c r="L1416" s="1">
        <f t="shared" si="67"/>
        <v>0</v>
      </c>
      <c r="M1416" s="1">
        <f t="shared" si="68"/>
        <v>0</v>
      </c>
    </row>
    <row r="1417" spans="11:13">
      <c r="K1417" s="1">
        <f t="shared" si="66"/>
        <v>0</v>
      </c>
      <c r="L1417" s="1">
        <f t="shared" si="67"/>
        <v>0</v>
      </c>
      <c r="M1417" s="1">
        <f t="shared" si="68"/>
        <v>0</v>
      </c>
    </row>
    <row r="1418" spans="11:13">
      <c r="K1418" s="1">
        <f t="shared" si="66"/>
        <v>0</v>
      </c>
      <c r="L1418" s="1">
        <f t="shared" si="67"/>
        <v>0</v>
      </c>
      <c r="M1418" s="1">
        <f t="shared" si="68"/>
        <v>0</v>
      </c>
    </row>
    <row r="1419" spans="11:13">
      <c r="K1419" s="1">
        <f t="shared" si="66"/>
        <v>0</v>
      </c>
      <c r="L1419" s="1">
        <f t="shared" si="67"/>
        <v>0</v>
      </c>
      <c r="M1419" s="1">
        <f t="shared" si="68"/>
        <v>0</v>
      </c>
    </row>
    <row r="1420" spans="11:13">
      <c r="K1420" s="1">
        <f t="shared" si="66"/>
        <v>0</v>
      </c>
      <c r="L1420" s="1">
        <f t="shared" si="67"/>
        <v>0</v>
      </c>
      <c r="M1420" s="1">
        <f t="shared" si="68"/>
        <v>0</v>
      </c>
    </row>
    <row r="1421" spans="11:13">
      <c r="K1421" s="1">
        <f t="shared" si="66"/>
        <v>0</v>
      </c>
      <c r="L1421" s="1">
        <f t="shared" si="67"/>
        <v>0</v>
      </c>
      <c r="M1421" s="1">
        <f t="shared" si="68"/>
        <v>0</v>
      </c>
    </row>
    <row r="1422" spans="11:13">
      <c r="K1422" s="1">
        <f t="shared" si="66"/>
        <v>0</v>
      </c>
      <c r="L1422" s="1">
        <f t="shared" si="67"/>
        <v>0</v>
      </c>
      <c r="M1422" s="1">
        <f t="shared" si="68"/>
        <v>0</v>
      </c>
    </row>
    <row r="1423" spans="11:13">
      <c r="K1423" s="1">
        <f t="shared" si="66"/>
        <v>0</v>
      </c>
      <c r="L1423" s="1">
        <f t="shared" si="67"/>
        <v>0</v>
      </c>
      <c r="M1423" s="1">
        <f t="shared" si="68"/>
        <v>0</v>
      </c>
    </row>
    <row r="1424" spans="11:13">
      <c r="K1424" s="1">
        <f t="shared" si="66"/>
        <v>0</v>
      </c>
      <c r="L1424" s="1">
        <f t="shared" si="67"/>
        <v>0</v>
      </c>
      <c r="M1424" s="1">
        <f t="shared" si="68"/>
        <v>0</v>
      </c>
    </row>
    <row r="1425" spans="11:13">
      <c r="K1425" s="1">
        <f t="shared" si="66"/>
        <v>0</v>
      </c>
      <c r="L1425" s="1">
        <f t="shared" si="67"/>
        <v>0</v>
      </c>
      <c r="M1425" s="1">
        <f t="shared" si="68"/>
        <v>0</v>
      </c>
    </row>
    <row r="1426" spans="11:13">
      <c r="K1426" s="1">
        <f t="shared" si="66"/>
        <v>0</v>
      </c>
      <c r="L1426" s="1">
        <f t="shared" si="67"/>
        <v>0</v>
      </c>
      <c r="M1426" s="1">
        <f t="shared" si="68"/>
        <v>0</v>
      </c>
    </row>
    <row r="1427" spans="11:13">
      <c r="K1427" s="1">
        <f t="shared" si="66"/>
        <v>0</v>
      </c>
      <c r="L1427" s="1">
        <f t="shared" si="67"/>
        <v>0</v>
      </c>
      <c r="M1427" s="1">
        <f t="shared" si="68"/>
        <v>0</v>
      </c>
    </row>
    <row r="1428" spans="11:13">
      <c r="K1428" s="1">
        <f t="shared" si="66"/>
        <v>0</v>
      </c>
      <c r="L1428" s="1">
        <f t="shared" si="67"/>
        <v>0</v>
      </c>
      <c r="M1428" s="1">
        <f t="shared" si="68"/>
        <v>0</v>
      </c>
    </row>
    <row r="1429" spans="11:13">
      <c r="K1429" s="1">
        <f t="shared" si="66"/>
        <v>0</v>
      </c>
      <c r="L1429" s="1">
        <f t="shared" si="67"/>
        <v>0</v>
      </c>
      <c r="M1429" s="1">
        <f t="shared" si="68"/>
        <v>0</v>
      </c>
    </row>
    <row r="1430" spans="11:13">
      <c r="K1430" s="1">
        <f t="shared" si="66"/>
        <v>0</v>
      </c>
      <c r="L1430" s="1">
        <f t="shared" si="67"/>
        <v>0</v>
      </c>
      <c r="M1430" s="1">
        <f t="shared" si="68"/>
        <v>0</v>
      </c>
    </row>
    <row r="1431" spans="11:13">
      <c r="K1431" s="1">
        <f t="shared" si="66"/>
        <v>0</v>
      </c>
      <c r="L1431" s="1">
        <f t="shared" si="67"/>
        <v>0</v>
      </c>
      <c r="M1431" s="1">
        <f t="shared" si="68"/>
        <v>0</v>
      </c>
    </row>
    <row r="1432" spans="11:13">
      <c r="K1432" s="1">
        <f t="shared" si="66"/>
        <v>0</v>
      </c>
      <c r="L1432" s="1">
        <f t="shared" si="67"/>
        <v>0</v>
      </c>
      <c r="M1432" s="1">
        <f t="shared" si="68"/>
        <v>0</v>
      </c>
    </row>
    <row r="1433" spans="11:13">
      <c r="K1433" s="1">
        <f t="shared" si="66"/>
        <v>0</v>
      </c>
      <c r="L1433" s="1">
        <f t="shared" si="67"/>
        <v>0</v>
      </c>
      <c r="M1433" s="1">
        <f t="shared" si="68"/>
        <v>0</v>
      </c>
    </row>
    <row r="1434" spans="11:13">
      <c r="K1434" s="1">
        <f t="shared" si="66"/>
        <v>0</v>
      </c>
      <c r="L1434" s="1">
        <f t="shared" si="67"/>
        <v>0</v>
      </c>
      <c r="M1434" s="1">
        <f t="shared" si="68"/>
        <v>0</v>
      </c>
    </row>
    <row r="1435" spans="11:13">
      <c r="K1435" s="1">
        <f t="shared" si="66"/>
        <v>0</v>
      </c>
      <c r="L1435" s="1">
        <f t="shared" si="67"/>
        <v>0</v>
      </c>
      <c r="M1435" s="1">
        <f t="shared" si="68"/>
        <v>0</v>
      </c>
    </row>
    <row r="1436" spans="11:13">
      <c r="K1436" s="1">
        <f t="shared" si="66"/>
        <v>0</v>
      </c>
      <c r="L1436" s="1">
        <f t="shared" si="67"/>
        <v>0</v>
      </c>
      <c r="M1436" s="1">
        <f t="shared" si="68"/>
        <v>0</v>
      </c>
    </row>
    <row r="1437" spans="11:13">
      <c r="K1437" s="1">
        <f t="shared" si="66"/>
        <v>0</v>
      </c>
      <c r="L1437" s="1">
        <f t="shared" si="67"/>
        <v>0</v>
      </c>
      <c r="M1437" s="1">
        <f t="shared" si="68"/>
        <v>0</v>
      </c>
    </row>
    <row r="1438" spans="11:13">
      <c r="K1438" s="1">
        <f t="shared" si="66"/>
        <v>0</v>
      </c>
      <c r="L1438" s="1">
        <f t="shared" si="67"/>
        <v>0</v>
      </c>
      <c r="M1438" s="1">
        <f t="shared" si="68"/>
        <v>0</v>
      </c>
    </row>
    <row r="1439" spans="11:13">
      <c r="K1439" s="1">
        <f t="shared" si="66"/>
        <v>0</v>
      </c>
      <c r="L1439" s="1">
        <f t="shared" si="67"/>
        <v>0</v>
      </c>
      <c r="M1439" s="1">
        <f t="shared" si="68"/>
        <v>0</v>
      </c>
    </row>
    <row r="1440" spans="11:13">
      <c r="K1440" s="1">
        <f t="shared" si="66"/>
        <v>0</v>
      </c>
      <c r="L1440" s="1">
        <f t="shared" si="67"/>
        <v>0</v>
      </c>
      <c r="M1440" s="1">
        <f t="shared" si="68"/>
        <v>0</v>
      </c>
    </row>
    <row r="1441" spans="11:13">
      <c r="K1441" s="1">
        <f t="shared" si="66"/>
        <v>0</v>
      </c>
      <c r="L1441" s="1">
        <f t="shared" si="67"/>
        <v>0</v>
      </c>
      <c r="M1441" s="1">
        <f t="shared" si="68"/>
        <v>0</v>
      </c>
    </row>
    <row r="1442" spans="11:13">
      <c r="K1442" s="1">
        <f t="shared" si="66"/>
        <v>0</v>
      </c>
      <c r="L1442" s="1">
        <f t="shared" si="67"/>
        <v>0</v>
      </c>
      <c r="M1442" s="1">
        <f t="shared" si="68"/>
        <v>0</v>
      </c>
    </row>
    <row r="1443" spans="11:13">
      <c r="K1443" s="1">
        <f t="shared" si="66"/>
        <v>0</v>
      </c>
      <c r="L1443" s="1">
        <f t="shared" si="67"/>
        <v>0</v>
      </c>
      <c r="M1443" s="1">
        <f t="shared" si="68"/>
        <v>0</v>
      </c>
    </row>
    <row r="1444" spans="11:13">
      <c r="K1444" s="1">
        <f t="shared" si="66"/>
        <v>0</v>
      </c>
      <c r="L1444" s="1">
        <f t="shared" si="67"/>
        <v>0</v>
      </c>
      <c r="M1444" s="1">
        <f t="shared" si="68"/>
        <v>0</v>
      </c>
    </row>
    <row r="1445" spans="11:13">
      <c r="K1445" s="1">
        <f t="shared" si="66"/>
        <v>0</v>
      </c>
      <c r="L1445" s="1">
        <f t="shared" si="67"/>
        <v>0</v>
      </c>
      <c r="M1445" s="1">
        <f t="shared" si="68"/>
        <v>0</v>
      </c>
    </row>
    <row r="1446" spans="11:13">
      <c r="K1446" s="1">
        <f t="shared" si="66"/>
        <v>0</v>
      </c>
      <c r="L1446" s="1">
        <f t="shared" si="67"/>
        <v>0</v>
      </c>
      <c r="M1446" s="1">
        <f t="shared" si="68"/>
        <v>0</v>
      </c>
    </row>
    <row r="1447" spans="11:13">
      <c r="K1447" s="1">
        <f t="shared" ref="K1447:K1510" si="69">J1447-C1447</f>
        <v>0</v>
      </c>
      <c r="L1447" s="1">
        <f t="shared" ref="L1447:L1510" si="70">IF(C1447&gt;0,C1447,0)</f>
        <v>0</v>
      </c>
      <c r="M1447" s="1">
        <f t="shared" ref="M1447:M1510" si="71">IF(C1447&lt;0,C1447,0)</f>
        <v>0</v>
      </c>
    </row>
    <row r="1448" spans="11:13">
      <c r="K1448" s="1">
        <f t="shared" si="69"/>
        <v>0</v>
      </c>
      <c r="L1448" s="1">
        <f t="shared" si="70"/>
        <v>0</v>
      </c>
      <c r="M1448" s="1">
        <f t="shared" si="71"/>
        <v>0</v>
      </c>
    </row>
    <row r="1449" spans="11:13">
      <c r="K1449" s="1">
        <f t="shared" si="69"/>
        <v>0</v>
      </c>
      <c r="L1449" s="1">
        <f t="shared" si="70"/>
        <v>0</v>
      </c>
      <c r="M1449" s="1">
        <f t="shared" si="71"/>
        <v>0</v>
      </c>
    </row>
    <row r="1450" spans="11:13">
      <c r="K1450" s="1">
        <f t="shared" si="69"/>
        <v>0</v>
      </c>
      <c r="L1450" s="1">
        <f t="shared" si="70"/>
        <v>0</v>
      </c>
      <c r="M1450" s="1">
        <f t="shared" si="71"/>
        <v>0</v>
      </c>
    </row>
    <row r="1451" spans="11:13">
      <c r="K1451" s="1">
        <f t="shared" si="69"/>
        <v>0</v>
      </c>
      <c r="L1451" s="1">
        <f t="shared" si="70"/>
        <v>0</v>
      </c>
      <c r="M1451" s="1">
        <f t="shared" si="71"/>
        <v>0</v>
      </c>
    </row>
    <row r="1452" spans="11:13">
      <c r="K1452" s="1">
        <f t="shared" si="69"/>
        <v>0</v>
      </c>
      <c r="L1452" s="1">
        <f t="shared" si="70"/>
        <v>0</v>
      </c>
      <c r="M1452" s="1">
        <f t="shared" si="71"/>
        <v>0</v>
      </c>
    </row>
    <row r="1453" spans="11:13">
      <c r="K1453" s="1">
        <f t="shared" si="69"/>
        <v>0</v>
      </c>
      <c r="L1453" s="1">
        <f t="shared" si="70"/>
        <v>0</v>
      </c>
      <c r="M1453" s="1">
        <f t="shared" si="71"/>
        <v>0</v>
      </c>
    </row>
    <row r="1454" spans="11:13">
      <c r="K1454" s="1">
        <f t="shared" si="69"/>
        <v>0</v>
      </c>
      <c r="L1454" s="1">
        <f t="shared" si="70"/>
        <v>0</v>
      </c>
      <c r="M1454" s="1">
        <f t="shared" si="71"/>
        <v>0</v>
      </c>
    </row>
    <row r="1455" spans="11:13">
      <c r="K1455" s="1">
        <f t="shared" si="69"/>
        <v>0</v>
      </c>
      <c r="L1455" s="1">
        <f t="shared" si="70"/>
        <v>0</v>
      </c>
      <c r="M1455" s="1">
        <f t="shared" si="71"/>
        <v>0</v>
      </c>
    </row>
    <row r="1456" spans="11:13">
      <c r="K1456" s="1">
        <f t="shared" si="69"/>
        <v>0</v>
      </c>
      <c r="L1456" s="1">
        <f t="shared" si="70"/>
        <v>0</v>
      </c>
      <c r="M1456" s="1">
        <f t="shared" si="71"/>
        <v>0</v>
      </c>
    </row>
    <row r="1457" spans="11:13">
      <c r="K1457" s="1">
        <f t="shared" si="69"/>
        <v>0</v>
      </c>
      <c r="L1457" s="1">
        <f t="shared" si="70"/>
        <v>0</v>
      </c>
      <c r="M1457" s="1">
        <f t="shared" si="71"/>
        <v>0</v>
      </c>
    </row>
    <row r="1458" spans="11:13">
      <c r="K1458" s="1">
        <f t="shared" si="69"/>
        <v>0</v>
      </c>
      <c r="L1458" s="1">
        <f t="shared" si="70"/>
        <v>0</v>
      </c>
      <c r="M1458" s="1">
        <f t="shared" si="71"/>
        <v>0</v>
      </c>
    </row>
    <row r="1459" spans="11:13">
      <c r="K1459" s="1">
        <f t="shared" si="69"/>
        <v>0</v>
      </c>
      <c r="L1459" s="1">
        <f t="shared" si="70"/>
        <v>0</v>
      </c>
      <c r="M1459" s="1">
        <f t="shared" si="71"/>
        <v>0</v>
      </c>
    </row>
    <row r="1460" spans="11:13">
      <c r="K1460" s="1">
        <f t="shared" si="69"/>
        <v>0</v>
      </c>
      <c r="L1460" s="1">
        <f t="shared" si="70"/>
        <v>0</v>
      </c>
      <c r="M1460" s="1">
        <f t="shared" si="71"/>
        <v>0</v>
      </c>
    </row>
    <row r="1461" spans="11:13">
      <c r="K1461" s="1">
        <f t="shared" si="69"/>
        <v>0</v>
      </c>
      <c r="L1461" s="1">
        <f t="shared" si="70"/>
        <v>0</v>
      </c>
      <c r="M1461" s="1">
        <f t="shared" si="71"/>
        <v>0</v>
      </c>
    </row>
    <row r="1462" spans="11:13">
      <c r="K1462" s="1">
        <f t="shared" si="69"/>
        <v>0</v>
      </c>
      <c r="L1462" s="1">
        <f t="shared" si="70"/>
        <v>0</v>
      </c>
      <c r="M1462" s="1">
        <f t="shared" si="71"/>
        <v>0</v>
      </c>
    </row>
    <row r="1463" spans="11:13">
      <c r="K1463" s="1">
        <f t="shared" si="69"/>
        <v>0</v>
      </c>
      <c r="L1463" s="1">
        <f t="shared" si="70"/>
        <v>0</v>
      </c>
      <c r="M1463" s="1">
        <f t="shared" si="71"/>
        <v>0</v>
      </c>
    </row>
    <row r="1464" spans="11:13">
      <c r="K1464" s="1">
        <f t="shared" si="69"/>
        <v>0</v>
      </c>
      <c r="L1464" s="1">
        <f t="shared" si="70"/>
        <v>0</v>
      </c>
      <c r="M1464" s="1">
        <f t="shared" si="71"/>
        <v>0</v>
      </c>
    </row>
    <row r="1465" spans="11:13">
      <c r="K1465" s="1">
        <f t="shared" si="69"/>
        <v>0</v>
      </c>
      <c r="L1465" s="1">
        <f t="shared" si="70"/>
        <v>0</v>
      </c>
      <c r="M1465" s="1">
        <f t="shared" si="71"/>
        <v>0</v>
      </c>
    </row>
    <row r="1466" spans="11:13">
      <c r="K1466" s="1">
        <f t="shared" si="69"/>
        <v>0</v>
      </c>
      <c r="L1466" s="1">
        <f t="shared" si="70"/>
        <v>0</v>
      </c>
      <c r="M1466" s="1">
        <f t="shared" si="71"/>
        <v>0</v>
      </c>
    </row>
    <row r="1467" spans="11:13">
      <c r="K1467" s="1">
        <f t="shared" si="69"/>
        <v>0</v>
      </c>
      <c r="L1467" s="1">
        <f t="shared" si="70"/>
        <v>0</v>
      </c>
      <c r="M1467" s="1">
        <f t="shared" si="71"/>
        <v>0</v>
      </c>
    </row>
    <row r="1468" spans="11:13">
      <c r="K1468" s="1">
        <f t="shared" si="69"/>
        <v>0</v>
      </c>
      <c r="L1468" s="1">
        <f t="shared" si="70"/>
        <v>0</v>
      </c>
      <c r="M1468" s="1">
        <f t="shared" si="71"/>
        <v>0</v>
      </c>
    </row>
    <row r="1469" spans="11:13">
      <c r="K1469" s="1">
        <f t="shared" si="69"/>
        <v>0</v>
      </c>
      <c r="L1469" s="1">
        <f t="shared" si="70"/>
        <v>0</v>
      </c>
      <c r="M1469" s="1">
        <f t="shared" si="71"/>
        <v>0</v>
      </c>
    </row>
    <row r="1470" spans="11:13">
      <c r="K1470" s="1">
        <f t="shared" si="69"/>
        <v>0</v>
      </c>
      <c r="L1470" s="1">
        <f t="shared" si="70"/>
        <v>0</v>
      </c>
      <c r="M1470" s="1">
        <f t="shared" si="71"/>
        <v>0</v>
      </c>
    </row>
    <row r="1471" spans="11:13">
      <c r="K1471" s="1">
        <f t="shared" si="69"/>
        <v>0</v>
      </c>
      <c r="L1471" s="1">
        <f t="shared" si="70"/>
        <v>0</v>
      </c>
      <c r="M1471" s="1">
        <f t="shared" si="71"/>
        <v>0</v>
      </c>
    </row>
    <row r="1472" spans="11:13">
      <c r="K1472" s="1">
        <f t="shared" si="69"/>
        <v>0</v>
      </c>
      <c r="L1472" s="1">
        <f t="shared" si="70"/>
        <v>0</v>
      </c>
      <c r="M1472" s="1">
        <f t="shared" si="71"/>
        <v>0</v>
      </c>
    </row>
    <row r="1473" spans="11:13">
      <c r="K1473" s="1">
        <f t="shared" si="69"/>
        <v>0</v>
      </c>
      <c r="L1473" s="1">
        <f t="shared" si="70"/>
        <v>0</v>
      </c>
      <c r="M1473" s="1">
        <f t="shared" si="71"/>
        <v>0</v>
      </c>
    </row>
    <row r="1474" spans="11:13">
      <c r="K1474" s="1">
        <f t="shared" si="69"/>
        <v>0</v>
      </c>
      <c r="L1474" s="1">
        <f t="shared" si="70"/>
        <v>0</v>
      </c>
      <c r="M1474" s="1">
        <f t="shared" si="71"/>
        <v>0</v>
      </c>
    </row>
    <row r="1475" spans="11:13">
      <c r="K1475" s="1">
        <f t="shared" si="69"/>
        <v>0</v>
      </c>
      <c r="L1475" s="1">
        <f t="shared" si="70"/>
        <v>0</v>
      </c>
      <c r="M1475" s="1">
        <f t="shared" si="71"/>
        <v>0</v>
      </c>
    </row>
    <row r="1476" spans="11:13">
      <c r="K1476" s="1">
        <f t="shared" si="69"/>
        <v>0</v>
      </c>
      <c r="L1476" s="1">
        <f t="shared" si="70"/>
        <v>0</v>
      </c>
      <c r="M1476" s="1">
        <f t="shared" si="71"/>
        <v>0</v>
      </c>
    </row>
    <row r="1477" spans="11:13">
      <c r="K1477" s="1">
        <f t="shared" si="69"/>
        <v>0</v>
      </c>
      <c r="L1477" s="1">
        <f t="shared" si="70"/>
        <v>0</v>
      </c>
      <c r="M1477" s="1">
        <f t="shared" si="71"/>
        <v>0</v>
      </c>
    </row>
    <row r="1478" spans="11:13">
      <c r="K1478" s="1">
        <f t="shared" si="69"/>
        <v>0</v>
      </c>
      <c r="L1478" s="1">
        <f t="shared" si="70"/>
        <v>0</v>
      </c>
      <c r="M1478" s="1">
        <f t="shared" si="71"/>
        <v>0</v>
      </c>
    </row>
    <row r="1479" spans="11:13">
      <c r="K1479" s="1">
        <f t="shared" si="69"/>
        <v>0</v>
      </c>
      <c r="L1479" s="1">
        <f t="shared" si="70"/>
        <v>0</v>
      </c>
      <c r="M1479" s="1">
        <f t="shared" si="71"/>
        <v>0</v>
      </c>
    </row>
    <row r="1480" spans="11:13">
      <c r="K1480" s="1">
        <f t="shared" si="69"/>
        <v>0</v>
      </c>
      <c r="L1480" s="1">
        <f t="shared" si="70"/>
        <v>0</v>
      </c>
      <c r="M1480" s="1">
        <f t="shared" si="71"/>
        <v>0</v>
      </c>
    </row>
    <row r="1481" spans="11:13">
      <c r="K1481" s="1">
        <f t="shared" si="69"/>
        <v>0</v>
      </c>
      <c r="L1481" s="1">
        <f t="shared" si="70"/>
        <v>0</v>
      </c>
      <c r="M1481" s="1">
        <f t="shared" si="71"/>
        <v>0</v>
      </c>
    </row>
    <row r="1482" spans="11:13">
      <c r="K1482" s="1">
        <f t="shared" si="69"/>
        <v>0</v>
      </c>
      <c r="L1482" s="1">
        <f t="shared" si="70"/>
        <v>0</v>
      </c>
      <c r="M1482" s="1">
        <f t="shared" si="71"/>
        <v>0</v>
      </c>
    </row>
    <row r="1483" spans="11:13">
      <c r="K1483" s="1">
        <f t="shared" si="69"/>
        <v>0</v>
      </c>
      <c r="L1483" s="1">
        <f t="shared" si="70"/>
        <v>0</v>
      </c>
      <c r="M1483" s="1">
        <f t="shared" si="71"/>
        <v>0</v>
      </c>
    </row>
    <row r="1484" spans="11:13">
      <c r="K1484" s="1">
        <f t="shared" si="69"/>
        <v>0</v>
      </c>
      <c r="L1484" s="1">
        <f t="shared" si="70"/>
        <v>0</v>
      </c>
      <c r="M1484" s="1">
        <f t="shared" si="71"/>
        <v>0</v>
      </c>
    </row>
    <row r="1485" spans="11:13">
      <c r="K1485" s="1">
        <f t="shared" si="69"/>
        <v>0</v>
      </c>
      <c r="L1485" s="1">
        <f t="shared" si="70"/>
        <v>0</v>
      </c>
      <c r="M1485" s="1">
        <f t="shared" si="71"/>
        <v>0</v>
      </c>
    </row>
    <row r="1486" spans="11:13">
      <c r="K1486" s="1">
        <f t="shared" si="69"/>
        <v>0</v>
      </c>
      <c r="L1486" s="1">
        <f t="shared" si="70"/>
        <v>0</v>
      </c>
      <c r="M1486" s="1">
        <f t="shared" si="71"/>
        <v>0</v>
      </c>
    </row>
    <row r="1487" spans="11:13">
      <c r="K1487" s="1">
        <f t="shared" si="69"/>
        <v>0</v>
      </c>
      <c r="L1487" s="1">
        <f t="shared" si="70"/>
        <v>0</v>
      </c>
      <c r="M1487" s="1">
        <f t="shared" si="71"/>
        <v>0</v>
      </c>
    </row>
    <row r="1488" spans="11:13">
      <c r="K1488" s="1">
        <f t="shared" si="69"/>
        <v>0</v>
      </c>
      <c r="L1488" s="1">
        <f t="shared" si="70"/>
        <v>0</v>
      </c>
      <c r="M1488" s="1">
        <f t="shared" si="71"/>
        <v>0</v>
      </c>
    </row>
    <row r="1489" spans="11:13">
      <c r="K1489" s="1">
        <f t="shared" si="69"/>
        <v>0</v>
      </c>
      <c r="L1489" s="1">
        <f t="shared" si="70"/>
        <v>0</v>
      </c>
      <c r="M1489" s="1">
        <f t="shared" si="71"/>
        <v>0</v>
      </c>
    </row>
    <row r="1490" spans="11:13">
      <c r="K1490" s="1">
        <f t="shared" si="69"/>
        <v>0</v>
      </c>
      <c r="L1490" s="1">
        <f t="shared" si="70"/>
        <v>0</v>
      </c>
      <c r="M1490" s="1">
        <f t="shared" si="71"/>
        <v>0</v>
      </c>
    </row>
    <row r="1491" spans="11:13">
      <c r="K1491" s="1">
        <f t="shared" si="69"/>
        <v>0</v>
      </c>
      <c r="L1491" s="1">
        <f t="shared" si="70"/>
        <v>0</v>
      </c>
      <c r="M1491" s="1">
        <f t="shared" si="71"/>
        <v>0</v>
      </c>
    </row>
    <row r="1492" spans="11:13">
      <c r="K1492" s="1">
        <f t="shared" si="69"/>
        <v>0</v>
      </c>
      <c r="L1492" s="1">
        <f t="shared" si="70"/>
        <v>0</v>
      </c>
      <c r="M1492" s="1">
        <f t="shared" si="71"/>
        <v>0</v>
      </c>
    </row>
    <row r="1493" spans="11:13">
      <c r="K1493" s="1">
        <f t="shared" si="69"/>
        <v>0</v>
      </c>
      <c r="L1493" s="1">
        <f t="shared" si="70"/>
        <v>0</v>
      </c>
      <c r="M1493" s="1">
        <f t="shared" si="71"/>
        <v>0</v>
      </c>
    </row>
    <row r="1494" spans="11:13">
      <c r="K1494" s="1">
        <f t="shared" si="69"/>
        <v>0</v>
      </c>
      <c r="L1494" s="1">
        <f t="shared" si="70"/>
        <v>0</v>
      </c>
      <c r="M1494" s="1">
        <f t="shared" si="71"/>
        <v>0</v>
      </c>
    </row>
    <row r="1495" spans="11:13">
      <c r="K1495" s="1">
        <f t="shared" si="69"/>
        <v>0</v>
      </c>
      <c r="L1495" s="1">
        <f t="shared" si="70"/>
        <v>0</v>
      </c>
      <c r="M1495" s="1">
        <f t="shared" si="71"/>
        <v>0</v>
      </c>
    </row>
    <row r="1496" spans="11:13">
      <c r="K1496" s="1">
        <f t="shared" si="69"/>
        <v>0</v>
      </c>
      <c r="L1496" s="1">
        <f t="shared" si="70"/>
        <v>0</v>
      </c>
      <c r="M1496" s="1">
        <f t="shared" si="71"/>
        <v>0</v>
      </c>
    </row>
    <row r="1497" spans="11:13">
      <c r="K1497" s="1">
        <f t="shared" si="69"/>
        <v>0</v>
      </c>
      <c r="L1497" s="1">
        <f t="shared" si="70"/>
        <v>0</v>
      </c>
      <c r="M1497" s="1">
        <f t="shared" si="71"/>
        <v>0</v>
      </c>
    </row>
    <row r="1498" spans="11:13">
      <c r="K1498" s="1">
        <f t="shared" si="69"/>
        <v>0</v>
      </c>
      <c r="L1498" s="1">
        <f t="shared" si="70"/>
        <v>0</v>
      </c>
      <c r="M1498" s="1">
        <f t="shared" si="71"/>
        <v>0</v>
      </c>
    </row>
    <row r="1499" spans="11:13">
      <c r="K1499" s="1">
        <f t="shared" si="69"/>
        <v>0</v>
      </c>
      <c r="L1499" s="1">
        <f t="shared" si="70"/>
        <v>0</v>
      </c>
      <c r="M1499" s="1">
        <f t="shared" si="71"/>
        <v>0</v>
      </c>
    </row>
    <row r="1500" spans="11:13">
      <c r="K1500" s="1">
        <f t="shared" si="69"/>
        <v>0</v>
      </c>
      <c r="L1500" s="1">
        <f t="shared" si="70"/>
        <v>0</v>
      </c>
      <c r="M1500" s="1">
        <f t="shared" si="71"/>
        <v>0</v>
      </c>
    </row>
    <row r="1501" spans="11:13">
      <c r="K1501" s="1">
        <f t="shared" si="69"/>
        <v>0</v>
      </c>
      <c r="L1501" s="1">
        <f t="shared" si="70"/>
        <v>0</v>
      </c>
      <c r="M1501" s="1">
        <f t="shared" si="71"/>
        <v>0</v>
      </c>
    </row>
    <row r="1502" spans="11:13">
      <c r="K1502" s="1">
        <f t="shared" si="69"/>
        <v>0</v>
      </c>
      <c r="L1502" s="1">
        <f t="shared" si="70"/>
        <v>0</v>
      </c>
      <c r="M1502" s="1">
        <f t="shared" si="71"/>
        <v>0</v>
      </c>
    </row>
    <row r="1503" spans="11:13">
      <c r="K1503" s="1">
        <f t="shared" si="69"/>
        <v>0</v>
      </c>
      <c r="L1503" s="1">
        <f t="shared" si="70"/>
        <v>0</v>
      </c>
      <c r="M1503" s="1">
        <f t="shared" si="71"/>
        <v>0</v>
      </c>
    </row>
    <row r="1504" spans="11:13">
      <c r="K1504" s="1">
        <f t="shared" si="69"/>
        <v>0</v>
      </c>
      <c r="L1504" s="1">
        <f t="shared" si="70"/>
        <v>0</v>
      </c>
      <c r="M1504" s="1">
        <f t="shared" si="71"/>
        <v>0</v>
      </c>
    </row>
    <row r="1505" spans="11:13">
      <c r="K1505" s="1">
        <f t="shared" si="69"/>
        <v>0</v>
      </c>
      <c r="L1505" s="1">
        <f t="shared" si="70"/>
        <v>0</v>
      </c>
      <c r="M1505" s="1">
        <f t="shared" si="71"/>
        <v>0</v>
      </c>
    </row>
    <row r="1506" spans="11:13">
      <c r="K1506" s="1">
        <f t="shared" si="69"/>
        <v>0</v>
      </c>
      <c r="L1506" s="1">
        <f t="shared" si="70"/>
        <v>0</v>
      </c>
      <c r="M1506" s="1">
        <f t="shared" si="71"/>
        <v>0</v>
      </c>
    </row>
    <row r="1507" spans="11:13">
      <c r="K1507" s="1">
        <f t="shared" si="69"/>
        <v>0</v>
      </c>
      <c r="L1507" s="1">
        <f t="shared" si="70"/>
        <v>0</v>
      </c>
      <c r="M1507" s="1">
        <f t="shared" si="71"/>
        <v>0</v>
      </c>
    </row>
    <row r="1508" spans="11:13">
      <c r="K1508" s="1">
        <f t="shared" si="69"/>
        <v>0</v>
      </c>
      <c r="L1508" s="1">
        <f t="shared" si="70"/>
        <v>0</v>
      </c>
      <c r="M1508" s="1">
        <f t="shared" si="71"/>
        <v>0</v>
      </c>
    </row>
    <row r="1509" spans="11:13">
      <c r="K1509" s="1">
        <f t="shared" si="69"/>
        <v>0</v>
      </c>
      <c r="L1509" s="1">
        <f t="shared" si="70"/>
        <v>0</v>
      </c>
      <c r="M1509" s="1">
        <f t="shared" si="71"/>
        <v>0</v>
      </c>
    </row>
    <row r="1510" spans="11:13">
      <c r="K1510" s="1">
        <f t="shared" si="69"/>
        <v>0</v>
      </c>
      <c r="L1510" s="1">
        <f t="shared" si="70"/>
        <v>0</v>
      </c>
      <c r="M1510" s="1">
        <f t="shared" si="71"/>
        <v>0</v>
      </c>
    </row>
    <row r="1511" spans="11:13">
      <c r="K1511" s="1">
        <f t="shared" ref="K1511:K1574" si="72">J1511-C1511</f>
        <v>0</v>
      </c>
      <c r="L1511" s="1">
        <f t="shared" ref="L1511:L1574" si="73">IF(C1511&gt;0,C1511,0)</f>
        <v>0</v>
      </c>
      <c r="M1511" s="1">
        <f t="shared" ref="M1511:M1574" si="74">IF(C1511&lt;0,C1511,0)</f>
        <v>0</v>
      </c>
    </row>
    <row r="1512" spans="11:13">
      <c r="K1512" s="1">
        <f t="shared" si="72"/>
        <v>0</v>
      </c>
      <c r="L1512" s="1">
        <f t="shared" si="73"/>
        <v>0</v>
      </c>
      <c r="M1512" s="1">
        <f t="shared" si="74"/>
        <v>0</v>
      </c>
    </row>
    <row r="1513" spans="11:13">
      <c r="K1513" s="1">
        <f t="shared" si="72"/>
        <v>0</v>
      </c>
      <c r="L1513" s="1">
        <f t="shared" si="73"/>
        <v>0</v>
      </c>
      <c r="M1513" s="1">
        <f t="shared" si="74"/>
        <v>0</v>
      </c>
    </row>
    <row r="1514" spans="11:13">
      <c r="K1514" s="1">
        <f t="shared" si="72"/>
        <v>0</v>
      </c>
      <c r="L1514" s="1">
        <f t="shared" si="73"/>
        <v>0</v>
      </c>
      <c r="M1514" s="1">
        <f t="shared" si="74"/>
        <v>0</v>
      </c>
    </row>
    <row r="1515" spans="11:13">
      <c r="K1515" s="1">
        <f t="shared" si="72"/>
        <v>0</v>
      </c>
      <c r="L1515" s="1">
        <f t="shared" si="73"/>
        <v>0</v>
      </c>
      <c r="M1515" s="1">
        <f t="shared" si="74"/>
        <v>0</v>
      </c>
    </row>
    <row r="1516" spans="11:13">
      <c r="K1516" s="1">
        <f t="shared" si="72"/>
        <v>0</v>
      </c>
      <c r="L1516" s="1">
        <f t="shared" si="73"/>
        <v>0</v>
      </c>
      <c r="M1516" s="1">
        <f t="shared" si="74"/>
        <v>0</v>
      </c>
    </row>
    <row r="1517" spans="11:13">
      <c r="K1517" s="1">
        <f t="shared" si="72"/>
        <v>0</v>
      </c>
      <c r="L1517" s="1">
        <f t="shared" si="73"/>
        <v>0</v>
      </c>
      <c r="M1517" s="1">
        <f t="shared" si="74"/>
        <v>0</v>
      </c>
    </row>
    <row r="1518" spans="11:13">
      <c r="K1518" s="1">
        <f t="shared" si="72"/>
        <v>0</v>
      </c>
      <c r="L1518" s="1">
        <f t="shared" si="73"/>
        <v>0</v>
      </c>
      <c r="M1518" s="1">
        <f t="shared" si="74"/>
        <v>0</v>
      </c>
    </row>
    <row r="1519" spans="11:13">
      <c r="K1519" s="1">
        <f t="shared" si="72"/>
        <v>0</v>
      </c>
      <c r="L1519" s="1">
        <f t="shared" si="73"/>
        <v>0</v>
      </c>
      <c r="M1519" s="1">
        <f t="shared" si="74"/>
        <v>0</v>
      </c>
    </row>
    <row r="1520" spans="11:13">
      <c r="K1520" s="1">
        <f t="shared" si="72"/>
        <v>0</v>
      </c>
      <c r="L1520" s="1">
        <f t="shared" si="73"/>
        <v>0</v>
      </c>
      <c r="M1520" s="1">
        <f t="shared" si="74"/>
        <v>0</v>
      </c>
    </row>
    <row r="1521" spans="11:13">
      <c r="K1521" s="1">
        <f t="shared" si="72"/>
        <v>0</v>
      </c>
      <c r="L1521" s="1">
        <f t="shared" si="73"/>
        <v>0</v>
      </c>
      <c r="M1521" s="1">
        <f t="shared" si="74"/>
        <v>0</v>
      </c>
    </row>
    <row r="1522" spans="11:13">
      <c r="K1522" s="1">
        <f t="shared" si="72"/>
        <v>0</v>
      </c>
      <c r="L1522" s="1">
        <f t="shared" si="73"/>
        <v>0</v>
      </c>
      <c r="M1522" s="1">
        <f t="shared" si="74"/>
        <v>0</v>
      </c>
    </row>
    <row r="1523" spans="11:13">
      <c r="K1523" s="1">
        <f t="shared" si="72"/>
        <v>0</v>
      </c>
      <c r="L1523" s="1">
        <f t="shared" si="73"/>
        <v>0</v>
      </c>
      <c r="M1523" s="1">
        <f t="shared" si="74"/>
        <v>0</v>
      </c>
    </row>
    <row r="1524" spans="11:13">
      <c r="K1524" s="1">
        <f t="shared" si="72"/>
        <v>0</v>
      </c>
      <c r="L1524" s="1">
        <f t="shared" si="73"/>
        <v>0</v>
      </c>
      <c r="M1524" s="1">
        <f t="shared" si="74"/>
        <v>0</v>
      </c>
    </row>
    <row r="1525" spans="11:13">
      <c r="K1525" s="1">
        <f t="shared" si="72"/>
        <v>0</v>
      </c>
      <c r="L1525" s="1">
        <f t="shared" si="73"/>
        <v>0</v>
      </c>
      <c r="M1525" s="1">
        <f t="shared" si="74"/>
        <v>0</v>
      </c>
    </row>
    <row r="1526" spans="11:13">
      <c r="K1526" s="1">
        <f t="shared" si="72"/>
        <v>0</v>
      </c>
      <c r="L1526" s="1">
        <f t="shared" si="73"/>
        <v>0</v>
      </c>
      <c r="M1526" s="1">
        <f t="shared" si="74"/>
        <v>0</v>
      </c>
    </row>
    <row r="1527" spans="11:13">
      <c r="K1527" s="1">
        <f t="shared" si="72"/>
        <v>0</v>
      </c>
      <c r="L1527" s="1">
        <f t="shared" si="73"/>
        <v>0</v>
      </c>
      <c r="M1527" s="1">
        <f t="shared" si="74"/>
        <v>0</v>
      </c>
    </row>
    <row r="1528" spans="11:13">
      <c r="K1528" s="1">
        <f t="shared" si="72"/>
        <v>0</v>
      </c>
      <c r="L1528" s="1">
        <f t="shared" si="73"/>
        <v>0</v>
      </c>
      <c r="M1528" s="1">
        <f t="shared" si="74"/>
        <v>0</v>
      </c>
    </row>
    <row r="1529" spans="11:13">
      <c r="K1529" s="1">
        <f t="shared" si="72"/>
        <v>0</v>
      </c>
      <c r="L1529" s="1">
        <f t="shared" si="73"/>
        <v>0</v>
      </c>
      <c r="M1529" s="1">
        <f t="shared" si="74"/>
        <v>0</v>
      </c>
    </row>
    <row r="1530" spans="11:13">
      <c r="K1530" s="1">
        <f t="shared" si="72"/>
        <v>0</v>
      </c>
      <c r="L1530" s="1">
        <f t="shared" si="73"/>
        <v>0</v>
      </c>
      <c r="M1530" s="1">
        <f t="shared" si="74"/>
        <v>0</v>
      </c>
    </row>
    <row r="1531" spans="11:13">
      <c r="K1531" s="1">
        <f t="shared" si="72"/>
        <v>0</v>
      </c>
      <c r="L1531" s="1">
        <f t="shared" si="73"/>
        <v>0</v>
      </c>
      <c r="M1531" s="1">
        <f t="shared" si="74"/>
        <v>0</v>
      </c>
    </row>
    <row r="1532" spans="11:13">
      <c r="K1532" s="1">
        <f t="shared" si="72"/>
        <v>0</v>
      </c>
      <c r="L1532" s="1">
        <f t="shared" si="73"/>
        <v>0</v>
      </c>
      <c r="M1532" s="1">
        <f t="shared" si="74"/>
        <v>0</v>
      </c>
    </row>
    <row r="1533" spans="11:13">
      <c r="K1533" s="1">
        <f t="shared" si="72"/>
        <v>0</v>
      </c>
      <c r="L1533" s="1">
        <f t="shared" si="73"/>
        <v>0</v>
      </c>
      <c r="M1533" s="1">
        <f t="shared" si="74"/>
        <v>0</v>
      </c>
    </row>
    <row r="1534" spans="11:13">
      <c r="K1534" s="1">
        <f t="shared" si="72"/>
        <v>0</v>
      </c>
      <c r="L1534" s="1">
        <f t="shared" si="73"/>
        <v>0</v>
      </c>
      <c r="M1534" s="1">
        <f t="shared" si="74"/>
        <v>0</v>
      </c>
    </row>
    <row r="1535" spans="11:13">
      <c r="K1535" s="1">
        <f t="shared" si="72"/>
        <v>0</v>
      </c>
      <c r="L1535" s="1">
        <f t="shared" si="73"/>
        <v>0</v>
      </c>
      <c r="M1535" s="1">
        <f t="shared" si="74"/>
        <v>0</v>
      </c>
    </row>
    <row r="1536" spans="11:13">
      <c r="K1536" s="1">
        <f t="shared" si="72"/>
        <v>0</v>
      </c>
      <c r="L1536" s="1">
        <f t="shared" si="73"/>
        <v>0</v>
      </c>
      <c r="M1536" s="1">
        <f t="shared" si="74"/>
        <v>0</v>
      </c>
    </row>
    <row r="1537" spans="11:13">
      <c r="K1537" s="1">
        <f t="shared" si="72"/>
        <v>0</v>
      </c>
      <c r="L1537" s="1">
        <f t="shared" si="73"/>
        <v>0</v>
      </c>
      <c r="M1537" s="1">
        <f t="shared" si="74"/>
        <v>0</v>
      </c>
    </row>
    <row r="1538" spans="11:13">
      <c r="K1538" s="1">
        <f t="shared" si="72"/>
        <v>0</v>
      </c>
      <c r="L1538" s="1">
        <f t="shared" si="73"/>
        <v>0</v>
      </c>
      <c r="M1538" s="1">
        <f t="shared" si="74"/>
        <v>0</v>
      </c>
    </row>
    <row r="1539" spans="11:13">
      <c r="K1539" s="1">
        <f t="shared" si="72"/>
        <v>0</v>
      </c>
      <c r="L1539" s="1">
        <f t="shared" si="73"/>
        <v>0</v>
      </c>
      <c r="M1539" s="1">
        <f t="shared" si="74"/>
        <v>0</v>
      </c>
    </row>
    <row r="1540" spans="11:13">
      <c r="K1540" s="1">
        <f t="shared" si="72"/>
        <v>0</v>
      </c>
      <c r="L1540" s="1">
        <f t="shared" si="73"/>
        <v>0</v>
      </c>
      <c r="M1540" s="1">
        <f t="shared" si="74"/>
        <v>0</v>
      </c>
    </row>
    <row r="1541" spans="11:13">
      <c r="K1541" s="1">
        <f t="shared" si="72"/>
        <v>0</v>
      </c>
      <c r="L1541" s="1">
        <f t="shared" si="73"/>
        <v>0</v>
      </c>
      <c r="M1541" s="1">
        <f t="shared" si="74"/>
        <v>0</v>
      </c>
    </row>
    <row r="1542" spans="11:13">
      <c r="K1542" s="1">
        <f t="shared" si="72"/>
        <v>0</v>
      </c>
      <c r="L1542" s="1">
        <f t="shared" si="73"/>
        <v>0</v>
      </c>
      <c r="M1542" s="1">
        <f t="shared" si="74"/>
        <v>0</v>
      </c>
    </row>
    <row r="1543" spans="11:13">
      <c r="K1543" s="1">
        <f t="shared" si="72"/>
        <v>0</v>
      </c>
      <c r="L1543" s="1">
        <f t="shared" si="73"/>
        <v>0</v>
      </c>
      <c r="M1543" s="1">
        <f t="shared" si="74"/>
        <v>0</v>
      </c>
    </row>
    <row r="1544" spans="11:13">
      <c r="K1544" s="1">
        <f t="shared" si="72"/>
        <v>0</v>
      </c>
      <c r="L1544" s="1">
        <f t="shared" si="73"/>
        <v>0</v>
      </c>
      <c r="M1544" s="1">
        <f t="shared" si="74"/>
        <v>0</v>
      </c>
    </row>
    <row r="1545" spans="11:13">
      <c r="K1545" s="1">
        <f t="shared" si="72"/>
        <v>0</v>
      </c>
      <c r="L1545" s="1">
        <f t="shared" si="73"/>
        <v>0</v>
      </c>
      <c r="M1545" s="1">
        <f t="shared" si="74"/>
        <v>0</v>
      </c>
    </row>
    <row r="1546" spans="11:13">
      <c r="K1546" s="1">
        <f t="shared" si="72"/>
        <v>0</v>
      </c>
      <c r="L1546" s="1">
        <f t="shared" si="73"/>
        <v>0</v>
      </c>
      <c r="M1546" s="1">
        <f t="shared" si="74"/>
        <v>0</v>
      </c>
    </row>
    <row r="1547" spans="11:13">
      <c r="K1547" s="1">
        <f t="shared" si="72"/>
        <v>0</v>
      </c>
      <c r="L1547" s="1">
        <f t="shared" si="73"/>
        <v>0</v>
      </c>
      <c r="M1547" s="1">
        <f t="shared" si="74"/>
        <v>0</v>
      </c>
    </row>
    <row r="1548" spans="11:13">
      <c r="K1548" s="1">
        <f t="shared" si="72"/>
        <v>0</v>
      </c>
      <c r="L1548" s="1">
        <f t="shared" si="73"/>
        <v>0</v>
      </c>
      <c r="M1548" s="1">
        <f t="shared" si="74"/>
        <v>0</v>
      </c>
    </row>
    <row r="1549" spans="11:13">
      <c r="K1549" s="1">
        <f t="shared" si="72"/>
        <v>0</v>
      </c>
      <c r="L1549" s="1">
        <f t="shared" si="73"/>
        <v>0</v>
      </c>
      <c r="M1549" s="1">
        <f t="shared" si="74"/>
        <v>0</v>
      </c>
    </row>
    <row r="1550" spans="11:13">
      <c r="K1550" s="1">
        <f t="shared" si="72"/>
        <v>0</v>
      </c>
      <c r="L1550" s="1">
        <f t="shared" si="73"/>
        <v>0</v>
      </c>
      <c r="M1550" s="1">
        <f t="shared" si="74"/>
        <v>0</v>
      </c>
    </row>
    <row r="1551" spans="11:13">
      <c r="K1551" s="1">
        <f t="shared" si="72"/>
        <v>0</v>
      </c>
      <c r="L1551" s="1">
        <f t="shared" si="73"/>
        <v>0</v>
      </c>
      <c r="M1551" s="1">
        <f t="shared" si="74"/>
        <v>0</v>
      </c>
    </row>
    <row r="1552" spans="11:13">
      <c r="K1552" s="1">
        <f t="shared" si="72"/>
        <v>0</v>
      </c>
      <c r="L1552" s="1">
        <f t="shared" si="73"/>
        <v>0</v>
      </c>
      <c r="M1552" s="1">
        <f t="shared" si="74"/>
        <v>0</v>
      </c>
    </row>
    <row r="1553" spans="11:13">
      <c r="K1553" s="1">
        <f t="shared" si="72"/>
        <v>0</v>
      </c>
      <c r="L1553" s="1">
        <f t="shared" si="73"/>
        <v>0</v>
      </c>
      <c r="M1553" s="1">
        <f t="shared" si="74"/>
        <v>0</v>
      </c>
    </row>
    <row r="1554" spans="11:13">
      <c r="K1554" s="1">
        <f t="shared" si="72"/>
        <v>0</v>
      </c>
      <c r="L1554" s="1">
        <f t="shared" si="73"/>
        <v>0</v>
      </c>
      <c r="M1554" s="1">
        <f t="shared" si="74"/>
        <v>0</v>
      </c>
    </row>
    <row r="1555" spans="11:13">
      <c r="K1555" s="1">
        <f t="shared" si="72"/>
        <v>0</v>
      </c>
      <c r="L1555" s="1">
        <f t="shared" si="73"/>
        <v>0</v>
      </c>
      <c r="M1555" s="1">
        <f t="shared" si="74"/>
        <v>0</v>
      </c>
    </row>
    <row r="1556" spans="11:13">
      <c r="K1556" s="1">
        <f t="shared" si="72"/>
        <v>0</v>
      </c>
      <c r="L1556" s="1">
        <f t="shared" si="73"/>
        <v>0</v>
      </c>
      <c r="M1556" s="1">
        <f t="shared" si="74"/>
        <v>0</v>
      </c>
    </row>
    <row r="1557" spans="11:13">
      <c r="K1557" s="1">
        <f t="shared" si="72"/>
        <v>0</v>
      </c>
      <c r="L1557" s="1">
        <f t="shared" si="73"/>
        <v>0</v>
      </c>
      <c r="M1557" s="1">
        <f t="shared" si="74"/>
        <v>0</v>
      </c>
    </row>
    <row r="1558" spans="11:13">
      <c r="K1558" s="1">
        <f t="shared" si="72"/>
        <v>0</v>
      </c>
      <c r="L1558" s="1">
        <f t="shared" si="73"/>
        <v>0</v>
      </c>
      <c r="M1558" s="1">
        <f t="shared" si="74"/>
        <v>0</v>
      </c>
    </row>
    <row r="1559" spans="11:13">
      <c r="K1559" s="1">
        <f t="shared" si="72"/>
        <v>0</v>
      </c>
      <c r="L1559" s="1">
        <f t="shared" si="73"/>
        <v>0</v>
      </c>
      <c r="M1559" s="1">
        <f t="shared" si="74"/>
        <v>0</v>
      </c>
    </row>
    <row r="1560" spans="11:13">
      <c r="K1560" s="1">
        <f t="shared" si="72"/>
        <v>0</v>
      </c>
      <c r="L1560" s="1">
        <f t="shared" si="73"/>
        <v>0</v>
      </c>
      <c r="M1560" s="1">
        <f t="shared" si="74"/>
        <v>0</v>
      </c>
    </row>
    <row r="1561" spans="11:13">
      <c r="K1561" s="1">
        <f t="shared" si="72"/>
        <v>0</v>
      </c>
      <c r="L1561" s="1">
        <f t="shared" si="73"/>
        <v>0</v>
      </c>
      <c r="M1561" s="1">
        <f t="shared" si="74"/>
        <v>0</v>
      </c>
    </row>
    <row r="1562" spans="11:13">
      <c r="K1562" s="1">
        <f t="shared" si="72"/>
        <v>0</v>
      </c>
      <c r="L1562" s="1">
        <f t="shared" si="73"/>
        <v>0</v>
      </c>
      <c r="M1562" s="1">
        <f t="shared" si="74"/>
        <v>0</v>
      </c>
    </row>
    <row r="1563" spans="11:13">
      <c r="K1563" s="1">
        <f t="shared" si="72"/>
        <v>0</v>
      </c>
      <c r="L1563" s="1">
        <f t="shared" si="73"/>
        <v>0</v>
      </c>
      <c r="M1563" s="1">
        <f t="shared" si="74"/>
        <v>0</v>
      </c>
    </row>
    <row r="1564" spans="11:13">
      <c r="K1564" s="1">
        <f t="shared" si="72"/>
        <v>0</v>
      </c>
      <c r="L1564" s="1">
        <f t="shared" si="73"/>
        <v>0</v>
      </c>
      <c r="M1564" s="1">
        <f t="shared" si="74"/>
        <v>0</v>
      </c>
    </row>
    <row r="1565" spans="11:13">
      <c r="K1565" s="1">
        <f t="shared" si="72"/>
        <v>0</v>
      </c>
      <c r="L1565" s="1">
        <f t="shared" si="73"/>
        <v>0</v>
      </c>
      <c r="M1565" s="1">
        <f t="shared" si="74"/>
        <v>0</v>
      </c>
    </row>
    <row r="1566" spans="11:13">
      <c r="K1566" s="1">
        <f t="shared" si="72"/>
        <v>0</v>
      </c>
      <c r="L1566" s="1">
        <f t="shared" si="73"/>
        <v>0</v>
      </c>
      <c r="M1566" s="1">
        <f t="shared" si="74"/>
        <v>0</v>
      </c>
    </row>
    <row r="1567" spans="11:13">
      <c r="K1567" s="1">
        <f t="shared" si="72"/>
        <v>0</v>
      </c>
      <c r="L1567" s="1">
        <f t="shared" si="73"/>
        <v>0</v>
      </c>
      <c r="M1567" s="1">
        <f t="shared" si="74"/>
        <v>0</v>
      </c>
    </row>
    <row r="1568" spans="11:13">
      <c r="K1568" s="1">
        <f t="shared" si="72"/>
        <v>0</v>
      </c>
      <c r="L1568" s="1">
        <f t="shared" si="73"/>
        <v>0</v>
      </c>
      <c r="M1568" s="1">
        <f t="shared" si="74"/>
        <v>0</v>
      </c>
    </row>
    <row r="1569" spans="11:13">
      <c r="K1569" s="1">
        <f t="shared" si="72"/>
        <v>0</v>
      </c>
      <c r="L1569" s="1">
        <f t="shared" si="73"/>
        <v>0</v>
      </c>
      <c r="M1569" s="1">
        <f t="shared" si="74"/>
        <v>0</v>
      </c>
    </row>
    <row r="1570" spans="11:13">
      <c r="K1570" s="1">
        <f t="shared" si="72"/>
        <v>0</v>
      </c>
      <c r="L1570" s="1">
        <f t="shared" si="73"/>
        <v>0</v>
      </c>
      <c r="M1570" s="1">
        <f t="shared" si="74"/>
        <v>0</v>
      </c>
    </row>
    <row r="1571" spans="11:13">
      <c r="K1571" s="1">
        <f t="shared" si="72"/>
        <v>0</v>
      </c>
      <c r="L1571" s="1">
        <f t="shared" si="73"/>
        <v>0</v>
      </c>
      <c r="M1571" s="1">
        <f t="shared" si="74"/>
        <v>0</v>
      </c>
    </row>
    <row r="1572" spans="11:13">
      <c r="K1572" s="1">
        <f t="shared" si="72"/>
        <v>0</v>
      </c>
      <c r="L1572" s="1">
        <f t="shared" si="73"/>
        <v>0</v>
      </c>
      <c r="M1572" s="1">
        <f t="shared" si="74"/>
        <v>0</v>
      </c>
    </row>
    <row r="1573" spans="11:13">
      <c r="K1573" s="1">
        <f t="shared" si="72"/>
        <v>0</v>
      </c>
      <c r="L1573" s="1">
        <f t="shared" si="73"/>
        <v>0</v>
      </c>
      <c r="M1573" s="1">
        <f t="shared" si="74"/>
        <v>0</v>
      </c>
    </row>
    <row r="1574" spans="11:13">
      <c r="K1574" s="1">
        <f t="shared" si="72"/>
        <v>0</v>
      </c>
      <c r="L1574" s="1">
        <f t="shared" si="73"/>
        <v>0</v>
      </c>
      <c r="M1574" s="1">
        <f t="shared" si="74"/>
        <v>0</v>
      </c>
    </row>
    <row r="1575" spans="11:13">
      <c r="K1575" s="1">
        <f t="shared" ref="K1575:K1638" si="75">J1575-C1575</f>
        <v>0</v>
      </c>
      <c r="L1575" s="1">
        <f t="shared" ref="L1575:L1638" si="76">IF(C1575&gt;0,C1575,0)</f>
        <v>0</v>
      </c>
      <c r="M1575" s="1">
        <f t="shared" ref="M1575:M1638" si="77">IF(C1575&lt;0,C1575,0)</f>
        <v>0</v>
      </c>
    </row>
    <row r="1576" spans="11:13">
      <c r="K1576" s="1">
        <f t="shared" si="75"/>
        <v>0</v>
      </c>
      <c r="L1576" s="1">
        <f t="shared" si="76"/>
        <v>0</v>
      </c>
      <c r="M1576" s="1">
        <f t="shared" si="77"/>
        <v>0</v>
      </c>
    </row>
    <row r="1577" spans="11:13">
      <c r="K1577" s="1">
        <f t="shared" si="75"/>
        <v>0</v>
      </c>
      <c r="L1577" s="1">
        <f t="shared" si="76"/>
        <v>0</v>
      </c>
      <c r="M1577" s="1">
        <f t="shared" si="77"/>
        <v>0</v>
      </c>
    </row>
    <row r="1578" spans="11:13">
      <c r="K1578" s="1">
        <f t="shared" si="75"/>
        <v>0</v>
      </c>
      <c r="L1578" s="1">
        <f t="shared" si="76"/>
        <v>0</v>
      </c>
      <c r="M1578" s="1">
        <f t="shared" si="77"/>
        <v>0</v>
      </c>
    </row>
    <row r="1579" spans="11:13">
      <c r="K1579" s="1">
        <f t="shared" si="75"/>
        <v>0</v>
      </c>
      <c r="L1579" s="1">
        <f t="shared" si="76"/>
        <v>0</v>
      </c>
      <c r="M1579" s="1">
        <f t="shared" si="77"/>
        <v>0</v>
      </c>
    </row>
    <row r="1580" spans="11:13">
      <c r="K1580" s="1">
        <f t="shared" si="75"/>
        <v>0</v>
      </c>
      <c r="L1580" s="1">
        <f t="shared" si="76"/>
        <v>0</v>
      </c>
      <c r="M1580" s="1">
        <f t="shared" si="77"/>
        <v>0</v>
      </c>
    </row>
    <row r="1581" spans="11:13">
      <c r="K1581" s="1">
        <f t="shared" si="75"/>
        <v>0</v>
      </c>
      <c r="L1581" s="1">
        <f t="shared" si="76"/>
        <v>0</v>
      </c>
      <c r="M1581" s="1">
        <f t="shared" si="77"/>
        <v>0</v>
      </c>
    </row>
    <row r="1582" spans="11:13">
      <c r="K1582" s="1">
        <f t="shared" si="75"/>
        <v>0</v>
      </c>
      <c r="L1582" s="1">
        <f t="shared" si="76"/>
        <v>0</v>
      </c>
      <c r="M1582" s="1">
        <f t="shared" si="77"/>
        <v>0</v>
      </c>
    </row>
    <row r="1583" spans="11:13">
      <c r="K1583" s="1">
        <f t="shared" si="75"/>
        <v>0</v>
      </c>
      <c r="L1583" s="1">
        <f t="shared" si="76"/>
        <v>0</v>
      </c>
      <c r="M1583" s="1">
        <f t="shared" si="77"/>
        <v>0</v>
      </c>
    </row>
    <row r="1584" spans="11:13">
      <c r="K1584" s="1">
        <f t="shared" si="75"/>
        <v>0</v>
      </c>
      <c r="L1584" s="1">
        <f t="shared" si="76"/>
        <v>0</v>
      </c>
      <c r="M1584" s="1">
        <f t="shared" si="77"/>
        <v>0</v>
      </c>
    </row>
    <row r="1585" spans="11:13">
      <c r="K1585" s="1">
        <f t="shared" si="75"/>
        <v>0</v>
      </c>
      <c r="L1585" s="1">
        <f t="shared" si="76"/>
        <v>0</v>
      </c>
      <c r="M1585" s="1">
        <f t="shared" si="77"/>
        <v>0</v>
      </c>
    </row>
    <row r="1586" spans="11:13">
      <c r="K1586" s="1">
        <f t="shared" si="75"/>
        <v>0</v>
      </c>
      <c r="L1586" s="1">
        <f t="shared" si="76"/>
        <v>0</v>
      </c>
      <c r="M1586" s="1">
        <f t="shared" si="77"/>
        <v>0</v>
      </c>
    </row>
    <row r="1587" spans="11:13">
      <c r="K1587" s="1">
        <f t="shared" si="75"/>
        <v>0</v>
      </c>
      <c r="L1587" s="1">
        <f t="shared" si="76"/>
        <v>0</v>
      </c>
      <c r="M1587" s="1">
        <f t="shared" si="77"/>
        <v>0</v>
      </c>
    </row>
    <row r="1588" spans="11:13">
      <c r="K1588" s="1">
        <f t="shared" si="75"/>
        <v>0</v>
      </c>
      <c r="L1588" s="1">
        <f t="shared" si="76"/>
        <v>0</v>
      </c>
      <c r="M1588" s="1">
        <f t="shared" si="77"/>
        <v>0</v>
      </c>
    </row>
    <row r="1589" spans="11:13">
      <c r="K1589" s="1">
        <f t="shared" si="75"/>
        <v>0</v>
      </c>
      <c r="L1589" s="1">
        <f t="shared" si="76"/>
        <v>0</v>
      </c>
      <c r="M1589" s="1">
        <f t="shared" si="77"/>
        <v>0</v>
      </c>
    </row>
    <row r="1590" spans="11:13">
      <c r="K1590" s="1">
        <f t="shared" si="75"/>
        <v>0</v>
      </c>
      <c r="L1590" s="1">
        <f t="shared" si="76"/>
        <v>0</v>
      </c>
      <c r="M1590" s="1">
        <f t="shared" si="77"/>
        <v>0</v>
      </c>
    </row>
    <row r="1591" spans="11:13">
      <c r="K1591" s="1">
        <f t="shared" si="75"/>
        <v>0</v>
      </c>
      <c r="L1591" s="1">
        <f t="shared" si="76"/>
        <v>0</v>
      </c>
      <c r="M1591" s="1">
        <f t="shared" si="77"/>
        <v>0</v>
      </c>
    </row>
    <row r="1592" spans="11:13">
      <c r="K1592" s="1">
        <f t="shared" si="75"/>
        <v>0</v>
      </c>
      <c r="L1592" s="1">
        <f t="shared" si="76"/>
        <v>0</v>
      </c>
      <c r="M1592" s="1">
        <f t="shared" si="77"/>
        <v>0</v>
      </c>
    </row>
    <row r="1593" spans="11:13">
      <c r="K1593" s="1">
        <f t="shared" si="75"/>
        <v>0</v>
      </c>
      <c r="L1593" s="1">
        <f t="shared" si="76"/>
        <v>0</v>
      </c>
      <c r="M1593" s="1">
        <f t="shared" si="77"/>
        <v>0</v>
      </c>
    </row>
    <row r="1594" spans="11:13">
      <c r="K1594" s="1">
        <f t="shared" si="75"/>
        <v>0</v>
      </c>
      <c r="L1594" s="1">
        <f t="shared" si="76"/>
        <v>0</v>
      </c>
      <c r="M1594" s="1">
        <f t="shared" si="77"/>
        <v>0</v>
      </c>
    </row>
    <row r="1595" spans="11:13">
      <c r="K1595" s="1">
        <f t="shared" si="75"/>
        <v>0</v>
      </c>
      <c r="L1595" s="1">
        <f t="shared" si="76"/>
        <v>0</v>
      </c>
      <c r="M1595" s="1">
        <f t="shared" si="77"/>
        <v>0</v>
      </c>
    </row>
    <row r="1596" spans="11:13">
      <c r="K1596" s="1">
        <f t="shared" si="75"/>
        <v>0</v>
      </c>
      <c r="L1596" s="1">
        <f t="shared" si="76"/>
        <v>0</v>
      </c>
      <c r="M1596" s="1">
        <f t="shared" si="77"/>
        <v>0</v>
      </c>
    </row>
    <row r="1597" spans="11:13">
      <c r="K1597" s="1">
        <f t="shared" si="75"/>
        <v>0</v>
      </c>
      <c r="L1597" s="1">
        <f t="shared" si="76"/>
        <v>0</v>
      </c>
      <c r="M1597" s="1">
        <f t="shared" si="77"/>
        <v>0</v>
      </c>
    </row>
    <row r="1598" spans="11:13">
      <c r="K1598" s="1">
        <f t="shared" si="75"/>
        <v>0</v>
      </c>
      <c r="L1598" s="1">
        <f t="shared" si="76"/>
        <v>0</v>
      </c>
      <c r="M1598" s="1">
        <f t="shared" si="77"/>
        <v>0</v>
      </c>
    </row>
    <row r="1599" spans="11:13">
      <c r="K1599" s="1">
        <f t="shared" si="75"/>
        <v>0</v>
      </c>
      <c r="L1599" s="1">
        <f t="shared" si="76"/>
        <v>0</v>
      </c>
      <c r="M1599" s="1">
        <f t="shared" si="77"/>
        <v>0</v>
      </c>
    </row>
    <row r="1600" spans="11:13">
      <c r="K1600" s="1">
        <f t="shared" si="75"/>
        <v>0</v>
      </c>
      <c r="L1600" s="1">
        <f t="shared" si="76"/>
        <v>0</v>
      </c>
      <c r="M1600" s="1">
        <f t="shared" si="77"/>
        <v>0</v>
      </c>
    </row>
    <row r="1601" spans="11:13">
      <c r="K1601" s="1">
        <f t="shared" si="75"/>
        <v>0</v>
      </c>
      <c r="L1601" s="1">
        <f t="shared" si="76"/>
        <v>0</v>
      </c>
      <c r="M1601" s="1">
        <f t="shared" si="77"/>
        <v>0</v>
      </c>
    </row>
    <row r="1602" spans="11:13">
      <c r="K1602" s="1">
        <f t="shared" si="75"/>
        <v>0</v>
      </c>
      <c r="L1602" s="1">
        <f t="shared" si="76"/>
        <v>0</v>
      </c>
      <c r="M1602" s="1">
        <f t="shared" si="77"/>
        <v>0</v>
      </c>
    </row>
    <row r="1603" spans="11:13">
      <c r="K1603" s="1">
        <f t="shared" si="75"/>
        <v>0</v>
      </c>
      <c r="L1603" s="1">
        <f t="shared" si="76"/>
        <v>0</v>
      </c>
      <c r="M1603" s="1">
        <f t="shared" si="77"/>
        <v>0</v>
      </c>
    </row>
    <row r="1604" spans="11:13">
      <c r="K1604" s="1">
        <f t="shared" si="75"/>
        <v>0</v>
      </c>
      <c r="L1604" s="1">
        <f t="shared" si="76"/>
        <v>0</v>
      </c>
      <c r="M1604" s="1">
        <f t="shared" si="77"/>
        <v>0</v>
      </c>
    </row>
    <row r="1605" spans="11:13">
      <c r="K1605" s="1">
        <f t="shared" si="75"/>
        <v>0</v>
      </c>
      <c r="L1605" s="1">
        <f t="shared" si="76"/>
        <v>0</v>
      </c>
      <c r="M1605" s="1">
        <f t="shared" si="77"/>
        <v>0</v>
      </c>
    </row>
    <row r="1606" spans="11:13">
      <c r="K1606" s="1">
        <f t="shared" si="75"/>
        <v>0</v>
      </c>
      <c r="L1606" s="1">
        <f t="shared" si="76"/>
        <v>0</v>
      </c>
      <c r="M1606" s="1">
        <f t="shared" si="77"/>
        <v>0</v>
      </c>
    </row>
    <row r="1607" spans="11:13">
      <c r="K1607" s="1">
        <f t="shared" si="75"/>
        <v>0</v>
      </c>
      <c r="L1607" s="1">
        <f t="shared" si="76"/>
        <v>0</v>
      </c>
      <c r="M1607" s="1">
        <f t="shared" si="77"/>
        <v>0</v>
      </c>
    </row>
    <row r="1608" spans="11:13">
      <c r="K1608" s="1">
        <f t="shared" si="75"/>
        <v>0</v>
      </c>
      <c r="L1608" s="1">
        <f t="shared" si="76"/>
        <v>0</v>
      </c>
      <c r="M1608" s="1">
        <f t="shared" si="77"/>
        <v>0</v>
      </c>
    </row>
    <row r="1609" spans="11:13">
      <c r="K1609" s="1">
        <f t="shared" si="75"/>
        <v>0</v>
      </c>
      <c r="L1609" s="1">
        <f t="shared" si="76"/>
        <v>0</v>
      </c>
      <c r="M1609" s="1">
        <f t="shared" si="77"/>
        <v>0</v>
      </c>
    </row>
    <row r="1610" spans="11:13">
      <c r="K1610" s="1">
        <f t="shared" si="75"/>
        <v>0</v>
      </c>
      <c r="L1610" s="1">
        <f t="shared" si="76"/>
        <v>0</v>
      </c>
      <c r="M1610" s="1">
        <f t="shared" si="77"/>
        <v>0</v>
      </c>
    </row>
    <row r="1611" spans="11:13">
      <c r="K1611" s="1">
        <f t="shared" si="75"/>
        <v>0</v>
      </c>
      <c r="L1611" s="1">
        <f t="shared" si="76"/>
        <v>0</v>
      </c>
      <c r="M1611" s="1">
        <f t="shared" si="77"/>
        <v>0</v>
      </c>
    </row>
    <row r="1612" spans="11:13">
      <c r="K1612" s="1">
        <f t="shared" si="75"/>
        <v>0</v>
      </c>
      <c r="L1612" s="1">
        <f t="shared" si="76"/>
        <v>0</v>
      </c>
      <c r="M1612" s="1">
        <f t="shared" si="77"/>
        <v>0</v>
      </c>
    </row>
    <row r="1613" spans="11:13">
      <c r="K1613" s="1">
        <f t="shared" si="75"/>
        <v>0</v>
      </c>
      <c r="L1613" s="1">
        <f t="shared" si="76"/>
        <v>0</v>
      </c>
      <c r="M1613" s="1">
        <f t="shared" si="77"/>
        <v>0</v>
      </c>
    </row>
    <row r="1614" spans="11:13">
      <c r="K1614" s="1">
        <f t="shared" si="75"/>
        <v>0</v>
      </c>
      <c r="L1614" s="1">
        <f t="shared" si="76"/>
        <v>0</v>
      </c>
      <c r="M1614" s="1">
        <f t="shared" si="77"/>
        <v>0</v>
      </c>
    </row>
    <row r="1615" spans="11:13">
      <c r="K1615" s="1">
        <f t="shared" si="75"/>
        <v>0</v>
      </c>
      <c r="L1615" s="1">
        <f t="shared" si="76"/>
        <v>0</v>
      </c>
      <c r="M1615" s="1">
        <f t="shared" si="77"/>
        <v>0</v>
      </c>
    </row>
    <row r="1616" spans="11:13">
      <c r="K1616" s="1">
        <f t="shared" si="75"/>
        <v>0</v>
      </c>
      <c r="L1616" s="1">
        <f t="shared" si="76"/>
        <v>0</v>
      </c>
      <c r="M1616" s="1">
        <f t="shared" si="77"/>
        <v>0</v>
      </c>
    </row>
    <row r="1617" spans="11:13">
      <c r="K1617" s="1">
        <f t="shared" si="75"/>
        <v>0</v>
      </c>
      <c r="L1617" s="1">
        <f t="shared" si="76"/>
        <v>0</v>
      </c>
      <c r="M1617" s="1">
        <f t="shared" si="77"/>
        <v>0</v>
      </c>
    </row>
    <row r="1618" spans="11:13">
      <c r="K1618" s="1">
        <f t="shared" si="75"/>
        <v>0</v>
      </c>
      <c r="L1618" s="1">
        <f t="shared" si="76"/>
        <v>0</v>
      </c>
      <c r="M1618" s="1">
        <f t="shared" si="77"/>
        <v>0</v>
      </c>
    </row>
    <row r="1619" spans="11:13">
      <c r="K1619" s="1">
        <f t="shared" si="75"/>
        <v>0</v>
      </c>
      <c r="L1619" s="1">
        <f t="shared" si="76"/>
        <v>0</v>
      </c>
      <c r="M1619" s="1">
        <f t="shared" si="77"/>
        <v>0</v>
      </c>
    </row>
    <row r="1620" spans="11:13">
      <c r="K1620" s="1">
        <f t="shared" si="75"/>
        <v>0</v>
      </c>
      <c r="L1620" s="1">
        <f t="shared" si="76"/>
        <v>0</v>
      </c>
      <c r="M1620" s="1">
        <f t="shared" si="77"/>
        <v>0</v>
      </c>
    </row>
    <row r="1621" spans="11:13">
      <c r="K1621" s="1">
        <f t="shared" si="75"/>
        <v>0</v>
      </c>
      <c r="L1621" s="1">
        <f t="shared" si="76"/>
        <v>0</v>
      </c>
      <c r="M1621" s="1">
        <f t="shared" si="77"/>
        <v>0</v>
      </c>
    </row>
    <row r="1622" spans="11:13">
      <c r="K1622" s="1">
        <f t="shared" si="75"/>
        <v>0</v>
      </c>
      <c r="L1622" s="1">
        <f t="shared" si="76"/>
        <v>0</v>
      </c>
      <c r="M1622" s="1">
        <f t="shared" si="77"/>
        <v>0</v>
      </c>
    </row>
    <row r="1623" spans="11:13">
      <c r="K1623" s="1">
        <f t="shared" si="75"/>
        <v>0</v>
      </c>
      <c r="L1623" s="1">
        <f t="shared" si="76"/>
        <v>0</v>
      </c>
      <c r="M1623" s="1">
        <f t="shared" si="77"/>
        <v>0</v>
      </c>
    </row>
    <row r="1624" spans="11:13">
      <c r="K1624" s="1">
        <f t="shared" si="75"/>
        <v>0</v>
      </c>
      <c r="L1624" s="1">
        <f t="shared" si="76"/>
        <v>0</v>
      </c>
      <c r="M1624" s="1">
        <f t="shared" si="77"/>
        <v>0</v>
      </c>
    </row>
    <row r="1625" spans="11:13">
      <c r="K1625" s="1">
        <f t="shared" si="75"/>
        <v>0</v>
      </c>
      <c r="L1625" s="1">
        <f t="shared" si="76"/>
        <v>0</v>
      </c>
      <c r="M1625" s="1">
        <f t="shared" si="77"/>
        <v>0</v>
      </c>
    </row>
    <row r="1626" spans="11:13">
      <c r="K1626" s="1">
        <f t="shared" si="75"/>
        <v>0</v>
      </c>
      <c r="L1626" s="1">
        <f t="shared" si="76"/>
        <v>0</v>
      </c>
      <c r="M1626" s="1">
        <f t="shared" si="77"/>
        <v>0</v>
      </c>
    </row>
    <row r="1627" spans="11:13">
      <c r="K1627" s="1">
        <f t="shared" si="75"/>
        <v>0</v>
      </c>
      <c r="L1627" s="1">
        <f t="shared" si="76"/>
        <v>0</v>
      </c>
      <c r="M1627" s="1">
        <f t="shared" si="77"/>
        <v>0</v>
      </c>
    </row>
    <row r="1628" spans="11:13">
      <c r="K1628" s="1">
        <f t="shared" si="75"/>
        <v>0</v>
      </c>
      <c r="L1628" s="1">
        <f t="shared" si="76"/>
        <v>0</v>
      </c>
      <c r="M1628" s="1">
        <f t="shared" si="77"/>
        <v>0</v>
      </c>
    </row>
    <row r="1629" spans="11:13">
      <c r="K1629" s="1">
        <f t="shared" si="75"/>
        <v>0</v>
      </c>
      <c r="L1629" s="1">
        <f t="shared" si="76"/>
        <v>0</v>
      </c>
      <c r="M1629" s="1">
        <f t="shared" si="77"/>
        <v>0</v>
      </c>
    </row>
    <row r="1630" spans="11:13">
      <c r="K1630" s="1">
        <f t="shared" si="75"/>
        <v>0</v>
      </c>
      <c r="L1630" s="1">
        <f t="shared" si="76"/>
        <v>0</v>
      </c>
      <c r="M1630" s="1">
        <f t="shared" si="77"/>
        <v>0</v>
      </c>
    </row>
    <row r="1631" spans="11:13">
      <c r="K1631" s="1">
        <f t="shared" si="75"/>
        <v>0</v>
      </c>
      <c r="L1631" s="1">
        <f t="shared" si="76"/>
        <v>0</v>
      </c>
      <c r="M1631" s="1">
        <f t="shared" si="77"/>
        <v>0</v>
      </c>
    </row>
    <row r="1632" spans="11:13">
      <c r="K1632" s="1">
        <f t="shared" si="75"/>
        <v>0</v>
      </c>
      <c r="L1632" s="1">
        <f t="shared" si="76"/>
        <v>0</v>
      </c>
      <c r="M1632" s="1">
        <f t="shared" si="77"/>
        <v>0</v>
      </c>
    </row>
    <row r="1633" spans="11:13">
      <c r="K1633" s="1">
        <f t="shared" si="75"/>
        <v>0</v>
      </c>
      <c r="L1633" s="1">
        <f t="shared" si="76"/>
        <v>0</v>
      </c>
      <c r="M1633" s="1">
        <f t="shared" si="77"/>
        <v>0</v>
      </c>
    </row>
    <row r="1634" spans="11:13">
      <c r="K1634" s="1">
        <f t="shared" si="75"/>
        <v>0</v>
      </c>
      <c r="L1634" s="1">
        <f t="shared" si="76"/>
        <v>0</v>
      </c>
      <c r="M1634" s="1">
        <f t="shared" si="77"/>
        <v>0</v>
      </c>
    </row>
    <row r="1635" spans="11:13">
      <c r="K1635" s="1">
        <f t="shared" si="75"/>
        <v>0</v>
      </c>
      <c r="L1635" s="1">
        <f t="shared" si="76"/>
        <v>0</v>
      </c>
      <c r="M1635" s="1">
        <f t="shared" si="77"/>
        <v>0</v>
      </c>
    </row>
    <row r="1636" spans="11:13">
      <c r="K1636" s="1">
        <f t="shared" si="75"/>
        <v>0</v>
      </c>
      <c r="L1636" s="1">
        <f t="shared" si="76"/>
        <v>0</v>
      </c>
      <c r="M1636" s="1">
        <f t="shared" si="77"/>
        <v>0</v>
      </c>
    </row>
    <row r="1637" spans="11:13">
      <c r="K1637" s="1">
        <f t="shared" si="75"/>
        <v>0</v>
      </c>
      <c r="L1637" s="1">
        <f t="shared" si="76"/>
        <v>0</v>
      </c>
      <c r="M1637" s="1">
        <f t="shared" si="77"/>
        <v>0</v>
      </c>
    </row>
    <row r="1638" spans="11:13">
      <c r="K1638" s="1">
        <f t="shared" si="75"/>
        <v>0</v>
      </c>
      <c r="L1638" s="1">
        <f t="shared" si="76"/>
        <v>0</v>
      </c>
      <c r="M1638" s="1">
        <f t="shared" si="77"/>
        <v>0</v>
      </c>
    </row>
    <row r="1639" spans="11:13">
      <c r="K1639" s="1">
        <f t="shared" ref="K1639:K1680" si="78">J1639-C1639</f>
        <v>0</v>
      </c>
      <c r="L1639" s="1">
        <f t="shared" ref="L1639:L1680" si="79">IF(C1639&gt;0,C1639,0)</f>
        <v>0</v>
      </c>
      <c r="M1639" s="1">
        <f t="shared" ref="M1639:M1680" si="80">IF(C1639&lt;0,C1639,0)</f>
        <v>0</v>
      </c>
    </row>
    <row r="1640" spans="11:13">
      <c r="K1640" s="1">
        <f t="shared" si="78"/>
        <v>0</v>
      </c>
      <c r="L1640" s="1">
        <f t="shared" si="79"/>
        <v>0</v>
      </c>
      <c r="M1640" s="1">
        <f t="shared" si="80"/>
        <v>0</v>
      </c>
    </row>
    <row r="1641" spans="11:13">
      <c r="K1641" s="1">
        <f t="shared" si="78"/>
        <v>0</v>
      </c>
      <c r="L1641" s="1">
        <f t="shared" si="79"/>
        <v>0</v>
      </c>
      <c r="M1641" s="1">
        <f t="shared" si="80"/>
        <v>0</v>
      </c>
    </row>
    <row r="1642" spans="11:13">
      <c r="K1642" s="1">
        <f t="shared" si="78"/>
        <v>0</v>
      </c>
      <c r="L1642" s="1">
        <f t="shared" si="79"/>
        <v>0</v>
      </c>
      <c r="M1642" s="1">
        <f t="shared" si="80"/>
        <v>0</v>
      </c>
    </row>
    <row r="1643" spans="11:13">
      <c r="K1643" s="1">
        <f t="shared" si="78"/>
        <v>0</v>
      </c>
      <c r="L1643" s="1">
        <f t="shared" si="79"/>
        <v>0</v>
      </c>
      <c r="M1643" s="1">
        <f t="shared" si="80"/>
        <v>0</v>
      </c>
    </row>
    <row r="1644" spans="11:13">
      <c r="K1644" s="1">
        <f t="shared" si="78"/>
        <v>0</v>
      </c>
      <c r="L1644" s="1">
        <f t="shared" si="79"/>
        <v>0</v>
      </c>
      <c r="M1644" s="1">
        <f t="shared" si="80"/>
        <v>0</v>
      </c>
    </row>
    <row r="1645" spans="11:13">
      <c r="K1645" s="1">
        <f t="shared" si="78"/>
        <v>0</v>
      </c>
      <c r="L1645" s="1">
        <f t="shared" si="79"/>
        <v>0</v>
      </c>
      <c r="M1645" s="1">
        <f t="shared" si="80"/>
        <v>0</v>
      </c>
    </row>
    <row r="1646" spans="11:13">
      <c r="K1646" s="1">
        <f t="shared" si="78"/>
        <v>0</v>
      </c>
      <c r="L1646" s="1">
        <f t="shared" si="79"/>
        <v>0</v>
      </c>
      <c r="M1646" s="1">
        <f t="shared" si="80"/>
        <v>0</v>
      </c>
    </row>
    <row r="1647" spans="11:13">
      <c r="K1647" s="1">
        <f t="shared" si="78"/>
        <v>0</v>
      </c>
      <c r="L1647" s="1">
        <f t="shared" si="79"/>
        <v>0</v>
      </c>
      <c r="M1647" s="1">
        <f t="shared" si="80"/>
        <v>0</v>
      </c>
    </row>
    <row r="1648" spans="11:13">
      <c r="K1648" s="1">
        <f t="shared" si="78"/>
        <v>0</v>
      </c>
      <c r="L1648" s="1">
        <f t="shared" si="79"/>
        <v>0</v>
      </c>
      <c r="M1648" s="1">
        <f t="shared" si="80"/>
        <v>0</v>
      </c>
    </row>
    <row r="1649" spans="11:13">
      <c r="K1649" s="1">
        <f t="shared" si="78"/>
        <v>0</v>
      </c>
      <c r="L1649" s="1">
        <f t="shared" si="79"/>
        <v>0</v>
      </c>
      <c r="M1649" s="1">
        <f t="shared" si="80"/>
        <v>0</v>
      </c>
    </row>
    <row r="1650" spans="11:13">
      <c r="K1650" s="1">
        <f t="shared" si="78"/>
        <v>0</v>
      </c>
      <c r="L1650" s="1">
        <f t="shared" si="79"/>
        <v>0</v>
      </c>
      <c r="M1650" s="1">
        <f t="shared" si="80"/>
        <v>0</v>
      </c>
    </row>
    <row r="1651" spans="11:13">
      <c r="K1651" s="1">
        <f t="shared" si="78"/>
        <v>0</v>
      </c>
      <c r="L1651" s="1">
        <f t="shared" si="79"/>
        <v>0</v>
      </c>
      <c r="M1651" s="1">
        <f t="shared" si="80"/>
        <v>0</v>
      </c>
    </row>
    <row r="1652" spans="11:13">
      <c r="K1652" s="1">
        <f t="shared" si="78"/>
        <v>0</v>
      </c>
      <c r="L1652" s="1">
        <f t="shared" si="79"/>
        <v>0</v>
      </c>
      <c r="M1652" s="1">
        <f t="shared" si="80"/>
        <v>0</v>
      </c>
    </row>
    <row r="1653" spans="11:13">
      <c r="K1653" s="1">
        <f t="shared" si="78"/>
        <v>0</v>
      </c>
      <c r="L1653" s="1">
        <f t="shared" si="79"/>
        <v>0</v>
      </c>
      <c r="M1653" s="1">
        <f t="shared" si="80"/>
        <v>0</v>
      </c>
    </row>
    <row r="1654" spans="11:13">
      <c r="K1654" s="1">
        <f t="shared" si="78"/>
        <v>0</v>
      </c>
      <c r="L1654" s="1">
        <f t="shared" si="79"/>
        <v>0</v>
      </c>
      <c r="M1654" s="1">
        <f t="shared" si="80"/>
        <v>0</v>
      </c>
    </row>
    <row r="1655" spans="11:13">
      <c r="K1655" s="1">
        <f t="shared" si="78"/>
        <v>0</v>
      </c>
      <c r="L1655" s="1">
        <f t="shared" si="79"/>
        <v>0</v>
      </c>
      <c r="M1655" s="1">
        <f t="shared" si="80"/>
        <v>0</v>
      </c>
    </row>
    <row r="1656" spans="11:13">
      <c r="K1656" s="1">
        <f t="shared" si="78"/>
        <v>0</v>
      </c>
      <c r="L1656" s="1">
        <f t="shared" si="79"/>
        <v>0</v>
      </c>
      <c r="M1656" s="1">
        <f t="shared" si="80"/>
        <v>0</v>
      </c>
    </row>
    <row r="1657" spans="11:13">
      <c r="K1657" s="1">
        <f t="shared" si="78"/>
        <v>0</v>
      </c>
      <c r="L1657" s="1">
        <f t="shared" si="79"/>
        <v>0</v>
      </c>
      <c r="M1657" s="1">
        <f t="shared" si="80"/>
        <v>0</v>
      </c>
    </row>
    <row r="1658" spans="11:13">
      <c r="K1658" s="1">
        <f t="shared" si="78"/>
        <v>0</v>
      </c>
      <c r="L1658" s="1">
        <f t="shared" si="79"/>
        <v>0</v>
      </c>
      <c r="M1658" s="1">
        <f t="shared" si="80"/>
        <v>0</v>
      </c>
    </row>
    <row r="1659" spans="11:13">
      <c r="K1659" s="1">
        <f t="shared" si="78"/>
        <v>0</v>
      </c>
      <c r="L1659" s="1">
        <f t="shared" si="79"/>
        <v>0</v>
      </c>
      <c r="M1659" s="1">
        <f t="shared" si="80"/>
        <v>0</v>
      </c>
    </row>
    <row r="1660" spans="11:13">
      <c r="K1660" s="1">
        <f t="shared" si="78"/>
        <v>0</v>
      </c>
      <c r="L1660" s="1">
        <f t="shared" si="79"/>
        <v>0</v>
      </c>
      <c r="M1660" s="1">
        <f t="shared" si="80"/>
        <v>0</v>
      </c>
    </row>
    <row r="1661" spans="11:13">
      <c r="K1661" s="1">
        <f t="shared" si="78"/>
        <v>0</v>
      </c>
      <c r="L1661" s="1">
        <f t="shared" si="79"/>
        <v>0</v>
      </c>
      <c r="M1661" s="1">
        <f t="shared" si="80"/>
        <v>0</v>
      </c>
    </row>
    <row r="1662" spans="11:13">
      <c r="K1662" s="1">
        <f t="shared" si="78"/>
        <v>0</v>
      </c>
      <c r="L1662" s="1">
        <f t="shared" si="79"/>
        <v>0</v>
      </c>
      <c r="M1662" s="1">
        <f t="shared" si="80"/>
        <v>0</v>
      </c>
    </row>
    <row r="1663" spans="11:13">
      <c r="K1663" s="1">
        <f t="shared" si="78"/>
        <v>0</v>
      </c>
      <c r="L1663" s="1">
        <f t="shared" si="79"/>
        <v>0</v>
      </c>
      <c r="M1663" s="1">
        <f t="shared" si="80"/>
        <v>0</v>
      </c>
    </row>
    <row r="1664" spans="11:13">
      <c r="K1664" s="1">
        <f t="shared" si="78"/>
        <v>0</v>
      </c>
      <c r="L1664" s="1">
        <f t="shared" si="79"/>
        <v>0</v>
      </c>
      <c r="M1664" s="1">
        <f t="shared" si="80"/>
        <v>0</v>
      </c>
    </row>
    <row r="1665" spans="11:13">
      <c r="K1665" s="1">
        <f t="shared" si="78"/>
        <v>0</v>
      </c>
      <c r="L1665" s="1">
        <f t="shared" si="79"/>
        <v>0</v>
      </c>
      <c r="M1665" s="1">
        <f t="shared" si="80"/>
        <v>0</v>
      </c>
    </row>
    <row r="1666" spans="11:13">
      <c r="K1666" s="1">
        <f t="shared" si="78"/>
        <v>0</v>
      </c>
      <c r="L1666" s="1">
        <f t="shared" si="79"/>
        <v>0</v>
      </c>
      <c r="M1666" s="1">
        <f t="shared" si="80"/>
        <v>0</v>
      </c>
    </row>
    <row r="1667" spans="11:13">
      <c r="K1667" s="1">
        <f t="shared" si="78"/>
        <v>0</v>
      </c>
      <c r="L1667" s="1">
        <f t="shared" si="79"/>
        <v>0</v>
      </c>
      <c r="M1667" s="1">
        <f t="shared" si="80"/>
        <v>0</v>
      </c>
    </row>
    <row r="1668" spans="11:13">
      <c r="K1668" s="1">
        <f t="shared" si="78"/>
        <v>0</v>
      </c>
      <c r="L1668" s="1">
        <f t="shared" si="79"/>
        <v>0</v>
      </c>
      <c r="M1668" s="1">
        <f t="shared" si="80"/>
        <v>0</v>
      </c>
    </row>
    <row r="1669" spans="11:13">
      <c r="K1669" s="1">
        <f t="shared" si="78"/>
        <v>0</v>
      </c>
      <c r="L1669" s="1">
        <f t="shared" si="79"/>
        <v>0</v>
      </c>
      <c r="M1669" s="1">
        <f t="shared" si="80"/>
        <v>0</v>
      </c>
    </row>
    <row r="1670" spans="11:13">
      <c r="K1670" s="1">
        <f t="shared" si="78"/>
        <v>0</v>
      </c>
      <c r="L1670" s="1">
        <f t="shared" si="79"/>
        <v>0</v>
      </c>
      <c r="M1670" s="1">
        <f t="shared" si="80"/>
        <v>0</v>
      </c>
    </row>
    <row r="1671" spans="11:13">
      <c r="K1671" s="1">
        <f t="shared" si="78"/>
        <v>0</v>
      </c>
      <c r="L1671" s="1">
        <f t="shared" si="79"/>
        <v>0</v>
      </c>
      <c r="M1671" s="1">
        <f t="shared" si="80"/>
        <v>0</v>
      </c>
    </row>
    <row r="1672" spans="11:13">
      <c r="K1672" s="1">
        <f t="shared" si="78"/>
        <v>0</v>
      </c>
      <c r="L1672" s="1">
        <f t="shared" si="79"/>
        <v>0</v>
      </c>
      <c r="M1672" s="1">
        <f t="shared" si="80"/>
        <v>0</v>
      </c>
    </row>
    <row r="1673" spans="11:13">
      <c r="K1673" s="1">
        <f t="shared" si="78"/>
        <v>0</v>
      </c>
      <c r="L1673" s="1">
        <f t="shared" si="79"/>
        <v>0</v>
      </c>
      <c r="M1673" s="1">
        <f t="shared" si="80"/>
        <v>0</v>
      </c>
    </row>
    <row r="1674" spans="11:13">
      <c r="K1674" s="1">
        <f t="shared" si="78"/>
        <v>0</v>
      </c>
      <c r="L1674" s="1">
        <f t="shared" si="79"/>
        <v>0</v>
      </c>
      <c r="M1674" s="1">
        <f t="shared" si="80"/>
        <v>0</v>
      </c>
    </row>
    <row r="1675" spans="11:13">
      <c r="K1675" s="1">
        <f t="shared" si="78"/>
        <v>0</v>
      </c>
      <c r="L1675" s="1">
        <f t="shared" si="79"/>
        <v>0</v>
      </c>
      <c r="M1675" s="1">
        <f t="shared" si="80"/>
        <v>0</v>
      </c>
    </row>
    <row r="1676" spans="11:13">
      <c r="K1676" s="1">
        <f t="shared" si="78"/>
        <v>0</v>
      </c>
      <c r="L1676" s="1">
        <f t="shared" si="79"/>
        <v>0</v>
      </c>
      <c r="M1676" s="1">
        <f t="shared" si="80"/>
        <v>0</v>
      </c>
    </row>
    <row r="1677" spans="11:13">
      <c r="K1677" s="1">
        <f t="shared" si="78"/>
        <v>0</v>
      </c>
      <c r="L1677" s="1">
        <f t="shared" si="79"/>
        <v>0</v>
      </c>
      <c r="M1677" s="1">
        <f t="shared" si="80"/>
        <v>0</v>
      </c>
    </row>
    <row r="1678" spans="11:13">
      <c r="K1678" s="1">
        <f t="shared" si="78"/>
        <v>0</v>
      </c>
      <c r="L1678" s="1">
        <f t="shared" si="79"/>
        <v>0</v>
      </c>
      <c r="M1678" s="1">
        <f t="shared" si="80"/>
        <v>0</v>
      </c>
    </row>
    <row r="1679" spans="11:13">
      <c r="K1679" s="1">
        <f t="shared" si="78"/>
        <v>0</v>
      </c>
      <c r="L1679" s="1">
        <f t="shared" si="79"/>
        <v>0</v>
      </c>
      <c r="M1679" s="1">
        <f t="shared" si="80"/>
        <v>0</v>
      </c>
    </row>
    <row r="1680" spans="11:13">
      <c r="K1680" s="1">
        <f t="shared" si="78"/>
        <v>0</v>
      </c>
      <c r="L1680" s="1">
        <f t="shared" si="79"/>
        <v>0</v>
      </c>
      <c r="M1680" s="1">
        <f t="shared" si="80"/>
        <v>0</v>
      </c>
    </row>
    <row r="1687" spans="10:10">
      <c r="J1687" s="1685"/>
    </row>
  </sheetData>
  <autoFilter ref="A1:M1680"/>
  <pageMargins left="0.70866141732283472" right="0.70866141732283472" top="0.15748031496062992" bottom="0.15748031496062992" header="0.31496062992125984" footer="0.31496062992125984"/>
  <pageSetup paperSize="9"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7D6094D-DF4A-4C1B-9417-66CC5F15DA37}">
            <xm:f>COUNTIF('RZiS, koszty rodz.'!$D$5:$D$959,A3)&gt;0</xm:f>
            <x14:dxf>
              <fill>
                <patternFill>
                  <bgColor rgb="FFFF0000"/>
                </patternFill>
              </fill>
            </x14:dxf>
          </x14:cfRule>
          <xm:sqref>A3:A1323</xm:sqref>
        </x14:conditionalFormatting>
        <x14:conditionalFormatting xmlns:xm="http://schemas.microsoft.com/office/excel/2006/main">
          <x14:cfRule type="expression" priority="4" id="{CA70AB22-F716-4956-A473-BAF51BF49FD7}">
            <xm:f>COUNTIF('bilans '!$D$8:$D$600,A3)&gt;0</xm:f>
            <x14:dxf>
              <fill>
                <patternFill>
                  <bgColor rgb="FFFF0000"/>
                </patternFill>
              </fill>
            </x14:dxf>
          </x14:cfRule>
          <xm:sqref>A3:A1336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G70"/>
  <sheetViews>
    <sheetView zoomScale="120" zoomScaleNormal="120" workbookViewId="0">
      <pane xSplit="2" ySplit="2" topLeftCell="C48" activePane="bottomRight" state="frozen"/>
      <selection activeCell="D187" sqref="D187"/>
      <selection pane="topRight" activeCell="D187" sqref="D187"/>
      <selection pane="bottomLeft" activeCell="D187" sqref="D187"/>
      <selection pane="bottomRight" activeCell="B48" sqref="B48"/>
    </sheetView>
  </sheetViews>
  <sheetFormatPr defaultColWidth="8.88671875" defaultRowHeight="10.199999999999999"/>
  <cols>
    <col min="1" max="1" width="76.33203125" style="234" customWidth="1"/>
    <col min="2" max="2" width="16.77734375" style="52" customWidth="1"/>
    <col min="3" max="3" width="15.77734375" style="52" customWidth="1"/>
    <col min="4" max="4" width="12" style="228" bestFit="1" customWidth="1"/>
    <col min="5" max="5" width="13.33203125" style="228" customWidth="1"/>
    <col min="6" max="6" width="41" style="228" customWidth="1"/>
    <col min="7" max="16384" width="8.88671875" style="228"/>
  </cols>
  <sheetData>
    <row r="2" spans="1:4" ht="18">
      <c r="A2" s="278" t="s">
        <v>2001</v>
      </c>
      <c r="B2" s="427">
        <f>'CF dział.operac.'!B2</f>
        <v>45930</v>
      </c>
      <c r="C2" s="670">
        <v>45657</v>
      </c>
    </row>
    <row r="3" spans="1:4">
      <c r="B3" s="52" t="s">
        <v>923</v>
      </c>
      <c r="C3" s="52" t="s">
        <v>923</v>
      </c>
    </row>
    <row r="4" spans="1:4">
      <c r="A4" s="270" t="s">
        <v>1568</v>
      </c>
      <c r="B4" s="268">
        <f>'CF dział.operac.'!B4</f>
        <v>9827693.799999997</v>
      </c>
      <c r="C4" s="268">
        <v>5209476.450000966</v>
      </c>
    </row>
    <row r="5" spans="1:4">
      <c r="A5" s="270" t="s">
        <v>1569</v>
      </c>
      <c r="B5" s="268"/>
      <c r="C5" s="268"/>
    </row>
    <row r="6" spans="1:4" ht="20.399999999999999">
      <c r="A6" s="270" t="s">
        <v>1570</v>
      </c>
      <c r="B6" s="268"/>
      <c r="C6" s="268"/>
    </row>
    <row r="7" spans="1:4">
      <c r="A7" s="270" t="s">
        <v>1571</v>
      </c>
      <c r="B7" s="268">
        <f>'CF dział.operac.'!B9</f>
        <v>2197321.12</v>
      </c>
      <c r="C7" s="268">
        <v>3483606.1899999995</v>
      </c>
      <c r="D7" s="52"/>
    </row>
    <row r="8" spans="1:4">
      <c r="A8" s="270" t="s">
        <v>1572</v>
      </c>
      <c r="B8" s="268">
        <f>'CF dział.operac.'!B10</f>
        <v>100906.8999999989</v>
      </c>
      <c r="C8" s="268">
        <v>540793.21999999904</v>
      </c>
      <c r="D8" s="52"/>
    </row>
    <row r="9" spans="1:4">
      <c r="A9" s="270" t="s">
        <v>1573</v>
      </c>
      <c r="B9" s="268">
        <f>'CF dział.operac.'!B34</f>
        <v>0</v>
      </c>
      <c r="C9" s="268">
        <v>12026.45</v>
      </c>
      <c r="D9" s="52"/>
    </row>
    <row r="10" spans="1:4">
      <c r="A10" s="270" t="s">
        <v>1574</v>
      </c>
      <c r="B10" s="268">
        <f>'CF dział.operac.'!B50</f>
        <v>1167300.3800000106</v>
      </c>
      <c r="C10" s="268">
        <v>1095251.1799998959</v>
      </c>
      <c r="D10" s="52"/>
    </row>
    <row r="11" spans="1:4">
      <c r="A11" s="270" t="s">
        <v>1575</v>
      </c>
      <c r="B11" s="268">
        <f>'CF dział.operac.'!B66</f>
        <v>-5997169.7699999912</v>
      </c>
      <c r="C11" s="268">
        <v>426343.21999998903</v>
      </c>
      <c r="D11" s="52"/>
    </row>
    <row r="12" spans="1:4">
      <c r="A12" s="270" t="s">
        <v>1576</v>
      </c>
      <c r="B12" s="268">
        <f>'CF dział.operac.'!B74</f>
        <v>-5994706.2299999828</v>
      </c>
      <c r="C12" s="268">
        <v>-5717243.3300001118</v>
      </c>
      <c r="D12" s="52"/>
    </row>
    <row r="13" spans="1:4">
      <c r="A13" s="270" t="s">
        <v>1577</v>
      </c>
      <c r="B13" s="268">
        <f>'CF dział.operac.'!B90</f>
        <v>-830108.7499999986</v>
      </c>
      <c r="C13" s="268">
        <v>1421061.4800000002</v>
      </c>
      <c r="D13" s="52"/>
    </row>
    <row r="14" spans="1:4">
      <c r="A14" s="270" t="s">
        <v>1578</v>
      </c>
      <c r="B14" s="268"/>
      <c r="C14" s="268"/>
      <c r="D14" s="52"/>
    </row>
    <row r="15" spans="1:4">
      <c r="A15" s="270" t="s">
        <v>1579</v>
      </c>
      <c r="B15" s="268">
        <f>'CF dział.operac.'!B101</f>
        <v>-106435.2</v>
      </c>
      <c r="C15" s="268">
        <v>-442222.73000000004</v>
      </c>
      <c r="D15" s="52"/>
    </row>
    <row r="16" spans="1:4">
      <c r="A16" s="270" t="s">
        <v>1580</v>
      </c>
      <c r="B16" s="268">
        <f>'CF dział.operac.'!B110</f>
        <v>-587726.39000000106</v>
      </c>
      <c r="C16" s="268">
        <v>-1874397.2300000002</v>
      </c>
    </row>
    <row r="17" spans="1:4">
      <c r="A17" s="270" t="s">
        <v>1581</v>
      </c>
      <c r="B17" s="268">
        <f>'CF dział.operac.'!B119</f>
        <v>-400923.99999999092</v>
      </c>
      <c r="C17" s="268">
        <v>-1183817.0000000168</v>
      </c>
    </row>
    <row r="18" spans="1:4">
      <c r="A18" s="270" t="s">
        <v>1582</v>
      </c>
      <c r="B18" s="268">
        <f>'CF dział.operac.'!B136</f>
        <v>0</v>
      </c>
      <c r="C18" s="268">
        <v>0</v>
      </c>
    </row>
    <row r="19" spans="1:4">
      <c r="A19" s="270" t="s">
        <v>1583</v>
      </c>
      <c r="B19" s="268">
        <f>'CF dział.operac.'!B140</f>
        <v>0</v>
      </c>
      <c r="C19" s="268">
        <v>0</v>
      </c>
    </row>
    <row r="20" spans="1:4">
      <c r="A20" s="270" t="s">
        <v>1584</v>
      </c>
      <c r="B20" s="268">
        <f>'CF dział.operac.'!B141</f>
        <v>-1.1725351214408875E-6</v>
      </c>
      <c r="C20" s="268">
        <v>-1.1548399925231934E-7</v>
      </c>
    </row>
    <row r="21" spans="1:4">
      <c r="A21" s="274" t="s">
        <v>1585</v>
      </c>
      <c r="B21" s="266">
        <f>SUM(B4:B20)</f>
        <v>-623848.14000113029</v>
      </c>
      <c r="C21" s="266">
        <v>2970877.9000006039</v>
      </c>
      <c r="D21" s="201">
        <f>B21-'CF dział.operac.'!B146</f>
        <v>1.862645149230957E-9</v>
      </c>
    </row>
    <row r="22" spans="1:4">
      <c r="A22" s="270" t="s">
        <v>923</v>
      </c>
      <c r="B22" s="268"/>
      <c r="C22" s="268"/>
    </row>
    <row r="23" spans="1:4">
      <c r="A23" s="270" t="s">
        <v>1586</v>
      </c>
      <c r="B23" s="268">
        <f>Przepływy!B184</f>
        <v>0</v>
      </c>
      <c r="C23" s="268">
        <v>0</v>
      </c>
    </row>
    <row r="24" spans="1:4">
      <c r="A24" s="270" t="s">
        <v>1587</v>
      </c>
      <c r="B24" s="268">
        <f>Przepływy!B189</f>
        <v>-710258.26999999897</v>
      </c>
      <c r="C24" s="268">
        <v>-1824666.31</v>
      </c>
    </row>
    <row r="25" spans="1:4">
      <c r="A25" s="270" t="s">
        <v>1588</v>
      </c>
      <c r="B25" s="268"/>
      <c r="C25" s="268"/>
    </row>
    <row r="26" spans="1:4">
      <c r="A26" s="270" t="s">
        <v>1589</v>
      </c>
      <c r="B26" s="268"/>
      <c r="C26" s="268"/>
    </row>
    <row r="27" spans="1:4">
      <c r="A27" s="270" t="s">
        <v>1590</v>
      </c>
      <c r="B27" s="268"/>
      <c r="C27" s="268"/>
    </row>
    <row r="28" spans="1:4">
      <c r="A28" s="270" t="s">
        <v>1591</v>
      </c>
      <c r="B28" s="268"/>
      <c r="C28" s="268"/>
    </row>
    <row r="29" spans="1:4">
      <c r="A29" s="270" t="s">
        <v>1592</v>
      </c>
      <c r="B29" s="268"/>
      <c r="C29" s="268"/>
    </row>
    <row r="30" spans="1:4">
      <c r="A30" s="270" t="s">
        <v>1593</v>
      </c>
      <c r="B30" s="268"/>
      <c r="C30" s="268"/>
    </row>
    <row r="31" spans="1:4">
      <c r="A31" s="270" t="s">
        <v>1594</v>
      </c>
      <c r="B31" s="268"/>
      <c r="C31" s="268"/>
    </row>
    <row r="32" spans="1:4">
      <c r="A32" s="270" t="s">
        <v>1595</v>
      </c>
      <c r="B32" s="268"/>
      <c r="C32" s="268"/>
    </row>
    <row r="33" spans="1:7">
      <c r="A33" s="270" t="s">
        <v>1596</v>
      </c>
      <c r="B33" s="268"/>
      <c r="C33" s="268"/>
    </row>
    <row r="34" spans="1:7">
      <c r="A34" s="270" t="s">
        <v>1598</v>
      </c>
      <c r="B34" s="268"/>
      <c r="C34" s="268"/>
    </row>
    <row r="35" spans="1:7">
      <c r="A35" s="270" t="s">
        <v>1599</v>
      </c>
      <c r="B35" s="268"/>
      <c r="C35" s="268"/>
    </row>
    <row r="36" spans="1:7">
      <c r="A36" s="270" t="s">
        <v>1600</v>
      </c>
      <c r="B36" s="268"/>
      <c r="C36" s="268"/>
    </row>
    <row r="37" spans="1:7">
      <c r="A37" s="270" t="s">
        <v>1602</v>
      </c>
      <c r="B37" s="268"/>
      <c r="C37" s="268"/>
    </row>
    <row r="38" spans="1:7">
      <c r="A38" s="270" t="s">
        <v>1603</v>
      </c>
      <c r="B38" s="268"/>
      <c r="C38" s="268"/>
    </row>
    <row r="39" spans="1:7">
      <c r="A39" s="270" t="s">
        <v>2002</v>
      </c>
      <c r="B39" s="268"/>
      <c r="C39" s="268"/>
    </row>
    <row r="40" spans="1:7">
      <c r="A40" s="270" t="s">
        <v>1597</v>
      </c>
      <c r="B40" s="268">
        <f>Przepływy!B228</f>
        <v>117266.21999999999</v>
      </c>
      <c r="C40" s="268">
        <v>15765.25</v>
      </c>
    </row>
    <row r="41" spans="1:7">
      <c r="A41" s="270" t="s">
        <v>1601</v>
      </c>
      <c r="B41" s="268">
        <f>Przepływy!B232</f>
        <v>0</v>
      </c>
      <c r="C41" s="268">
        <v>-3685250.4000000004</v>
      </c>
    </row>
    <row r="42" spans="1:7" ht="14.4">
      <c r="A42" s="270" t="s">
        <v>1604</v>
      </c>
      <c r="B42" s="268"/>
      <c r="C42" s="268"/>
      <c r="F42" t="s">
        <v>2238</v>
      </c>
      <c r="G42" s="402">
        <v>2000049</v>
      </c>
    </row>
    <row r="43" spans="1:7" ht="14.4">
      <c r="A43" s="270" t="s">
        <v>2003</v>
      </c>
      <c r="B43" s="268"/>
      <c r="C43" s="268"/>
      <c r="F43" t="s">
        <v>2239</v>
      </c>
      <c r="G43" s="402">
        <v>2000069</v>
      </c>
    </row>
    <row r="44" spans="1:7" ht="14.4">
      <c r="A44" s="270" t="s">
        <v>1605</v>
      </c>
      <c r="B44" s="268"/>
      <c r="C44" s="268"/>
      <c r="F44" t="s">
        <v>3176</v>
      </c>
      <c r="G44" s="402">
        <v>2000072</v>
      </c>
    </row>
    <row r="45" spans="1:7" ht="14.4">
      <c r="A45" s="274" t="s">
        <v>1606</v>
      </c>
      <c r="B45" s="266">
        <f>SUM(B23:B44)</f>
        <v>-592992.049999999</v>
      </c>
      <c r="C45" s="266">
        <v>-5494151.4600000009</v>
      </c>
      <c r="D45" s="201">
        <f>B45-Przepływy!B242</f>
        <v>0</v>
      </c>
      <c r="F45" t="s">
        <v>3177</v>
      </c>
      <c r="G45" s="402">
        <v>2000611</v>
      </c>
    </row>
    <row r="46" spans="1:7" ht="14.4">
      <c r="A46" s="270" t="s">
        <v>923</v>
      </c>
      <c r="B46" s="268"/>
      <c r="C46" s="268"/>
      <c r="F46" t="s">
        <v>2467</v>
      </c>
      <c r="G46" s="402">
        <v>2000035</v>
      </c>
    </row>
    <row r="47" spans="1:7" ht="14.4">
      <c r="A47" s="270" t="s">
        <v>1607</v>
      </c>
      <c r="B47" s="268"/>
      <c r="C47" s="268"/>
      <c r="F47" t="s">
        <v>2240</v>
      </c>
      <c r="G47" s="402">
        <v>2000034</v>
      </c>
    </row>
    <row r="48" spans="1:7" ht="14.4">
      <c r="A48" s="270" t="s">
        <v>2004</v>
      </c>
      <c r="B48" s="268">
        <f>Przepływy!B245</f>
        <v>-247135.51000000007</v>
      </c>
      <c r="C48" s="268">
        <v>-316051.06000000006</v>
      </c>
      <c r="D48" s="52"/>
      <c r="F48" t="s">
        <v>2468</v>
      </c>
      <c r="G48" s="402">
        <v>2000047</v>
      </c>
    </row>
    <row r="49" spans="1:7" ht="14.4">
      <c r="A49" s="270" t="s">
        <v>2005</v>
      </c>
      <c r="B49" s="268">
        <f>Przepływy!B249</f>
        <v>-237426.53999999887</v>
      </c>
      <c r="C49" s="268">
        <v>-324113.53999999899</v>
      </c>
      <c r="D49" s="52"/>
      <c r="F49" t="s">
        <v>3178</v>
      </c>
      <c r="G49" s="402">
        <v>2000262</v>
      </c>
    </row>
    <row r="50" spans="1:7" ht="14.4">
      <c r="A50" s="270" t="s">
        <v>1609</v>
      </c>
      <c r="B50" s="268">
        <f>Przepływy!D250</f>
        <v>0</v>
      </c>
      <c r="C50" s="268">
        <v>3400000</v>
      </c>
      <c r="F50" t="s">
        <v>2242</v>
      </c>
      <c r="G50" s="402">
        <v>2000052</v>
      </c>
    </row>
    <row r="51" spans="1:7" ht="14.4">
      <c r="A51" s="270" t="s">
        <v>1611</v>
      </c>
      <c r="B51" s="268">
        <f>Przepływy!B251</f>
        <v>0</v>
      </c>
      <c r="C51" s="268">
        <v>-3400000</v>
      </c>
      <c r="E51" s="52"/>
      <c r="F51" t="s">
        <v>2471</v>
      </c>
      <c r="G51" s="402">
        <v>2000085</v>
      </c>
    </row>
    <row r="52" spans="1:7" ht="14.4">
      <c r="A52" s="270" t="s">
        <v>1612</v>
      </c>
      <c r="B52" s="268"/>
      <c r="C52" s="268"/>
      <c r="F52" t="s">
        <v>2469</v>
      </c>
      <c r="G52" s="402">
        <v>2000099</v>
      </c>
    </row>
    <row r="53" spans="1:7" ht="14.4">
      <c r="A53" s="270" t="s">
        <v>1613</v>
      </c>
      <c r="B53" s="268"/>
      <c r="C53" s="268"/>
      <c r="F53" t="s">
        <v>2243</v>
      </c>
      <c r="G53" s="402">
        <v>2000000</v>
      </c>
    </row>
    <row r="54" spans="1:7" ht="14.4">
      <c r="A54" s="270" t="s">
        <v>1614</v>
      </c>
      <c r="B54" s="268"/>
      <c r="C54" s="268"/>
      <c r="F54" t="s">
        <v>2244</v>
      </c>
      <c r="G54" s="402">
        <v>2000091</v>
      </c>
    </row>
    <row r="55" spans="1:7" ht="14.4">
      <c r="A55" s="270" t="s">
        <v>2006</v>
      </c>
      <c r="B55" s="268">
        <f>Przepływy!B255</f>
        <v>0</v>
      </c>
      <c r="C55" s="268">
        <v>-8828.5</v>
      </c>
      <c r="E55" s="52"/>
      <c r="F55" t="s">
        <v>2245</v>
      </c>
      <c r="G55" s="402">
        <v>2000082</v>
      </c>
    </row>
    <row r="56" spans="1:7" ht="14.4">
      <c r="A56" s="270" t="s">
        <v>1616</v>
      </c>
      <c r="B56" s="268"/>
      <c r="C56" s="268"/>
      <c r="F56" t="s">
        <v>2510</v>
      </c>
      <c r="G56" s="402">
        <v>2000036</v>
      </c>
    </row>
    <row r="57" spans="1:7">
      <c r="A57" s="270" t="s">
        <v>1617</v>
      </c>
      <c r="B57" s="268"/>
      <c r="C57" s="268"/>
    </row>
    <row r="58" spans="1:7">
      <c r="A58" s="270" t="s">
        <v>1610</v>
      </c>
      <c r="B58" s="268">
        <f>Przepływy!B259</f>
        <v>898569.97000000998</v>
      </c>
      <c r="C58" s="268">
        <v>0</v>
      </c>
      <c r="E58" s="52"/>
    </row>
    <row r="59" spans="1:7">
      <c r="A59" s="270" t="s">
        <v>1615</v>
      </c>
      <c r="B59" s="268">
        <f>Przepływy!B266</f>
        <v>-17455.79</v>
      </c>
      <c r="C59" s="268">
        <v>-293399.12999999989</v>
      </c>
      <c r="E59" s="52"/>
    </row>
    <row r="60" spans="1:7">
      <c r="A60" s="270" t="s">
        <v>1618</v>
      </c>
      <c r="B60" s="268"/>
      <c r="C60" s="268"/>
    </row>
    <row r="61" spans="1:7">
      <c r="A61" s="270" t="s">
        <v>1619</v>
      </c>
      <c r="B61" s="268"/>
      <c r="C61" s="268"/>
    </row>
    <row r="62" spans="1:7">
      <c r="A62" s="274" t="s">
        <v>1620</v>
      </c>
      <c r="B62" s="266">
        <f>SUM(B47:B61)</f>
        <v>396552.13000001106</v>
      </c>
      <c r="C62" s="266">
        <v>-942392.22999999905</v>
      </c>
      <c r="D62" s="201">
        <f>B62-Przepływy!B269</f>
        <v>0</v>
      </c>
    </row>
    <row r="63" spans="1:7">
      <c r="A63" s="270" t="s">
        <v>923</v>
      </c>
      <c r="B63" s="268"/>
      <c r="C63" s="268"/>
    </row>
    <row r="64" spans="1:7">
      <c r="A64" s="270" t="s">
        <v>1621</v>
      </c>
      <c r="B64" s="268">
        <f>B62+B45+B21</f>
        <v>-820288.06000111823</v>
      </c>
      <c r="C64" s="268">
        <v>-3465665.7899993956</v>
      </c>
      <c r="D64" s="201">
        <f>B64-Przepływy!B271</f>
        <v>1.0477378964424133E-9</v>
      </c>
    </row>
    <row r="65" spans="1:4">
      <c r="A65" s="270" t="s">
        <v>1622</v>
      </c>
      <c r="B65" s="268"/>
      <c r="C65" s="268"/>
    </row>
    <row r="66" spans="1:4">
      <c r="A66" s="274" t="s">
        <v>1623</v>
      </c>
      <c r="B66" s="266">
        <f>'FC Spr.z syt.finans.'!C29</f>
        <v>1351196.7300000002</v>
      </c>
      <c r="C66" s="266">
        <v>4816862.5199999884</v>
      </c>
      <c r="D66" s="201">
        <f>B66-Przepływy!B273</f>
        <v>0</v>
      </c>
    </row>
    <row r="67" spans="1:4">
      <c r="A67" s="275" t="s">
        <v>1624</v>
      </c>
      <c r="B67" s="276">
        <f>'FC Spr.z syt.finans.'!B29</f>
        <v>530908.67000000016</v>
      </c>
      <c r="C67" s="276">
        <v>1351196.7300000002</v>
      </c>
      <c r="D67" s="201">
        <f>B67-Przepływy!B274</f>
        <v>0</v>
      </c>
    </row>
    <row r="68" spans="1:4">
      <c r="A68" s="274" t="s">
        <v>1625</v>
      </c>
      <c r="B68" s="277"/>
      <c r="C68" s="266"/>
    </row>
    <row r="69" spans="1:4">
      <c r="A69" s="270" t="s">
        <v>1626</v>
      </c>
      <c r="B69" s="268"/>
      <c r="C69" s="268"/>
    </row>
    <row r="70" spans="1:4">
      <c r="B70" s="52">
        <f>B64+B66-B67</f>
        <v>-1.1181691661477089E-6</v>
      </c>
      <c r="C70" s="52">
        <v>5.9255398809909821E-7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K155"/>
  <sheetViews>
    <sheetView topLeftCell="A139" zoomScaleNormal="100" workbookViewId="0">
      <selection activeCell="H88" sqref="H88"/>
    </sheetView>
  </sheetViews>
  <sheetFormatPr defaultRowHeight="14.4"/>
  <cols>
    <col min="1" max="1" width="45.77734375" customWidth="1"/>
    <col min="2" max="2" width="11.44140625" style="471" customWidth="1"/>
    <col min="3" max="3" width="15.109375" style="1" customWidth="1"/>
    <col min="4" max="4" width="15.109375" style="5" customWidth="1"/>
    <col min="5" max="6" width="13.21875" customWidth="1"/>
    <col min="7" max="7" width="14.77734375" customWidth="1"/>
  </cols>
  <sheetData>
    <row r="1" spans="1:11" s="1356" customFormat="1" ht="18.600000000000001" thickBot="1">
      <c r="A1" s="1352" t="s">
        <v>1512</v>
      </c>
      <c r="B1" s="1353"/>
      <c r="C1" s="1354"/>
      <c r="D1" s="1355"/>
    </row>
    <row r="2" spans="1:11" ht="21" thickBot="1">
      <c r="A2" s="1389"/>
      <c r="B2" s="1390" t="s">
        <v>1415</v>
      </c>
      <c r="C2" s="1391" t="s">
        <v>3858</v>
      </c>
      <c r="D2" s="1392" t="s">
        <v>3651</v>
      </c>
    </row>
    <row r="3" spans="1:11" s="1356" customFormat="1">
      <c r="A3" s="1357" t="s">
        <v>1418</v>
      </c>
      <c r="B3" s="1358"/>
      <c r="C3" s="1359"/>
      <c r="D3" s="1360"/>
    </row>
    <row r="4" spans="1:11">
      <c r="A4" s="10"/>
      <c r="B4" s="472"/>
      <c r="C4" s="29"/>
      <c r="D4" s="144"/>
    </row>
    <row r="5" spans="1:11" s="1356" customFormat="1">
      <c r="A5" s="1357" t="s">
        <v>1419</v>
      </c>
      <c r="B5" s="1361" t="s">
        <v>1420</v>
      </c>
      <c r="C5" s="1362">
        <f>'SF Spr.z całk.doch.'!C6</f>
        <v>119266220.67</v>
      </c>
      <c r="D5" s="1363">
        <f>'SF Spr.z całk.doch.'!G6</f>
        <v>167359894.83999997</v>
      </c>
    </row>
    <row r="6" spans="1:11">
      <c r="A6" s="14" t="s">
        <v>1421</v>
      </c>
      <c r="B6" s="473" t="s">
        <v>1422</v>
      </c>
      <c r="C6" s="16">
        <f>'SF Spr.z całk.doch.'!C7</f>
        <v>-102874818.31</v>
      </c>
      <c r="D6" s="146">
        <f>'SF Spr.z całk.doch.'!G7</f>
        <v>-143606480.50999901</v>
      </c>
    </row>
    <row r="7" spans="1:11" s="1356" customFormat="1">
      <c r="A7" s="1357" t="s">
        <v>1423</v>
      </c>
      <c r="B7" s="1364"/>
      <c r="C7" s="1362">
        <f>C5+C6</f>
        <v>16391402.359999999</v>
      </c>
      <c r="D7" s="1363">
        <f>D5+D6</f>
        <v>23753414.330000967</v>
      </c>
    </row>
    <row r="8" spans="1:11">
      <c r="A8" s="14" t="s">
        <v>1424</v>
      </c>
      <c r="B8" s="473"/>
      <c r="C8" s="16"/>
      <c r="D8" s="146"/>
    </row>
    <row r="9" spans="1:11">
      <c r="A9" s="14" t="s">
        <v>1425</v>
      </c>
      <c r="B9" s="473" t="s">
        <v>1422</v>
      </c>
      <c r="C9" s="16">
        <f>'SF Spr.z całk.doch.'!C10</f>
        <v>-12837409.4</v>
      </c>
      <c r="D9" s="146">
        <f>'SF Spr.z całk.doch.'!G10</f>
        <v>-16261133.460000001</v>
      </c>
    </row>
    <row r="10" spans="1:11">
      <c r="A10" s="14" t="s">
        <v>1426</v>
      </c>
      <c r="B10" s="473" t="s">
        <v>1427</v>
      </c>
      <c r="C10" s="16">
        <f>'SF Spr.z całk.doch.'!C11</f>
        <v>7325082.9799999986</v>
      </c>
      <c r="D10" s="146">
        <f>'SF Spr.z całk.doch.'!G11</f>
        <v>276961.7199999998</v>
      </c>
    </row>
    <row r="11" spans="1:11">
      <c r="A11" s="14" t="s">
        <v>1428</v>
      </c>
      <c r="B11" s="473" t="s">
        <v>1427</v>
      </c>
      <c r="C11" s="16">
        <f>'SF Spr.z całk.doch.'!C12</f>
        <v>-331120.35999999876</v>
      </c>
      <c r="D11" s="146">
        <f>'SF Spr.z całk.doch.'!G12</f>
        <v>-1173101.2299999997</v>
      </c>
    </row>
    <row r="12" spans="1:11" s="1356" customFormat="1">
      <c r="A12" s="1357" t="s">
        <v>1429</v>
      </c>
      <c r="B12" s="1364"/>
      <c r="C12" s="1362">
        <f>C7+C9+C10+C11</f>
        <v>10547955.579999998</v>
      </c>
      <c r="D12" s="1363">
        <f>D7+D9+D10+D11</f>
        <v>6596141.3600009661</v>
      </c>
    </row>
    <row r="13" spans="1:11" ht="20.399999999999999">
      <c r="A13" s="14" t="s">
        <v>1430</v>
      </c>
      <c r="B13" s="473" t="s">
        <v>1431</v>
      </c>
      <c r="C13" s="16">
        <f>'SF Spr.z całk.doch.'!C14</f>
        <v>167936.49999999997</v>
      </c>
      <c r="D13" s="146">
        <f>'SF Spr.z całk.doch.'!G14</f>
        <v>20591.959999999992</v>
      </c>
      <c r="I13" s="1225"/>
      <c r="J13" s="1226" t="s">
        <v>3649</v>
      </c>
      <c r="K13" s="1226" t="s">
        <v>3457</v>
      </c>
    </row>
    <row r="14" spans="1:11">
      <c r="A14" s="14" t="s">
        <v>1432</v>
      </c>
      <c r="B14" s="473" t="s">
        <v>1431</v>
      </c>
      <c r="C14" s="16">
        <f>'SF Spr.z całk.doch.'!C15</f>
        <v>-888198.2799999991</v>
      </c>
      <c r="D14" s="146">
        <f>'SF Spr.z całk.doch.'!G15</f>
        <v>-1407256.8699999992</v>
      </c>
      <c r="I14" s="1227" t="s">
        <v>2756</v>
      </c>
      <c r="J14" s="1228">
        <v>4.2729999999999997</v>
      </c>
      <c r="K14" s="1229">
        <v>4.3479999999999999</v>
      </c>
    </row>
    <row r="15" spans="1:11" s="1356" customFormat="1">
      <c r="A15" s="1357" t="s">
        <v>1433</v>
      </c>
      <c r="B15" s="1364"/>
      <c r="C15" s="1362">
        <f>C12+C13+C14</f>
        <v>9827693.7999999989</v>
      </c>
      <c r="D15" s="1363">
        <f>D12+D13+D14</f>
        <v>5209476.4500009669</v>
      </c>
    </row>
    <row r="16" spans="1:11">
      <c r="A16" s="14" t="s">
        <v>1434</v>
      </c>
      <c r="B16" s="473" t="s">
        <v>1435</v>
      </c>
      <c r="C16" s="31">
        <f>'SF Spr.z całk.doch.'!C17</f>
        <v>-485661</v>
      </c>
      <c r="D16" s="147">
        <f>'SF Spr.z całk.doch.'!G17</f>
        <v>-1000738</v>
      </c>
    </row>
    <row r="17" spans="1:8">
      <c r="A17" s="14" t="s">
        <v>1436</v>
      </c>
      <c r="B17" s="473" t="s">
        <v>1462</v>
      </c>
      <c r="C17" s="31">
        <f>'SF Spr.z całk.doch.'!C18</f>
        <v>-1422800.01</v>
      </c>
      <c r="D17" s="147">
        <f>'SF Spr.z całk.doch.'!G18</f>
        <v>-3969596.39</v>
      </c>
    </row>
    <row r="18" spans="1:8" s="1356" customFormat="1" ht="15" thickBot="1">
      <c r="A18" s="1393" t="s">
        <v>1437</v>
      </c>
      <c r="B18" s="1394"/>
      <c r="C18" s="1395">
        <f>C17+C16+C15</f>
        <v>7919232.7899999991</v>
      </c>
      <c r="D18" s="1396">
        <f>D17+D16+D15</f>
        <v>239142.0600009663</v>
      </c>
    </row>
    <row r="19" spans="1:8" ht="15" thickTop="1">
      <c r="A19" s="19"/>
      <c r="B19" s="475"/>
      <c r="C19" s="16"/>
      <c r="D19" s="146"/>
    </row>
    <row r="20" spans="1:8" s="1356" customFormat="1">
      <c r="A20" s="1357" t="s">
        <v>3825</v>
      </c>
      <c r="B20" s="1365"/>
      <c r="C20" s="1366"/>
      <c r="D20" s="1367"/>
    </row>
    <row r="21" spans="1:8" s="1356" customFormat="1">
      <c r="A21" s="1357" t="s">
        <v>1439</v>
      </c>
      <c r="B21" s="1364"/>
      <c r="C21" s="1362"/>
      <c r="D21" s="1363"/>
    </row>
    <row r="22" spans="1:8">
      <c r="A22" s="14" t="s">
        <v>1440</v>
      </c>
      <c r="B22" s="474"/>
      <c r="C22" s="16"/>
      <c r="D22" s="146"/>
    </row>
    <row r="23" spans="1:8">
      <c r="A23" s="14" t="s">
        <v>1441</v>
      </c>
      <c r="B23" s="473"/>
      <c r="C23" s="16"/>
      <c r="D23" s="146"/>
    </row>
    <row r="24" spans="1:8" s="1356" customFormat="1">
      <c r="A24" s="1357" t="s">
        <v>1442</v>
      </c>
      <c r="B24" s="1364"/>
      <c r="C24" s="1362"/>
      <c r="D24" s="1363"/>
    </row>
    <row r="25" spans="1:8">
      <c r="A25" s="14" t="s">
        <v>1443</v>
      </c>
      <c r="B25" s="474"/>
      <c r="C25" s="16">
        <f>'SF Spr.z całk.doch.'!C26</f>
        <v>0</v>
      </c>
      <c r="D25" s="146">
        <v>180674.80000000002</v>
      </c>
      <c r="F25" s="1817" t="s">
        <v>3064</v>
      </c>
      <c r="G25" s="1817"/>
      <c r="H25" s="1817"/>
    </row>
    <row r="26" spans="1:8">
      <c r="A26" s="14" t="s">
        <v>1444</v>
      </c>
      <c r="B26" s="474"/>
      <c r="C26" s="16">
        <f>'SF Spr.z całk.doch.'!C27</f>
        <v>0</v>
      </c>
      <c r="D26" s="146">
        <v>-34328.21</v>
      </c>
      <c r="F26" s="52">
        <f>C26+C16+C17</f>
        <v>-1908461.01</v>
      </c>
      <c r="G26" s="52">
        <f>D26+D16+D17</f>
        <v>-5004662.5999999996</v>
      </c>
    </row>
    <row r="27" spans="1:8" s="1356" customFormat="1">
      <c r="A27" s="1357" t="s">
        <v>1445</v>
      </c>
      <c r="B27" s="1364"/>
      <c r="C27" s="1362">
        <f>C26+C25</f>
        <v>0</v>
      </c>
      <c r="D27" s="1363">
        <f>D26+D25</f>
        <v>146346.59000000003</v>
      </c>
    </row>
    <row r="28" spans="1:8">
      <c r="A28" s="19"/>
      <c r="B28" s="474"/>
      <c r="C28" s="13"/>
      <c r="D28" s="145"/>
    </row>
    <row r="29" spans="1:8" s="1177" customFormat="1" ht="15" thickBot="1">
      <c r="A29" s="1397" t="s">
        <v>1446</v>
      </c>
      <c r="B29" s="1398"/>
      <c r="C29" s="1399">
        <f>C27+C18</f>
        <v>7919232.7899999991</v>
      </c>
      <c r="D29" s="1400">
        <f>D27+D18</f>
        <v>385488.65000096633</v>
      </c>
    </row>
    <row r="30" spans="1:8" ht="15" thickTop="1">
      <c r="A30" s="19"/>
      <c r="B30" s="474"/>
      <c r="C30" s="547">
        <f>C29-'SF Spr.z całk.doch.'!C30</f>
        <v>0</v>
      </c>
      <c r="D30" s="547">
        <f>D29-'SF Spr.z całk.doch.'!D30</f>
        <v>-4.6566128730773926E-10</v>
      </c>
    </row>
    <row r="31" spans="1:8" ht="15" thickBot="1">
      <c r="A31" s="1183"/>
      <c r="B31" s="1184"/>
      <c r="C31" s="1185"/>
      <c r="D31" s="1186"/>
    </row>
    <row r="34" spans="1:5" s="1356" customFormat="1" ht="18.600000000000001" thickBot="1">
      <c r="A34" s="1352" t="s">
        <v>1493</v>
      </c>
      <c r="B34" s="1353"/>
      <c r="C34" s="1354"/>
      <c r="D34" s="1355"/>
    </row>
    <row r="35" spans="1:5">
      <c r="A35" s="1819"/>
      <c r="B35" s="1765" t="s">
        <v>1415</v>
      </c>
      <c r="C35" s="1401" t="s">
        <v>1449</v>
      </c>
      <c r="D35" s="1402" t="s">
        <v>1449</v>
      </c>
    </row>
    <row r="36" spans="1:5" ht="15" thickBot="1">
      <c r="A36" s="1820"/>
      <c r="B36" s="1766"/>
      <c r="C36" s="1403" t="s">
        <v>3859</v>
      </c>
      <c r="D36" s="1404" t="s">
        <v>3649</v>
      </c>
    </row>
    <row r="37" spans="1:5" s="1356" customFormat="1">
      <c r="A37" s="1357" t="s">
        <v>1451</v>
      </c>
      <c r="B37" s="1368"/>
      <c r="C37" s="1369">
        <f>SUM(C38:C47)</f>
        <v>33860652.019999996</v>
      </c>
      <c r="D37" s="1370">
        <f>SUM(D38:D47)</f>
        <v>37048617.649999902</v>
      </c>
    </row>
    <row r="38" spans="1:5">
      <c r="A38" s="14" t="s">
        <v>1452</v>
      </c>
      <c r="B38" s="37">
        <v>6</v>
      </c>
      <c r="C38" s="48">
        <f>'FC Spr.z syt.finans.'!B5</f>
        <v>22151879.409999989</v>
      </c>
      <c r="D38" s="477">
        <f>'FC Spr.z syt.finans.'!C5</f>
        <v>23191134.809999898</v>
      </c>
    </row>
    <row r="39" spans="1:5">
      <c r="A39" s="14" t="s">
        <v>1453</v>
      </c>
      <c r="B39" s="37">
        <v>7</v>
      </c>
      <c r="C39" s="48">
        <f>'FC Spr.z syt.finans.'!B6</f>
        <v>156655.69</v>
      </c>
      <c r="D39" s="477">
        <f>'FC Spr.z syt.finans.'!C6</f>
        <v>164346.50000000102</v>
      </c>
    </row>
    <row r="40" spans="1:5">
      <c r="A40" s="14" t="s">
        <v>1454</v>
      </c>
      <c r="B40" s="37">
        <v>8</v>
      </c>
      <c r="C40" s="48">
        <f>'FC Spr.z syt.finans.'!B7</f>
        <v>100630.32000001008</v>
      </c>
      <c r="D40" s="477">
        <f>'FC Spr.z syt.finans.'!C7</f>
        <v>116711.23999999999</v>
      </c>
    </row>
    <row r="41" spans="1:5">
      <c r="A41" s="14" t="s">
        <v>1455</v>
      </c>
      <c r="B41" s="37">
        <v>9</v>
      </c>
      <c r="C41" s="48">
        <f>'FC Spr.z syt.finans.'!B8</f>
        <v>6281098.8400000026</v>
      </c>
      <c r="D41" s="477">
        <f>'FC Spr.z syt.finans.'!C8</f>
        <v>6586382.2600000007</v>
      </c>
    </row>
    <row r="42" spans="1:5">
      <c r="A42" s="14" t="s">
        <v>1456</v>
      </c>
      <c r="B42" s="478" t="s">
        <v>3625</v>
      </c>
      <c r="C42" s="48">
        <f>'FC Spr.z syt.finans.'!B9</f>
        <v>0</v>
      </c>
      <c r="D42" s="477">
        <f>'FC Spr.z syt.finans.'!C9</f>
        <v>388324.52</v>
      </c>
      <c r="E42" s="1"/>
    </row>
    <row r="43" spans="1:5">
      <c r="A43" s="14" t="s">
        <v>1458</v>
      </c>
      <c r="B43" s="479"/>
      <c r="C43" s="48"/>
      <c r="D43" s="477"/>
    </row>
    <row r="44" spans="1:5">
      <c r="A44" s="14" t="s">
        <v>1459</v>
      </c>
      <c r="B44" s="479"/>
      <c r="C44" s="48"/>
      <c r="D44" s="477"/>
    </row>
    <row r="45" spans="1:5">
      <c r="A45" s="14" t="s">
        <v>1460</v>
      </c>
      <c r="B45" s="479"/>
      <c r="C45" s="48">
        <f>'FC Spr.z syt.finans.'!B10</f>
        <v>200</v>
      </c>
      <c r="D45" s="477">
        <f>'FC Spr.z syt.finans.'!C10</f>
        <v>200</v>
      </c>
    </row>
    <row r="46" spans="1:5">
      <c r="A46" s="14" t="s">
        <v>3742</v>
      </c>
      <c r="B46" s="479"/>
      <c r="C46" s="48">
        <f>'FC Spr.z syt.finans.'!B13</f>
        <v>0</v>
      </c>
      <c r="D46" s="477">
        <f>'FC Spr.z syt.finans.'!C13</f>
        <v>8530.5499999999902</v>
      </c>
    </row>
    <row r="47" spans="1:5">
      <c r="A47" s="14" t="s">
        <v>1461</v>
      </c>
      <c r="B47" s="478" t="s">
        <v>1462</v>
      </c>
      <c r="C47" s="48">
        <f>'FC Spr.z syt.finans.'!B15</f>
        <v>5170187.7599999942</v>
      </c>
      <c r="D47" s="477">
        <f>'FC Spr.z syt.finans.'!C15</f>
        <v>6592987.7700000033</v>
      </c>
    </row>
    <row r="48" spans="1:5">
      <c r="A48" s="10"/>
      <c r="B48" s="479"/>
      <c r="C48" s="47"/>
      <c r="D48" s="476"/>
    </row>
    <row r="49" spans="1:7" s="1356" customFormat="1">
      <c r="A49" s="1357" t="s">
        <v>1463</v>
      </c>
      <c r="B49" s="1371"/>
      <c r="C49" s="1369">
        <f>SUM(C50:C55)</f>
        <v>38986432.899999969</v>
      </c>
      <c r="D49" s="1370">
        <f>SUM(D50:D55)</f>
        <v>34673503.059999995</v>
      </c>
      <c r="E49" s="1354">
        <f>C49-'bilans '!B106</f>
        <v>0</v>
      </c>
    </row>
    <row r="50" spans="1:7">
      <c r="A50" s="14" t="s">
        <v>1464</v>
      </c>
      <c r="B50" s="478" t="s">
        <v>3626</v>
      </c>
      <c r="C50" s="48">
        <f>'FC Spr.z syt.finans.'!B20</f>
        <v>7840534.6899999911</v>
      </c>
      <c r="D50" s="477">
        <f>'FC Spr.z syt.finans.'!C20</f>
        <v>1843364.92</v>
      </c>
      <c r="G50" s="477"/>
    </row>
    <row r="51" spans="1:7">
      <c r="A51" s="1018" t="s">
        <v>1465</v>
      </c>
      <c r="B51" s="1019" t="s">
        <v>3625</v>
      </c>
      <c r="C51" s="48">
        <f>'FC Spr.z syt.finans.'!B24+'FC Spr.z syt.finans.'!B25+'FC Spr.z syt.finans.'!B22</f>
        <v>28008789.949999977</v>
      </c>
      <c r="D51" s="477">
        <f>'FC Spr.z syt.finans.'!C24+'FC Spr.z syt.finans.'!C25+'FC Spr.z syt.finans.'!C22</f>
        <v>29702850.569999997</v>
      </c>
      <c r="E51" s="5"/>
    </row>
    <row r="52" spans="1:7">
      <c r="A52" s="14" t="s">
        <v>1466</v>
      </c>
      <c r="B52" s="479"/>
      <c r="C52" s="48"/>
      <c r="D52" s="477"/>
    </row>
    <row r="53" spans="1:7">
      <c r="A53" s="14" t="s">
        <v>1467</v>
      </c>
      <c r="B53" s="478" t="s">
        <v>3627</v>
      </c>
      <c r="C53" s="48">
        <f>'FC Spr.z syt.finans.'!B28</f>
        <v>2606199.5899999985</v>
      </c>
      <c r="D53" s="477">
        <f>'FC Spr.z syt.finans.'!C28</f>
        <v>1776090.8399999999</v>
      </c>
    </row>
    <row r="54" spans="1:7">
      <c r="A54" s="14" t="s">
        <v>1468</v>
      </c>
      <c r="B54" s="478" t="s">
        <v>3628</v>
      </c>
      <c r="C54" s="48">
        <f>'FC Spr.z syt.finans.'!B29</f>
        <v>530908.67000000016</v>
      </c>
      <c r="D54" s="477">
        <f>'FC Spr.z syt.finans.'!C29</f>
        <v>1351196.7300000002</v>
      </c>
    </row>
    <row r="55" spans="1:7">
      <c r="A55" s="10"/>
      <c r="B55" s="479"/>
      <c r="C55" s="47"/>
      <c r="D55" s="476"/>
    </row>
    <row r="56" spans="1:7" s="1356" customFormat="1" ht="15" thickBot="1">
      <c r="A56" s="1393" t="s">
        <v>1469</v>
      </c>
      <c r="B56" s="1405"/>
      <c r="C56" s="1406">
        <f>C49+C37</f>
        <v>72847084.919999957</v>
      </c>
      <c r="D56" s="1407">
        <f>D49+D37</f>
        <v>71722120.709999889</v>
      </c>
    </row>
    <row r="57" spans="1:7" ht="15" thickTop="1">
      <c r="A57" s="40"/>
      <c r="B57" s="479"/>
      <c r="C57" s="50"/>
      <c r="D57" s="480"/>
    </row>
    <row r="58" spans="1:7" s="1356" customFormat="1">
      <c r="A58" s="1357" t="s">
        <v>3826</v>
      </c>
      <c r="B58" s="1371"/>
      <c r="C58" s="1369">
        <f>SUM(C59:C62)</f>
        <v>19058412.740000002</v>
      </c>
      <c r="D58" s="1370">
        <f>SUM(D59:D62)</f>
        <v>11139179.950001076</v>
      </c>
    </row>
    <row r="59" spans="1:7">
      <c r="A59" s="14" t="s">
        <v>1260</v>
      </c>
      <c r="B59" s="478" t="s">
        <v>3629</v>
      </c>
      <c r="C59" s="48">
        <f>'FC Spr.z syt.finans.'!B37</f>
        <v>34874500</v>
      </c>
      <c r="D59" s="477">
        <f>'FC Spr.z syt.finans.'!C37</f>
        <v>34874500</v>
      </c>
    </row>
    <row r="60" spans="1:7">
      <c r="A60" s="14" t="s">
        <v>1472</v>
      </c>
      <c r="B60" s="478" t="s">
        <v>3630</v>
      </c>
      <c r="C60" s="48"/>
      <c r="D60" s="477"/>
    </row>
    <row r="61" spans="1:7">
      <c r="A61" s="14" t="s">
        <v>1474</v>
      </c>
      <c r="B61" s="479"/>
      <c r="C61" s="48"/>
      <c r="D61" s="477"/>
    </row>
    <row r="62" spans="1:7">
      <c r="A62" s="14" t="s">
        <v>1475</v>
      </c>
      <c r="B62" s="478" t="s">
        <v>3631</v>
      </c>
      <c r="C62" s="48">
        <f>'FC Spr.z syt.finans.'!B45+'FC Spr.z syt.finans.'!B46</f>
        <v>-15816087.259999996</v>
      </c>
      <c r="D62" s="477">
        <f>'FC Spr.z syt.finans.'!C45+'FC Spr.z syt.finans.'!C46</f>
        <v>-23735320.049998924</v>
      </c>
    </row>
    <row r="63" spans="1:7">
      <c r="A63" s="19"/>
      <c r="B63" s="479"/>
      <c r="C63" s="47"/>
      <c r="D63" s="476"/>
    </row>
    <row r="64" spans="1:7" s="1356" customFormat="1">
      <c r="A64" s="1357" t="s">
        <v>1477</v>
      </c>
      <c r="B64" s="1371"/>
      <c r="C64" s="1369">
        <f>SUM(C65:C69)</f>
        <v>22080419.389999989</v>
      </c>
      <c r="D64" s="1370">
        <f>SUM(D65:D69)</f>
        <v>23239843.749999981</v>
      </c>
    </row>
    <row r="65" spans="1:5">
      <c r="A65" s="14" t="s">
        <v>1478</v>
      </c>
      <c r="B65" s="478" t="s">
        <v>3632</v>
      </c>
      <c r="C65" s="48">
        <f>'FC Spr.z syt.finans.'!B58</f>
        <v>14821394.29999999</v>
      </c>
      <c r="D65" s="477">
        <f>'FC Spr.z syt.finans.'!C58</f>
        <v>15437371.29999999</v>
      </c>
    </row>
    <row r="66" spans="1:5">
      <c r="A66" s="14" t="s">
        <v>1479</v>
      </c>
      <c r="B66" s="478" t="s">
        <v>3633</v>
      </c>
      <c r="C66" s="48">
        <f>'FC Spr.z syt.finans.'!B53</f>
        <v>6728383.5299999993</v>
      </c>
      <c r="D66" s="477">
        <f>'FC Spr.z syt.finans.'!C53</f>
        <v>6976735.3299999889</v>
      </c>
    </row>
    <row r="67" spans="1:5">
      <c r="A67" s="14" t="s">
        <v>1466</v>
      </c>
      <c r="B67" s="479"/>
      <c r="C67" s="48"/>
      <c r="D67" s="477"/>
    </row>
    <row r="68" spans="1:5">
      <c r="A68" s="14" t="s">
        <v>1481</v>
      </c>
      <c r="B68" s="479"/>
      <c r="C68" s="48"/>
      <c r="D68" s="477"/>
    </row>
    <row r="69" spans="1:5">
      <c r="A69" s="14" t="s">
        <v>1482</v>
      </c>
      <c r="B69" s="478" t="s">
        <v>3634</v>
      </c>
      <c r="C69" s="48">
        <f>'FC Spr.z syt.finans.'!B56</f>
        <v>530641.56000000006</v>
      </c>
      <c r="D69" s="477">
        <f>'FC Spr.z syt.finans.'!C56</f>
        <v>825737.12</v>
      </c>
    </row>
    <row r="70" spans="1:5">
      <c r="A70" s="10"/>
      <c r="B70" s="479"/>
      <c r="C70" s="47"/>
      <c r="D70" s="476"/>
    </row>
    <row r="71" spans="1:5" s="1356" customFormat="1">
      <c r="A71" s="1357" t="s">
        <v>1484</v>
      </c>
      <c r="B71" s="1371"/>
      <c r="C71" s="1369">
        <f>SUM(C72:C78)</f>
        <v>31708252.789999858</v>
      </c>
      <c r="D71" s="1370">
        <f>SUM(D72:D78)</f>
        <v>37343097.009999841</v>
      </c>
    </row>
    <row r="72" spans="1:5">
      <c r="A72" s="14" t="s">
        <v>1485</v>
      </c>
      <c r="B72" s="478" t="s">
        <v>3632</v>
      </c>
      <c r="C72" s="48">
        <f>'FC Spr.z syt.finans.'!B75</f>
        <v>2248540.1799999988</v>
      </c>
      <c r="D72" s="477">
        <f>'FC Spr.z syt.finans.'!C75</f>
        <v>2220289.5699999998</v>
      </c>
    </row>
    <row r="73" spans="1:5">
      <c r="A73" s="14" t="s">
        <v>1486</v>
      </c>
      <c r="B73" s="478" t="s">
        <v>3633</v>
      </c>
      <c r="C73" s="48">
        <f>'FC Spr.z syt.finans.'!B67</f>
        <v>465525.50000000006</v>
      </c>
      <c r="D73" s="477">
        <f>'FC Spr.z syt.finans.'!C67</f>
        <v>455955.41000000003</v>
      </c>
    </row>
    <row r="74" spans="1:5">
      <c r="A74" s="14" t="s">
        <v>1466</v>
      </c>
      <c r="B74" s="479"/>
      <c r="C74" s="48"/>
      <c r="D74" s="477"/>
    </row>
    <row r="75" spans="1:5">
      <c r="A75" s="1018" t="s">
        <v>1487</v>
      </c>
      <c r="B75" s="1019" t="s">
        <v>3634</v>
      </c>
      <c r="C75" s="48">
        <f>'FC Spr.z syt.finans.'!B65+'FC Spr.z syt.finans.'!B71</f>
        <v>13763745.049999896</v>
      </c>
      <c r="D75" s="477">
        <f>'FC Spr.z syt.finans.'!C65+'FC Spr.z syt.finans.'!C71</f>
        <v>9841693.9099998791</v>
      </c>
      <c r="E75" s="384"/>
    </row>
    <row r="76" spans="1:5">
      <c r="A76" s="14" t="s">
        <v>1488</v>
      </c>
      <c r="B76" s="479"/>
      <c r="C76" s="48">
        <f>'FC Spr.z syt.finans.'!B73</f>
        <v>31513</v>
      </c>
      <c r="D76" s="477">
        <f>'FC Spr.z syt.finans.'!C73</f>
        <v>0</v>
      </c>
    </row>
    <row r="77" spans="1:5">
      <c r="A77" s="14" t="s">
        <v>1489</v>
      </c>
      <c r="B77" s="478" t="s">
        <v>2959</v>
      </c>
      <c r="C77" s="48">
        <f>'FC Spr.z syt.finans.'!B74</f>
        <v>0</v>
      </c>
      <c r="D77" s="477">
        <f>'FC Spr.z syt.finans.'!C74</f>
        <v>106435.2</v>
      </c>
    </row>
    <row r="78" spans="1:5">
      <c r="A78" s="14" t="s">
        <v>1490</v>
      </c>
      <c r="B78" s="478" t="s">
        <v>3635</v>
      </c>
      <c r="C78" s="48">
        <f>'FC Spr.z syt.finans.'!B72</f>
        <v>15198929.059999961</v>
      </c>
      <c r="D78" s="477">
        <f>'FC Spr.z syt.finans.'!C72</f>
        <v>24718722.919999961</v>
      </c>
    </row>
    <row r="79" spans="1:5">
      <c r="A79" s="19"/>
      <c r="B79" s="479"/>
      <c r="C79" s="47"/>
      <c r="D79" s="476"/>
    </row>
    <row r="80" spans="1:5" s="1356" customFormat="1">
      <c r="A80" s="1372" t="s">
        <v>1491</v>
      </c>
      <c r="B80" s="1373"/>
      <c r="C80" s="1369">
        <f>C71+C64</f>
        <v>53788672.179999843</v>
      </c>
      <c r="D80" s="1370">
        <f>D71+D64</f>
        <v>60582940.759999827</v>
      </c>
    </row>
    <row r="81" spans="1:6" s="1356" customFormat="1" ht="15" thickBot="1">
      <c r="A81" s="1393" t="s">
        <v>1492</v>
      </c>
      <c r="B81" s="1408"/>
      <c r="C81" s="1406">
        <f>C80+C58</f>
        <v>72847084.919999838</v>
      </c>
      <c r="D81" s="1407">
        <f>D80+D58</f>
        <v>71722120.710000902</v>
      </c>
    </row>
    <row r="82" spans="1:6" ht="15" thickTop="1">
      <c r="C82" s="1632">
        <f>C81-C56</f>
        <v>-1.1920928955078125E-7</v>
      </c>
      <c r="D82" s="640">
        <f>D81-D56</f>
        <v>1.0132789611816406E-6</v>
      </c>
    </row>
    <row r="83" spans="1:6">
      <c r="C83" s="580">
        <f>C81-'FC Spr.z syt.finans.'!B83</f>
        <v>0</v>
      </c>
      <c r="D83" s="580">
        <f>D81-'FC Spr.z syt.finans.'!C83</f>
        <v>0</v>
      </c>
    </row>
    <row r="84" spans="1:6" s="1356" customFormat="1" ht="18.600000000000001" thickBot="1">
      <c r="A84" s="1352" t="s">
        <v>1511</v>
      </c>
      <c r="B84" s="1353"/>
      <c r="C84" s="1354"/>
      <c r="D84" s="1355"/>
    </row>
    <row r="85" spans="1:6">
      <c r="A85" s="1821"/>
      <c r="B85" s="1409" t="s">
        <v>1495</v>
      </c>
      <c r="C85" s="1409" t="s">
        <v>1495</v>
      </c>
      <c r="D85" s="1765" t="s">
        <v>1498</v>
      </c>
      <c r="E85" s="1409" t="s">
        <v>1499</v>
      </c>
      <c r="F85" s="1409" t="s">
        <v>1501</v>
      </c>
    </row>
    <row r="86" spans="1:6" ht="15" thickBot="1">
      <c r="A86" s="1822"/>
      <c r="B86" s="1410" t="s">
        <v>1496</v>
      </c>
      <c r="C86" s="1410" t="s">
        <v>1497</v>
      </c>
      <c r="D86" s="1766"/>
      <c r="E86" s="1410" t="s">
        <v>1500</v>
      </c>
      <c r="F86" s="1410" t="s">
        <v>1502</v>
      </c>
    </row>
    <row r="87" spans="1:6" s="1356" customFormat="1">
      <c r="A87" s="1374" t="s">
        <v>1415</v>
      </c>
      <c r="B87" s="1375" t="s">
        <v>3629</v>
      </c>
      <c r="C87" s="1375" t="s">
        <v>3630</v>
      </c>
      <c r="D87" s="1376"/>
      <c r="E87" s="1375" t="s">
        <v>3631</v>
      </c>
      <c r="F87" s="1377"/>
    </row>
    <row r="88" spans="1:6" s="1356" customFormat="1" ht="14.4" customHeight="1" thickBot="1">
      <c r="A88" s="1411" t="s">
        <v>3860</v>
      </c>
      <c r="B88" s="1412">
        <v>34874500</v>
      </c>
      <c r="C88" s="1413">
        <v>0</v>
      </c>
      <c r="D88" s="1413">
        <v>0</v>
      </c>
      <c r="E88" s="1412">
        <v>-24120808.700000703</v>
      </c>
      <c r="F88" s="1412">
        <f t="shared" ref="F88:F91" si="0">SUM(B88:E88)</f>
        <v>10753691.299999297</v>
      </c>
    </row>
    <row r="89" spans="1:6" ht="15" thickTop="1">
      <c r="A89" s="1197" t="s">
        <v>1503</v>
      </c>
      <c r="B89" s="1198"/>
      <c r="C89" s="1199"/>
      <c r="D89" s="1199"/>
      <c r="E89" s="1200">
        <v>239142.06000096677</v>
      </c>
      <c r="F89" s="1201">
        <f t="shared" si="0"/>
        <v>239142.06000096677</v>
      </c>
    </row>
    <row r="90" spans="1:6">
      <c r="A90" s="1197" t="s">
        <v>1504</v>
      </c>
      <c r="B90" s="1198"/>
      <c r="C90" s="1199"/>
      <c r="D90" s="1199"/>
      <c r="E90" s="1200">
        <v>146346.59000000003</v>
      </c>
      <c r="F90" s="1201">
        <f t="shared" si="0"/>
        <v>146346.59000000003</v>
      </c>
    </row>
    <row r="91" spans="1:6" s="1356" customFormat="1" ht="15" thickBot="1">
      <c r="A91" s="1414" t="s">
        <v>1505</v>
      </c>
      <c r="B91" s="1415"/>
      <c r="C91" s="1416"/>
      <c r="D91" s="1416"/>
      <c r="E91" s="1415">
        <f>E90+E89</f>
        <v>385488.65000096679</v>
      </c>
      <c r="F91" s="1415">
        <f t="shared" si="0"/>
        <v>385488.65000096679</v>
      </c>
    </row>
    <row r="92" spans="1:6">
      <c r="A92" s="1202"/>
      <c r="B92" s="1203"/>
      <c r="C92" s="1204"/>
      <c r="D92" s="1204"/>
      <c r="E92" s="1203"/>
      <c r="F92" s="1203"/>
    </row>
    <row r="93" spans="1:6">
      <c r="A93" s="1197" t="s">
        <v>1506</v>
      </c>
      <c r="B93" s="1205"/>
      <c r="C93" s="1206"/>
      <c r="D93" s="1206"/>
      <c r="E93" s="1205"/>
      <c r="F93" s="1207">
        <f t="shared" ref="F93:F103" si="1">SUM(B93:E93)</f>
        <v>0</v>
      </c>
    </row>
    <row r="94" spans="1:6">
      <c r="A94" s="1197" t="s">
        <v>1507</v>
      </c>
      <c r="B94" s="1205"/>
      <c r="C94" s="1206"/>
      <c r="D94" s="1206"/>
      <c r="E94" s="1205"/>
      <c r="F94" s="1207">
        <f t="shared" si="1"/>
        <v>0</v>
      </c>
    </row>
    <row r="95" spans="1:6">
      <c r="A95" s="1197" t="s">
        <v>1508</v>
      </c>
      <c r="B95" s="1208"/>
      <c r="C95" s="1206" t="s">
        <v>1509</v>
      </c>
      <c r="D95" s="1206"/>
      <c r="E95" s="1209"/>
      <c r="F95" s="1207">
        <f t="shared" si="1"/>
        <v>0</v>
      </c>
    </row>
    <row r="96" spans="1:6" s="1356" customFormat="1" ht="15" thickBot="1">
      <c r="A96" s="1393" t="s">
        <v>3653</v>
      </c>
      <c r="B96" s="1412">
        <f>B91+B88</f>
        <v>34874500</v>
      </c>
      <c r="C96" s="1412">
        <f>C91+C88</f>
        <v>0</v>
      </c>
      <c r="D96" s="1412">
        <f>D91+D88</f>
        <v>0</v>
      </c>
      <c r="E96" s="1412">
        <f>E91+E88+E95+E94+E93</f>
        <v>-23735320.049999736</v>
      </c>
      <c r="F96" s="1412">
        <f t="shared" si="1"/>
        <v>11139179.950000264</v>
      </c>
    </row>
    <row r="97" spans="1:7" ht="15" thickTop="1">
      <c r="A97" s="1210" t="s">
        <v>1503</v>
      </c>
      <c r="B97" s="1211"/>
      <c r="C97" s="1212"/>
      <c r="D97" s="1212"/>
      <c r="E97" s="1211">
        <f>'SF Spr.z całk.doch.'!C19</f>
        <v>7919232.7899999991</v>
      </c>
      <c r="F97" s="1213">
        <f t="shared" si="1"/>
        <v>7919232.7899999991</v>
      </c>
    </row>
    <row r="98" spans="1:7">
      <c r="A98" s="1210" t="s">
        <v>1504</v>
      </c>
      <c r="B98" s="1211"/>
      <c r="C98" s="1212"/>
      <c r="D98" s="1212"/>
      <c r="E98" s="1211">
        <f>'SF Spr.z całk.doch.'!C28</f>
        <v>0</v>
      </c>
      <c r="F98" s="1213">
        <f t="shared" si="1"/>
        <v>0</v>
      </c>
    </row>
    <row r="99" spans="1:7" s="1356" customFormat="1">
      <c r="A99" s="1378" t="s">
        <v>1505</v>
      </c>
      <c r="B99" s="1379"/>
      <c r="C99" s="1380"/>
      <c r="D99" s="1380"/>
      <c r="E99" s="1379">
        <f>E98+E97</f>
        <v>7919232.7899999991</v>
      </c>
      <c r="F99" s="1379">
        <f t="shared" si="1"/>
        <v>7919232.7899999991</v>
      </c>
    </row>
    <row r="100" spans="1:7">
      <c r="A100" s="1216"/>
      <c r="B100" s="1217"/>
      <c r="C100" s="1218"/>
      <c r="D100" s="1218"/>
      <c r="E100" s="1217"/>
      <c r="F100" s="1217">
        <f t="shared" si="1"/>
        <v>0</v>
      </c>
    </row>
    <row r="101" spans="1:7">
      <c r="A101" s="1219" t="s">
        <v>1506</v>
      </c>
      <c r="B101" s="1220"/>
      <c r="C101" s="1221"/>
      <c r="D101" s="1221"/>
      <c r="E101" s="1220"/>
      <c r="F101" s="1222">
        <f t="shared" si="1"/>
        <v>0</v>
      </c>
    </row>
    <row r="102" spans="1:7">
      <c r="A102" s="1210" t="s">
        <v>1508</v>
      </c>
      <c r="B102" s="1220"/>
      <c r="C102" s="1221"/>
      <c r="D102" s="1221"/>
      <c r="E102" s="1220">
        <f>'SF Kapitały'!F20+'SF Kapitały'!E20</f>
        <v>0</v>
      </c>
      <c r="F102" s="1222">
        <f t="shared" si="1"/>
        <v>0</v>
      </c>
    </row>
    <row r="103" spans="1:7" s="1356" customFormat="1" ht="15" thickBot="1">
      <c r="A103" s="1417" t="s">
        <v>3861</v>
      </c>
      <c r="B103" s="1406">
        <f>B96+B99+B101+B102</f>
        <v>34874500</v>
      </c>
      <c r="C103" s="1406">
        <f>C96+C99+C101+C102</f>
        <v>0</v>
      </c>
      <c r="D103" s="1406">
        <f>D96+D99+D101+D102</f>
        <v>0</v>
      </c>
      <c r="E103" s="1406">
        <f>E96+E99+E101+E102</f>
        <v>-15816087.259999737</v>
      </c>
      <c r="F103" s="1406">
        <f t="shared" si="1"/>
        <v>19058412.740000263</v>
      </c>
      <c r="G103" s="1381">
        <f>F103-'bilans, RZiS,przepływy,kapitały'!C58</f>
        <v>2.6077032089233398E-7</v>
      </c>
    </row>
    <row r="104" spans="1:7" ht="15" thickTop="1"/>
    <row r="105" spans="1:7" s="1356" customFormat="1" ht="18.600000000000001" thickBot="1">
      <c r="A105" s="1352" t="s">
        <v>2053</v>
      </c>
      <c r="B105" s="1353"/>
      <c r="C105" s="1354"/>
      <c r="D105" s="1355"/>
    </row>
    <row r="106" spans="1:7" ht="12.6" customHeight="1">
      <c r="A106" s="1823"/>
      <c r="B106" s="1765" t="s">
        <v>1415</v>
      </c>
      <c r="C106" s="1401" t="s">
        <v>2009</v>
      </c>
      <c r="D106" s="1402" t="s">
        <v>2009</v>
      </c>
    </row>
    <row r="107" spans="1:7" ht="9.6" customHeight="1" thickBot="1">
      <c r="A107" s="1824"/>
      <c r="B107" s="1766"/>
      <c r="C107" s="1403" t="s">
        <v>3859</v>
      </c>
      <c r="D107" s="1404" t="s">
        <v>3649</v>
      </c>
    </row>
    <row r="108" spans="1:7" s="1356" customFormat="1">
      <c r="A108" s="1372" t="s">
        <v>2054</v>
      </c>
      <c r="B108" s="1382"/>
      <c r="C108" s="1383"/>
      <c r="D108" s="1384"/>
    </row>
    <row r="109" spans="1:7" s="1356" customFormat="1">
      <c r="A109" s="1372" t="s">
        <v>3809</v>
      </c>
      <c r="B109" s="1368"/>
      <c r="C109" s="1369">
        <f>'FC Spr.z przepł.pien.'!B4</f>
        <v>9827693.799999997</v>
      </c>
      <c r="D109" s="1370">
        <v>5209476.450000966</v>
      </c>
    </row>
    <row r="110" spans="1:7">
      <c r="A110" s="188" t="s">
        <v>2044</v>
      </c>
      <c r="B110" s="189">
        <v>25</v>
      </c>
      <c r="C110" s="190">
        <f>'FC Spr.z przepł.pien.'!B17</f>
        <v>-400923.99999999092</v>
      </c>
      <c r="D110" s="482">
        <v>-1183817.0000000168</v>
      </c>
    </row>
    <row r="111" spans="1:7">
      <c r="A111" s="188"/>
      <c r="B111" s="191"/>
      <c r="C111" s="190"/>
      <c r="D111" s="482"/>
    </row>
    <row r="112" spans="1:7">
      <c r="A112" s="192" t="s">
        <v>1513</v>
      </c>
      <c r="B112" s="178"/>
      <c r="C112" s="48"/>
      <c r="D112" s="477"/>
    </row>
    <row r="113" spans="1:5">
      <c r="A113" s="188" t="s">
        <v>2056</v>
      </c>
      <c r="B113" s="478" t="s">
        <v>3636</v>
      </c>
      <c r="C113" s="190">
        <f>'FC Spr.z przepł.pien.'!B7</f>
        <v>2197321.12</v>
      </c>
      <c r="D113" s="482">
        <v>3483606.1899999995</v>
      </c>
    </row>
    <row r="114" spans="1:5">
      <c r="A114" s="188" t="s">
        <v>2057</v>
      </c>
      <c r="B114" s="189">
        <v>25</v>
      </c>
      <c r="C114" s="484">
        <f>'FC Spr.z przepł.pien.'!B8</f>
        <v>100906.8999999989</v>
      </c>
      <c r="D114" s="482">
        <v>540793.21999999904</v>
      </c>
    </row>
    <row r="115" spans="1:5">
      <c r="A115" s="188" t="s">
        <v>2058</v>
      </c>
      <c r="B115" s="189">
        <v>25</v>
      </c>
      <c r="C115" s="484">
        <f>'FC Spr.z przepł.pien.'!B9</f>
        <v>0</v>
      </c>
      <c r="D115" s="482">
        <v>12026.45</v>
      </c>
    </row>
    <row r="116" spans="1:5">
      <c r="A116" s="188" t="s">
        <v>2017</v>
      </c>
      <c r="B116" s="189">
        <v>25</v>
      </c>
      <c r="C116" s="484">
        <f>'FC Spr.z przepł.pien.'!B10</f>
        <v>1167300.3800000106</v>
      </c>
      <c r="D116" s="482">
        <v>1095251.1799998959</v>
      </c>
    </row>
    <row r="117" spans="1:5">
      <c r="A117" s="188" t="s">
        <v>2025</v>
      </c>
      <c r="B117" s="189">
        <v>25</v>
      </c>
      <c r="C117" s="484">
        <f>'FC Spr.z przepł.pien.'!B11</f>
        <v>-5997169.7699999912</v>
      </c>
      <c r="D117" s="482">
        <v>426343.21999998903</v>
      </c>
    </row>
    <row r="118" spans="1:5">
      <c r="A118" s="188" t="s">
        <v>2059</v>
      </c>
      <c r="B118" s="189">
        <v>25</v>
      </c>
      <c r="C118" s="190">
        <f>'FC Spr.z przepł.pien.'!B12</f>
        <v>-5994706.2299999828</v>
      </c>
      <c r="D118" s="482">
        <v>-5717243.3300001118</v>
      </c>
    </row>
    <row r="119" spans="1:5">
      <c r="A119" s="188" t="s">
        <v>2035</v>
      </c>
      <c r="B119" s="189">
        <v>25</v>
      </c>
      <c r="C119" s="190">
        <f>'FC Spr.z przepł.pien.'!B13+'FC Spr.z przepł.pien.'!B15</f>
        <v>-936543.94999999856</v>
      </c>
      <c r="D119" s="482">
        <v>978838.75000000023</v>
      </c>
    </row>
    <row r="120" spans="1:5">
      <c r="A120" s="188" t="s">
        <v>2039</v>
      </c>
      <c r="B120" s="189">
        <v>25</v>
      </c>
      <c r="C120" s="190">
        <f>'FC Spr.z przepł.pien.'!B16</f>
        <v>-587726.39000000106</v>
      </c>
      <c r="D120" s="482">
        <v>-1874397.2300000002</v>
      </c>
    </row>
    <row r="121" spans="1:5">
      <c r="A121" s="188" t="s">
        <v>2023</v>
      </c>
      <c r="B121" s="189">
        <v>25</v>
      </c>
      <c r="C121" s="190">
        <f>'FC Spr.z przepł.pien.'!B20</f>
        <v>-1.1725351214408875E-6</v>
      </c>
      <c r="D121" s="482">
        <v>-1.1548399925231934E-7</v>
      </c>
    </row>
    <row r="122" spans="1:5" s="1356" customFormat="1" ht="15" thickBot="1">
      <c r="A122" s="1418" t="s">
        <v>2060</v>
      </c>
      <c r="B122" s="1419"/>
      <c r="C122" s="1406">
        <f>SUM(C109:C121)</f>
        <v>-623848.14000113192</v>
      </c>
      <c r="D122" s="1407">
        <v>2970877.9000006057</v>
      </c>
      <c r="E122" s="1381">
        <f>C122-'FC Spr.z przepł.pien.'!B21</f>
        <v>-1.6298145055770874E-9</v>
      </c>
    </row>
    <row r="123" spans="1:5" ht="6.6" customHeight="1" thickTop="1">
      <c r="A123" s="195"/>
      <c r="B123" s="42"/>
      <c r="C123" s="196"/>
      <c r="D123" s="483"/>
    </row>
    <row r="124" spans="1:5" s="1356" customFormat="1">
      <c r="A124" s="1372" t="s">
        <v>2061</v>
      </c>
      <c r="B124" s="1818"/>
      <c r="C124" s="1369"/>
      <c r="D124" s="1385"/>
    </row>
    <row r="125" spans="1:5">
      <c r="A125" s="188" t="s">
        <v>2062</v>
      </c>
      <c r="B125" s="1818"/>
      <c r="C125" s="203">
        <f>'FC Spr.z przepł.pien.'!B23</f>
        <v>0</v>
      </c>
      <c r="D125" s="581">
        <v>0</v>
      </c>
    </row>
    <row r="126" spans="1:5">
      <c r="A126" s="188" t="s">
        <v>2063</v>
      </c>
      <c r="B126" s="197"/>
      <c r="C126" s="190">
        <f>'FC Spr.z przepł.pien.'!B24</f>
        <v>-710258.26999999897</v>
      </c>
      <c r="D126" s="482">
        <v>-1824666.31</v>
      </c>
    </row>
    <row r="127" spans="1:5">
      <c r="A127" s="188" t="s">
        <v>2064</v>
      </c>
      <c r="B127" s="197"/>
      <c r="C127" s="190"/>
      <c r="D127" s="482"/>
    </row>
    <row r="128" spans="1:5">
      <c r="A128" s="188" t="s">
        <v>2065</v>
      </c>
      <c r="B128" s="197"/>
      <c r="C128" s="190"/>
      <c r="D128" s="482"/>
    </row>
    <row r="129" spans="1:4">
      <c r="A129" s="188" t="s">
        <v>2066</v>
      </c>
      <c r="B129" s="198"/>
      <c r="C129" s="190"/>
      <c r="D129" s="482"/>
    </row>
    <row r="130" spans="1:4">
      <c r="A130" s="188" t="s">
        <v>2067</v>
      </c>
      <c r="B130" s="197"/>
      <c r="C130" s="190"/>
      <c r="D130" s="482"/>
    </row>
    <row r="131" spans="1:4">
      <c r="A131" s="188" t="s">
        <v>2068</v>
      </c>
      <c r="B131" s="197"/>
      <c r="C131" s="190"/>
      <c r="D131" s="482"/>
    </row>
    <row r="132" spans="1:4">
      <c r="A132" s="188" t="s">
        <v>2069</v>
      </c>
      <c r="B132" s="197"/>
      <c r="C132" s="190"/>
      <c r="D132" s="482"/>
    </row>
    <row r="133" spans="1:4">
      <c r="A133" s="188" t="s">
        <v>2070</v>
      </c>
      <c r="B133" s="197"/>
      <c r="C133" s="190"/>
      <c r="D133" s="482"/>
    </row>
    <row r="134" spans="1:4">
      <c r="A134" s="188" t="s">
        <v>2071</v>
      </c>
      <c r="B134" s="197"/>
      <c r="C134" s="190">
        <f>'FC Spr.z przepł.pien.'!B41</f>
        <v>0</v>
      </c>
      <c r="D134" s="482">
        <v>-3685250.4000000004</v>
      </c>
    </row>
    <row r="135" spans="1:4">
      <c r="A135" s="188" t="s">
        <v>2072</v>
      </c>
      <c r="B135" s="197"/>
      <c r="C135" s="190"/>
      <c r="D135" s="482"/>
    </row>
    <row r="136" spans="1:4">
      <c r="A136" s="188" t="s">
        <v>2073</v>
      </c>
      <c r="B136" s="197"/>
      <c r="C136" s="190">
        <f>'FC Spr.z przepł.pien.'!B40</f>
        <v>117266.21999999999</v>
      </c>
      <c r="D136" s="482">
        <v>15765.25</v>
      </c>
    </row>
    <row r="137" spans="1:4">
      <c r="A137" s="188" t="s">
        <v>2074</v>
      </c>
      <c r="B137" s="197"/>
      <c r="C137" s="190"/>
      <c r="D137" s="482"/>
    </row>
    <row r="138" spans="1:4">
      <c r="A138" s="188" t="s">
        <v>2023</v>
      </c>
      <c r="B138" s="197"/>
      <c r="C138" s="190"/>
      <c r="D138" s="482"/>
    </row>
    <row r="139" spans="1:4" s="1356" customFormat="1" ht="15" thickBot="1">
      <c r="A139" s="1418" t="s">
        <v>2075</v>
      </c>
      <c r="B139" s="1419"/>
      <c r="C139" s="1406">
        <f>SUM(C125:C138)</f>
        <v>-592992.049999999</v>
      </c>
      <c r="D139" s="1407">
        <v>-5494151.4600000009</v>
      </c>
    </row>
    <row r="140" spans="1:4" ht="6.6" customHeight="1" thickTop="1">
      <c r="A140" s="195"/>
      <c r="B140" s="42"/>
      <c r="C140" s="196"/>
      <c r="D140" s="483"/>
    </row>
    <row r="141" spans="1:4" s="1356" customFormat="1">
      <c r="A141" s="1372" t="s">
        <v>2076</v>
      </c>
      <c r="B141" s="1382"/>
      <c r="C141" s="1386"/>
      <c r="D141" s="1387"/>
    </row>
    <row r="142" spans="1:4">
      <c r="A142" s="188" t="s">
        <v>2077</v>
      </c>
      <c r="B142" s="204"/>
      <c r="C142" s="203">
        <f>'FC Spr.z przepł.pien.'!B50</f>
        <v>0</v>
      </c>
      <c r="D142" s="291">
        <v>3400000</v>
      </c>
    </row>
    <row r="143" spans="1:4">
      <c r="A143" s="188" t="s">
        <v>2078</v>
      </c>
      <c r="B143" s="204"/>
      <c r="C143" s="203">
        <f>'FC Spr.z przepł.pien.'!B48</f>
        <v>-247135.51000000007</v>
      </c>
      <c r="D143" s="581">
        <v>-316051.06000000006</v>
      </c>
    </row>
    <row r="144" spans="1:4">
      <c r="A144" s="188" t="s">
        <v>2079</v>
      </c>
      <c r="B144" s="197"/>
      <c r="C144" s="190"/>
      <c r="D144" s="482"/>
    </row>
    <row r="145" spans="1:4">
      <c r="A145" s="188" t="s">
        <v>2080</v>
      </c>
      <c r="B145" s="197"/>
      <c r="C145" s="190">
        <f>'FC Spr.z przepł.pien.'!B51</f>
        <v>0</v>
      </c>
      <c r="D145" s="482">
        <v>-3400000</v>
      </c>
    </row>
    <row r="146" spans="1:4">
      <c r="A146" s="188" t="s">
        <v>2826</v>
      </c>
      <c r="B146" s="197"/>
      <c r="C146" s="190">
        <f>'FC Spr.z przepł.pien.'!B58</f>
        <v>898569.97000000998</v>
      </c>
      <c r="D146" s="482">
        <v>0</v>
      </c>
    </row>
    <row r="147" spans="1:4">
      <c r="A147" s="188" t="s">
        <v>2827</v>
      </c>
      <c r="B147" s="197"/>
      <c r="C147" s="190">
        <f>'FC Spr.z przepł.pien.'!B49+'FC Spr.z przepł.pien.'!B59+'FC Spr.z przepł.pien.'!B55</f>
        <v>-254882.32999999888</v>
      </c>
      <c r="D147" s="482">
        <v>-626341.16999999888</v>
      </c>
    </row>
    <row r="148" spans="1:4">
      <c r="A148" s="188" t="s">
        <v>2023</v>
      </c>
      <c r="B148" s="197"/>
      <c r="C148" s="190"/>
      <c r="D148" s="482"/>
    </row>
    <row r="149" spans="1:4" s="1356" customFormat="1" ht="15" thickBot="1">
      <c r="A149" s="1418" t="s">
        <v>2083</v>
      </c>
      <c r="B149" s="1419"/>
      <c r="C149" s="1406">
        <f>SUM(C142:C148)</f>
        <v>396552.13000001106</v>
      </c>
      <c r="D149" s="1407">
        <v>-942392.22999999893</v>
      </c>
    </row>
    <row r="150" spans="1:4" ht="7.2" customHeight="1" thickTop="1">
      <c r="A150" s="1191"/>
      <c r="B150" s="1188"/>
      <c r="C150" s="1189"/>
      <c r="D150" s="1190"/>
    </row>
    <row r="151" spans="1:4" s="1356" customFormat="1">
      <c r="A151" s="1372" t="s">
        <v>2084</v>
      </c>
      <c r="B151" s="1368"/>
      <c r="C151" s="1369">
        <f>C149+C139+C122</f>
        <v>-820288.06000111985</v>
      </c>
      <c r="D151" s="1370">
        <v>-3465665.7899993937</v>
      </c>
    </row>
    <row r="152" spans="1:4">
      <c r="A152" s="188" t="s">
        <v>2085</v>
      </c>
      <c r="B152" s="191"/>
      <c r="C152" s="190"/>
      <c r="D152" s="482"/>
    </row>
    <row r="153" spans="1:4" s="1356" customFormat="1">
      <c r="A153" s="1372" t="s">
        <v>2086</v>
      </c>
      <c r="B153" s="1388">
        <v>14</v>
      </c>
      <c r="C153" s="1369">
        <f>D154</f>
        <v>1351196.7300010109</v>
      </c>
      <c r="D153" s="1370">
        <v>4816862.5200004047</v>
      </c>
    </row>
    <row r="154" spans="1:4" s="1356" customFormat="1" ht="15" thickBot="1">
      <c r="A154" s="1418" t="s">
        <v>2087</v>
      </c>
      <c r="B154" s="1420">
        <v>14</v>
      </c>
      <c r="C154" s="1406">
        <f>C153+C151</f>
        <v>530908.66999989108</v>
      </c>
      <c r="D154" s="1407">
        <v>1351196.7300010109</v>
      </c>
    </row>
    <row r="155" spans="1:4" ht="15" thickTop="1">
      <c r="C155" s="201">
        <f>C154-'FC Spr.z przepł.pien.'!B67</f>
        <v>-1.0908115655183792E-7</v>
      </c>
      <c r="D155" s="201">
        <f>D154-'FC Spr.z przepł.pien.'!C67</f>
        <v>1.0107178241014481E-6</v>
      </c>
    </row>
  </sheetData>
  <mergeCells count="8">
    <mergeCell ref="F25:H25"/>
    <mergeCell ref="B124:B125"/>
    <mergeCell ref="A35:A36"/>
    <mergeCell ref="B35:B36"/>
    <mergeCell ref="A85:A86"/>
    <mergeCell ref="D85:D86"/>
    <mergeCell ref="A106:A107"/>
    <mergeCell ref="B106:B107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F75"/>
  <sheetViews>
    <sheetView topLeftCell="A64" zoomScale="110" zoomScaleNormal="110" workbookViewId="0">
      <selection activeCell="G68" sqref="G68"/>
    </sheetView>
  </sheetViews>
  <sheetFormatPr defaultRowHeight="14.4"/>
  <cols>
    <col min="1" max="1" width="47" customWidth="1"/>
    <col min="2" max="2" width="13.77734375" style="1" customWidth="1"/>
    <col min="3" max="3" width="13.77734375" style="5" customWidth="1"/>
  </cols>
  <sheetData>
    <row r="1" spans="1:3" s="1356" customFormat="1" ht="15" thickBot="1">
      <c r="A1" s="1450" t="s">
        <v>2008</v>
      </c>
      <c r="B1" s="1354"/>
      <c r="C1" s="1355"/>
    </row>
    <row r="2" spans="1:3">
      <c r="A2" s="1704"/>
      <c r="B2" s="1594" t="s">
        <v>2009</v>
      </c>
      <c r="C2" s="1595" t="s">
        <v>2009</v>
      </c>
    </row>
    <row r="3" spans="1:3" ht="15" thickBot="1">
      <c r="A3" s="1705"/>
      <c r="B3" s="1596" t="s">
        <v>3859</v>
      </c>
      <c r="C3" s="1597" t="s">
        <v>3649</v>
      </c>
    </row>
    <row r="4" spans="1:3">
      <c r="A4" s="57" t="s">
        <v>2010</v>
      </c>
      <c r="B4" s="48"/>
      <c r="C4" s="477"/>
    </row>
    <row r="5" spans="1:3">
      <c r="A5" s="57" t="s">
        <v>2011</v>
      </c>
      <c r="B5" s="48">
        <f>'FC Spr.z przepł.pien.'!B8</f>
        <v>100906.8999999989</v>
      </c>
      <c r="C5" s="477">
        <f>'FC Spr.z przepł.pien.'!C8</f>
        <v>540793.21999999904</v>
      </c>
    </row>
    <row r="6" spans="1:3" s="1356" customFormat="1" ht="15" thickBot="1">
      <c r="A6" s="1411" t="s">
        <v>2012</v>
      </c>
      <c r="B6" s="1406">
        <f>B5+B4</f>
        <v>100906.8999999989</v>
      </c>
      <c r="C6" s="1550">
        <f>C5+C4</f>
        <v>540793.21999999904</v>
      </c>
    </row>
    <row r="7" spans="1:3" ht="15" thickTop="1">
      <c r="B7" s="201">
        <f>B6-'CF dział.operac.'!B10</f>
        <v>0</v>
      </c>
      <c r="C7" s="201">
        <f>C6-'CF dział.operac.'!C10</f>
        <v>0</v>
      </c>
    </row>
    <row r="8" spans="1:3" s="1356" customFormat="1" ht="15" thickBot="1">
      <c r="A8" s="1450" t="s">
        <v>2013</v>
      </c>
      <c r="B8" s="1354"/>
      <c r="C8" s="1355"/>
    </row>
    <row r="9" spans="1:3">
      <c r="A9" s="1704"/>
      <c r="B9" s="1594" t="s">
        <v>2009</v>
      </c>
      <c r="C9" s="1595" t="s">
        <v>2009</v>
      </c>
    </row>
    <row r="10" spans="1:3" ht="15" thickBot="1">
      <c r="A10" s="1705"/>
      <c r="B10" s="1596" t="str">
        <f>B3</f>
        <v>31 grudnia 2025</v>
      </c>
      <c r="C10" s="1597" t="str">
        <f>C3</f>
        <v>31 grudnia 2024</v>
      </c>
    </row>
    <row r="11" spans="1:3">
      <c r="A11" s="165" t="s">
        <v>2014</v>
      </c>
      <c r="B11" s="48">
        <f>'CF dział.operac.'!B35</f>
        <v>0</v>
      </c>
      <c r="C11" s="477">
        <f>'CF dział.operac.'!C35</f>
        <v>0</v>
      </c>
    </row>
    <row r="12" spans="1:3">
      <c r="A12" s="165" t="s">
        <v>2015</v>
      </c>
      <c r="B12" s="48">
        <f>'CF dział.operac.'!B36+'CF dział.operac.'!B39</f>
        <v>0</v>
      </c>
      <c r="C12" s="477">
        <f>'CF dział.operac.'!C36+'CF dział.operac.'!C39</f>
        <v>12026.45</v>
      </c>
    </row>
    <row r="13" spans="1:3" s="1356" customFormat="1" ht="15" thickBot="1">
      <c r="A13" s="1411" t="s">
        <v>2016</v>
      </c>
      <c r="B13" s="1406">
        <f>B12+B11</f>
        <v>0</v>
      </c>
      <c r="C13" s="1550">
        <f>C12+C11</f>
        <v>12026.45</v>
      </c>
    </row>
    <row r="14" spans="1:3" ht="15" thickTop="1">
      <c r="B14" s="201">
        <f>B13-'CF dział.operac.'!B34</f>
        <v>0</v>
      </c>
      <c r="C14" s="201">
        <f>C13-'CF dział.operac.'!C34</f>
        <v>0</v>
      </c>
    </row>
    <row r="15" spans="1:3" s="1356" customFormat="1" ht="15" thickBot="1">
      <c r="A15" s="1450" t="s">
        <v>2017</v>
      </c>
      <c r="B15" s="1354"/>
      <c r="C15" s="1355"/>
    </row>
    <row r="16" spans="1:3">
      <c r="A16" s="1704"/>
      <c r="B16" s="1594" t="s">
        <v>2009</v>
      </c>
      <c r="C16" s="1595" t="s">
        <v>2009</v>
      </c>
    </row>
    <row r="17" spans="1:3" ht="15" thickBot="1">
      <c r="A17" s="1705"/>
      <c r="B17" s="1596" t="str">
        <f>B10</f>
        <v>31 grudnia 2025</v>
      </c>
      <c r="C17" s="1597" t="str">
        <f>C10</f>
        <v>31 grudnia 2024</v>
      </c>
    </row>
    <row r="18" spans="1:3">
      <c r="A18" s="57" t="s">
        <v>2018</v>
      </c>
      <c r="B18" s="48">
        <f>'CF dział.operac.'!B59</f>
        <v>1062713.7300000116</v>
      </c>
      <c r="C18" s="477">
        <f>'CF dział.operac.'!C59</f>
        <v>1094642.319999896</v>
      </c>
    </row>
    <row r="19" spans="1:3" ht="20.399999999999999">
      <c r="A19" s="165" t="s">
        <v>2019</v>
      </c>
      <c r="B19" s="48">
        <f>'CF dział.operac.'!B51</f>
        <v>578122.89000000898</v>
      </c>
      <c r="C19" s="477">
        <f>'CF dział.operac.'!C51</f>
        <v>-3563647.129999999</v>
      </c>
    </row>
    <row r="20" spans="1:3">
      <c r="A20" s="57" t="s">
        <v>2020</v>
      </c>
      <c r="B20" s="48">
        <f>'CF dział.operac.'!B64</f>
        <v>-861860.76000001002</v>
      </c>
      <c r="C20" s="477">
        <f>'CF dział.operac.'!C64</f>
        <v>3363244.02</v>
      </c>
    </row>
    <row r="21" spans="1:3">
      <c r="A21" s="165" t="s">
        <v>2021</v>
      </c>
      <c r="B21" s="48">
        <f>'CF dział.operac.'!B55</f>
        <v>388324.52</v>
      </c>
      <c r="C21" s="477">
        <f>'CF dział.operac.'!C55</f>
        <v>201011.96999999892</v>
      </c>
    </row>
    <row r="22" spans="1:3" ht="20.399999999999999">
      <c r="A22" s="165" t="s">
        <v>2022</v>
      </c>
      <c r="B22" s="48">
        <f>'CF dział.operac.'!B61</f>
        <v>0</v>
      </c>
      <c r="C22" s="477">
        <f>'CF dział.operac.'!C61</f>
        <v>0</v>
      </c>
    </row>
    <row r="23" spans="1:3">
      <c r="A23" s="57" t="s">
        <v>2023</v>
      </c>
      <c r="B23" s="48">
        <f>'CF dział.operac.'!B49</f>
        <v>0</v>
      </c>
      <c r="C23" s="477">
        <f>'CF dział.operac.'!C49</f>
        <v>0</v>
      </c>
    </row>
    <row r="24" spans="1:3" s="1356" customFormat="1" ht="15" thickBot="1">
      <c r="A24" s="1411" t="s">
        <v>2024</v>
      </c>
      <c r="B24" s="1406">
        <f>SUM(B18:B23)</f>
        <v>1167300.3800000106</v>
      </c>
      <c r="C24" s="1550">
        <f>SUM(C18:C23)</f>
        <v>1095251.1799998959</v>
      </c>
    </row>
    <row r="25" spans="1:3" ht="15" thickTop="1">
      <c r="B25" s="201">
        <f>B24-'CF dział.operac.'!B50</f>
        <v>0</v>
      </c>
      <c r="C25" s="201">
        <f>C24-'CF dział.operac.'!C50</f>
        <v>0</v>
      </c>
    </row>
    <row r="26" spans="1:3" s="1356" customFormat="1" ht="15" thickBot="1">
      <c r="A26" s="1450" t="s">
        <v>2025</v>
      </c>
      <c r="B26" s="1354"/>
      <c r="C26" s="1355"/>
    </row>
    <row r="27" spans="1:3">
      <c r="A27" s="1728"/>
      <c r="B27" s="1598" t="s">
        <v>2026</v>
      </c>
      <c r="C27" s="1595" t="s">
        <v>2026</v>
      </c>
    </row>
    <row r="28" spans="1:3" ht="15" thickBot="1">
      <c r="A28" s="1729"/>
      <c r="B28" s="1599" t="str">
        <f>B17</f>
        <v>31 grudnia 2025</v>
      </c>
      <c r="C28" s="1597" t="str">
        <f>C17</f>
        <v>31 grudnia 2024</v>
      </c>
    </row>
    <row r="29" spans="1:3">
      <c r="A29" s="523" t="s">
        <v>2025</v>
      </c>
      <c r="B29" s="175">
        <f>'CF dział.operac.'!B67</f>
        <v>-5997169.7699999912</v>
      </c>
      <c r="C29" s="477">
        <f>'CF dział.operac.'!C67</f>
        <v>426343.21999998903</v>
      </c>
    </row>
    <row r="30" spans="1:3" s="1356" customFormat="1" ht="15" thickBot="1">
      <c r="A30" s="1490" t="s">
        <v>2027</v>
      </c>
      <c r="B30" s="1600">
        <f>B29</f>
        <v>-5997169.7699999912</v>
      </c>
      <c r="C30" s="1550">
        <f>C29</f>
        <v>426343.21999998903</v>
      </c>
    </row>
    <row r="31" spans="1:3" ht="15" thickTop="1">
      <c r="B31" s="201">
        <f>B30-'CF dział.operac.'!B66</f>
        <v>0</v>
      </c>
      <c r="C31" s="201">
        <f>C30-'CF dział.operac.'!C66</f>
        <v>0</v>
      </c>
    </row>
    <row r="32" spans="1:3" s="1356" customFormat="1" ht="15" thickBot="1">
      <c r="A32" s="1450" t="s">
        <v>2028</v>
      </c>
      <c r="B32" s="1354"/>
      <c r="C32" s="1355"/>
    </row>
    <row r="33" spans="1:5">
      <c r="A33" s="1704"/>
      <c r="B33" s="1594" t="s">
        <v>2009</v>
      </c>
      <c r="C33" s="1595" t="s">
        <v>2009</v>
      </c>
    </row>
    <row r="34" spans="1:5" ht="15" thickBot="1">
      <c r="A34" s="1705"/>
      <c r="B34" s="1596" t="str">
        <f>B28</f>
        <v>31 grudnia 2025</v>
      </c>
      <c r="C34" s="1597" t="str">
        <f>C28</f>
        <v>31 grudnia 2024</v>
      </c>
    </row>
    <row r="35" spans="1:5">
      <c r="A35" s="57" t="s">
        <v>2029</v>
      </c>
      <c r="B35" s="48">
        <f>'CF dział.operac.'!B76</f>
        <v>3827468.7900000084</v>
      </c>
      <c r="C35" s="477">
        <f>'CF dział.operac.'!C76</f>
        <v>-7235986.3900001012</v>
      </c>
    </row>
    <row r="36" spans="1:5">
      <c r="A36" s="57" t="s">
        <v>2030</v>
      </c>
      <c r="B36" s="48">
        <f>'CF dział.operac.'!B75+'CF dział.operac.'!B77</f>
        <v>-200513.20999999123</v>
      </c>
      <c r="C36" s="477">
        <f>'CF dział.operac.'!C75+'CF dział.operac.'!C77</f>
        <v>-174280.10000000999</v>
      </c>
    </row>
    <row r="37" spans="1:5">
      <c r="A37" s="57" t="s">
        <v>2031</v>
      </c>
      <c r="B37" s="48">
        <f>'CF dział.operac.'!B78+'CF dział.operac.'!B79</f>
        <v>-9519793.8599999994</v>
      </c>
      <c r="C37" s="477">
        <f>'CF dział.operac.'!C78+'CF dział.operac.'!C79</f>
        <v>1593167.0199999996</v>
      </c>
    </row>
    <row r="38" spans="1:5">
      <c r="A38" s="165" t="s">
        <v>2032</v>
      </c>
      <c r="B38" s="48">
        <f>'CF dział.operac.'!B84</f>
        <v>-101998.38</v>
      </c>
      <c r="C38" s="477">
        <f>'CF dział.operac.'!C84</f>
        <v>91169.05</v>
      </c>
    </row>
    <row r="39" spans="1:5">
      <c r="A39" s="165" t="s">
        <v>2802</v>
      </c>
      <c r="B39" s="48"/>
      <c r="C39" s="477"/>
    </row>
    <row r="40" spans="1:5">
      <c r="A40" s="165" t="s">
        <v>2033</v>
      </c>
      <c r="B40" s="48"/>
      <c r="C40" s="477"/>
    </row>
    <row r="41" spans="1:5">
      <c r="A41" s="57" t="s">
        <v>2023</v>
      </c>
      <c r="B41" s="48">
        <f>'CF dział.operac.'!B82+'CF dział.operac.'!B88+'CF dział.operac.'!B89</f>
        <v>130.42999999994117</v>
      </c>
      <c r="C41" s="477">
        <f>'CF dział.operac.'!C82+'CF dział.operac.'!C88+'CF dział.operac.'!C89</f>
        <v>8687.090000000233</v>
      </c>
    </row>
    <row r="42" spans="1:5" s="1356" customFormat="1" ht="21" thickBot="1">
      <c r="A42" s="1411" t="s">
        <v>2034</v>
      </c>
      <c r="B42" s="1406">
        <f>SUM(B35:B41)</f>
        <v>-5994706.2299999828</v>
      </c>
      <c r="C42" s="1550">
        <f>SUM(C35:C41)</f>
        <v>-5717243.3300001118</v>
      </c>
    </row>
    <row r="43" spans="1:5" ht="15" thickTop="1">
      <c r="B43" s="201">
        <f>B42-'CF dział.operac.'!B74</f>
        <v>0</v>
      </c>
      <c r="C43" s="201">
        <f>C42-'CF dział.operac.'!C74</f>
        <v>0</v>
      </c>
    </row>
    <row r="44" spans="1:5" s="1356" customFormat="1" ht="15" thickBot="1">
      <c r="A44" s="1450" t="s">
        <v>2035</v>
      </c>
      <c r="B44" s="1354"/>
      <c r="C44" s="1355"/>
    </row>
    <row r="45" spans="1:5">
      <c r="A45" s="1704"/>
      <c r="B45" s="1594" t="s">
        <v>2009</v>
      </c>
      <c r="C45" s="1595" t="s">
        <v>2009</v>
      </c>
    </row>
    <row r="46" spans="1:5" ht="15" thickBot="1">
      <c r="A46" s="1705"/>
      <c r="B46" s="1596" t="str">
        <f>B34</f>
        <v>31 grudnia 2025</v>
      </c>
      <c r="C46" s="1597" t="str">
        <f>C34</f>
        <v>31 grudnia 2024</v>
      </c>
    </row>
    <row r="47" spans="1:5">
      <c r="A47" s="57" t="s">
        <v>2036</v>
      </c>
      <c r="B47" s="48">
        <f>Przepływy!B112</f>
        <v>-830108.7499999986</v>
      </c>
      <c r="C47" s="477">
        <f>'CF dział.operac.'!C90</f>
        <v>1421061.4800000002</v>
      </c>
      <c r="D47" s="384"/>
      <c r="E47" s="384"/>
    </row>
    <row r="48" spans="1:5">
      <c r="A48" s="165" t="s">
        <v>2037</v>
      </c>
      <c r="B48" s="48">
        <f>Przepływy!B124</f>
        <v>-106435.2</v>
      </c>
      <c r="C48" s="477">
        <f>'CF dział.operac.'!C101</f>
        <v>-442222.73000000004</v>
      </c>
      <c r="D48" s="384"/>
      <c r="E48" s="384"/>
    </row>
    <row r="49" spans="1:6" s="1356" customFormat="1" ht="15" thickBot="1">
      <c r="A49" s="1411" t="s">
        <v>2038</v>
      </c>
      <c r="B49" s="1406">
        <f>B48+B47</f>
        <v>-936543.94999999856</v>
      </c>
      <c r="C49" s="1550">
        <f>C48+C47</f>
        <v>978838.75000000023</v>
      </c>
      <c r="D49" s="1593"/>
      <c r="E49" s="1593"/>
    </row>
    <row r="50" spans="1:6" ht="15" thickTop="1">
      <c r="B50" s="201">
        <f>B49-Przepływy!B124-Przepływy!B112</f>
        <v>0</v>
      </c>
      <c r="C50" s="201">
        <f>C49-'CF dział.operac.'!C101-'CF dział.operac.'!C90</f>
        <v>0</v>
      </c>
    </row>
    <row r="51" spans="1:6" s="1356" customFormat="1" ht="15" thickBot="1">
      <c r="A51" s="1450" t="s">
        <v>2039</v>
      </c>
      <c r="B51" s="1354"/>
      <c r="C51" s="1355"/>
    </row>
    <row r="52" spans="1:6">
      <c r="A52" s="1728"/>
      <c r="B52" s="1598" t="s">
        <v>2026</v>
      </c>
      <c r="C52" s="1595" t="s">
        <v>2026</v>
      </c>
    </row>
    <row r="53" spans="1:6" ht="15" thickBot="1">
      <c r="A53" s="1729"/>
      <c r="B53" s="1599" t="str">
        <f>B46</f>
        <v>31 grudnia 2025</v>
      </c>
      <c r="C53" s="1597" t="str">
        <f>C46</f>
        <v>31 grudnia 2024</v>
      </c>
    </row>
    <row r="54" spans="1:6">
      <c r="A54" s="165" t="s">
        <v>2040</v>
      </c>
      <c r="B54" s="175">
        <f>Przepływy!B134</f>
        <v>-615977</v>
      </c>
      <c r="C54" s="477">
        <f>'CF dział.operac.'!C111</f>
        <v>-1122138</v>
      </c>
      <c r="D54" s="384"/>
      <c r="E54" s="384"/>
    </row>
    <row r="55" spans="1:6">
      <c r="A55" s="165" t="s">
        <v>2041</v>
      </c>
      <c r="B55" s="175">
        <f>Przepływy!B136</f>
        <v>28250.609999998938</v>
      </c>
      <c r="C55" s="477">
        <f>'CF dział.operac.'!C113</f>
        <v>-932934.03000000026</v>
      </c>
      <c r="D55" s="384"/>
      <c r="E55" s="384"/>
    </row>
    <row r="56" spans="1:6">
      <c r="A56" s="165" t="s">
        <v>2042</v>
      </c>
      <c r="B56" s="175">
        <f>Przepływy!B139</f>
        <v>0</v>
      </c>
      <c r="C56" s="477">
        <f>'CF dział.operac.'!C116</f>
        <v>180674.80000000002</v>
      </c>
      <c r="D56" s="384"/>
      <c r="E56" s="384"/>
    </row>
    <row r="57" spans="1:6" s="1356" customFormat="1" ht="15" thickBot="1">
      <c r="A57" s="1411" t="s">
        <v>2043</v>
      </c>
      <c r="B57" s="1600">
        <f>B56+B55+B54</f>
        <v>-587726.39000000106</v>
      </c>
      <c r="C57" s="1550">
        <f>C56+C55+C54</f>
        <v>-1874397.2300000002</v>
      </c>
      <c r="D57" s="1593"/>
      <c r="E57" s="1593"/>
    </row>
    <row r="58" spans="1:6" ht="15" thickTop="1">
      <c r="B58" s="201">
        <f>B57-Przepływy!B133</f>
        <v>0</v>
      </c>
      <c r="C58" s="201">
        <f>C57-'CF dział.operac.'!C110</f>
        <v>0</v>
      </c>
    </row>
    <row r="59" spans="1:6" s="1356" customFormat="1" ht="15" thickBot="1">
      <c r="A59" s="1450" t="s">
        <v>2044</v>
      </c>
      <c r="B59" s="1354"/>
      <c r="C59" s="1355"/>
    </row>
    <row r="60" spans="1:6">
      <c r="A60" s="1728"/>
      <c r="B60" s="1598" t="s">
        <v>2026</v>
      </c>
      <c r="C60" s="1595" t="s">
        <v>2026</v>
      </c>
    </row>
    <row r="61" spans="1:6" ht="15" thickBot="1">
      <c r="A61" s="1729"/>
      <c r="B61" s="1599" t="str">
        <f>B53</f>
        <v>31 grudnia 2025</v>
      </c>
      <c r="C61" s="1597" t="str">
        <f>C53</f>
        <v>31 grudnia 2024</v>
      </c>
    </row>
    <row r="62" spans="1:6">
      <c r="A62" s="165" t="s">
        <v>2045</v>
      </c>
      <c r="B62" s="175">
        <f>Przepływy!B143</f>
        <v>-1908461.01</v>
      </c>
      <c r="C62" s="477">
        <f>'CF dział.operac.'!C120</f>
        <v>-4970334.3899999997</v>
      </c>
      <c r="D62" s="384"/>
      <c r="E62" s="384"/>
      <c r="F62" s="384"/>
    </row>
    <row r="63" spans="1:6">
      <c r="A63" s="165" t="s">
        <v>2046</v>
      </c>
      <c r="B63" s="175">
        <f>Przepływy!B153</f>
        <v>0</v>
      </c>
      <c r="C63" s="477">
        <f>'CF dział.operac.'!C130</f>
        <v>-34328.21</v>
      </c>
      <c r="D63" s="384"/>
      <c r="E63" s="384"/>
      <c r="F63" s="384"/>
    </row>
    <row r="64" spans="1:6">
      <c r="A64" s="165" t="s">
        <v>2047</v>
      </c>
      <c r="B64" s="175">
        <f>Przepływy!B144</f>
        <v>1422800.0100000091</v>
      </c>
      <c r="C64" s="477">
        <f>'CF dział.operac.'!C121</f>
        <v>4003924.5999999829</v>
      </c>
      <c r="D64" s="384"/>
      <c r="E64" s="384"/>
      <c r="F64" s="384"/>
    </row>
    <row r="65" spans="1:6">
      <c r="A65" s="165" t="s">
        <v>2048</v>
      </c>
      <c r="B65" s="175">
        <f>Przepływy!B157+Przepływy!B150</f>
        <v>31513</v>
      </c>
      <c r="C65" s="477">
        <f>'CF dział.operac.'!C134+'CF dział.operac.'!C127</f>
        <v>-129855</v>
      </c>
      <c r="D65" s="384"/>
      <c r="E65" s="384"/>
      <c r="F65" s="384"/>
    </row>
    <row r="66" spans="1:6">
      <c r="A66" s="165" t="s">
        <v>3750</v>
      </c>
      <c r="B66" s="175">
        <f>Przepływy!B148</f>
        <v>53224</v>
      </c>
      <c r="C66" s="477">
        <f>'CF dział.operac.'!C135+'CF dział.operac.'!C125</f>
        <v>-53224</v>
      </c>
      <c r="D66" s="384"/>
      <c r="E66" s="384"/>
      <c r="F66" s="384"/>
    </row>
    <row r="67" spans="1:6">
      <c r="A67" s="165" t="s">
        <v>2049</v>
      </c>
      <c r="B67" s="175">
        <f>Przepływy!B162</f>
        <v>0</v>
      </c>
      <c r="C67" s="477">
        <f>Przepływy!C162</f>
        <v>0</v>
      </c>
      <c r="D67" s="384"/>
      <c r="E67" s="384"/>
      <c r="F67" s="384"/>
    </row>
    <row r="68" spans="1:6" s="1356" customFormat="1" ht="15" thickBot="1">
      <c r="A68" s="1411" t="s">
        <v>2050</v>
      </c>
      <c r="B68" s="1600">
        <f>SUM(B62:B67)</f>
        <v>-400923.99999999092</v>
      </c>
      <c r="C68" s="1550">
        <f>SUM(C62:C67)</f>
        <v>-1183817.0000000168</v>
      </c>
      <c r="D68" s="1593"/>
      <c r="E68" s="1593"/>
      <c r="F68" s="1593"/>
    </row>
    <row r="69" spans="1:6" ht="15" thickTop="1">
      <c r="B69" s="201">
        <f>B68-Przepływy!B142</f>
        <v>0</v>
      </c>
      <c r="C69" s="201">
        <f>C68-'CF dział.operac.'!C119</f>
        <v>0</v>
      </c>
    </row>
    <row r="70" spans="1:6" s="1356" customFormat="1" ht="15" thickBot="1">
      <c r="A70" s="1450" t="s">
        <v>3642</v>
      </c>
      <c r="B70" s="1354"/>
      <c r="C70" s="1355"/>
    </row>
    <row r="71" spans="1:6">
      <c r="A71" s="1728"/>
      <c r="B71" s="1598" t="s">
        <v>2026</v>
      </c>
      <c r="C71" s="1595" t="s">
        <v>2026</v>
      </c>
    </row>
    <row r="72" spans="1:6" ht="15" thickBot="1">
      <c r="A72" s="1729"/>
      <c r="B72" s="1599" t="str">
        <f>B61</f>
        <v>31 grudnia 2025</v>
      </c>
      <c r="C72" s="1597" t="str">
        <f>C61</f>
        <v>31 grudnia 2024</v>
      </c>
    </row>
    <row r="73" spans="1:6">
      <c r="A73" s="165" t="s">
        <v>3646</v>
      </c>
      <c r="B73" s="175">
        <f>Przepływy!B176</f>
        <v>0</v>
      </c>
      <c r="C73" s="477">
        <v>0</v>
      </c>
    </row>
    <row r="74" spans="1:6" s="1356" customFormat="1" ht="15" thickBot="1">
      <c r="A74" s="1411" t="s">
        <v>3654</v>
      </c>
      <c r="B74" s="1600">
        <f>SUM(B73:B73)</f>
        <v>0</v>
      </c>
      <c r="C74" s="1550">
        <f>SUM(C73:C73)</f>
        <v>0</v>
      </c>
    </row>
    <row r="75" spans="1:6" ht="15" thickTop="1"/>
  </sheetData>
  <autoFilter ref="B1:C69"/>
  <mergeCells count="9">
    <mergeCell ref="A71:A72"/>
    <mergeCell ref="A52:A53"/>
    <mergeCell ref="A60:A61"/>
    <mergeCell ref="A2:A3"/>
    <mergeCell ref="A9:A10"/>
    <mergeCell ref="A16:A17"/>
    <mergeCell ref="A27:A28"/>
    <mergeCell ref="A33:A34"/>
    <mergeCell ref="A45:A4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O84"/>
  <sheetViews>
    <sheetView topLeftCell="A43" workbookViewId="0">
      <selection activeCell="I29" sqref="I29"/>
    </sheetView>
  </sheetViews>
  <sheetFormatPr defaultRowHeight="14.4"/>
  <cols>
    <col min="1" max="1" width="33.21875" customWidth="1"/>
    <col min="2" max="3" width="13.109375" customWidth="1"/>
    <col min="4" max="4" width="12.5546875" customWidth="1"/>
    <col min="5" max="5" width="15.5546875" customWidth="1"/>
    <col min="6" max="7" width="13.21875" customWidth="1"/>
    <col min="8" max="8" width="12.109375" customWidth="1"/>
    <col min="9" max="9" width="13.77734375" customWidth="1"/>
    <col min="10" max="10" width="15.77734375" customWidth="1"/>
    <col min="11" max="11" width="12.77734375" customWidth="1"/>
  </cols>
  <sheetData>
    <row r="1" spans="1:4" s="1356" customFormat="1" ht="16.2" thickBot="1">
      <c r="A1" s="1718" t="s">
        <v>3852</v>
      </c>
      <c r="B1" s="1718"/>
    </row>
    <row r="2" spans="1:4">
      <c r="A2" s="1741"/>
      <c r="B2" s="1552" t="s">
        <v>1449</v>
      </c>
      <c r="C2" s="1553" t="s">
        <v>1449</v>
      </c>
      <c r="D2" s="1828" t="s">
        <v>3065</v>
      </c>
    </row>
    <row r="3" spans="1:4" ht="15" thickBot="1">
      <c r="A3" s="1742"/>
      <c r="B3" s="1574" t="s">
        <v>3859</v>
      </c>
      <c r="C3" s="1567" t="s">
        <v>3649</v>
      </c>
      <c r="D3" s="1828"/>
    </row>
    <row r="4" spans="1:4" ht="30.6">
      <c r="A4" s="57" t="s">
        <v>3066</v>
      </c>
      <c r="B4" s="48"/>
      <c r="C4" s="477">
        <v>43246.8</v>
      </c>
      <c r="D4" s="1828"/>
    </row>
    <row r="5" spans="1:4">
      <c r="A5" s="57" t="s">
        <v>3067</v>
      </c>
      <c r="B5" s="48"/>
      <c r="C5" s="477"/>
      <c r="D5" s="1828"/>
    </row>
    <row r="6" spans="1:4" s="1356" customFormat="1" ht="15" thickBot="1">
      <c r="A6" s="1411" t="s">
        <v>3068</v>
      </c>
      <c r="B6" s="1406">
        <f>B5+B4</f>
        <v>0</v>
      </c>
      <c r="C6" s="1550">
        <f>C5+C4</f>
        <v>43246.8</v>
      </c>
      <c r="D6" s="1828"/>
    </row>
    <row r="7" spans="1:4" ht="15" thickTop="1">
      <c r="A7" s="535"/>
      <c r="D7" s="228"/>
    </row>
    <row r="8" spans="1:4" s="1356" customFormat="1" ht="16.2" thickBot="1">
      <c r="A8" s="1449" t="s">
        <v>3853</v>
      </c>
      <c r="D8" s="1601"/>
    </row>
    <row r="9" spans="1:4">
      <c r="A9" s="1741"/>
      <c r="B9" s="1552" t="s">
        <v>1449</v>
      </c>
      <c r="C9" s="1553" t="s">
        <v>1449</v>
      </c>
      <c r="D9" s="1828" t="s">
        <v>3065</v>
      </c>
    </row>
    <row r="10" spans="1:4" ht="15" thickBot="1">
      <c r="A10" s="1742"/>
      <c r="B10" s="1574" t="s">
        <v>3859</v>
      </c>
      <c r="C10" s="1567" t="s">
        <v>3649</v>
      </c>
      <c r="D10" s="1828"/>
    </row>
    <row r="11" spans="1:4">
      <c r="A11" s="57" t="s">
        <v>2803</v>
      </c>
      <c r="B11" s="48">
        <v>538850.46</v>
      </c>
      <c r="C11" s="477">
        <v>1081981.76</v>
      </c>
      <c r="D11" s="1828"/>
    </row>
    <row r="12" spans="1:4">
      <c r="A12" s="57" t="s">
        <v>2804</v>
      </c>
      <c r="B12" s="48"/>
      <c r="C12" s="477"/>
      <c r="D12" s="1828"/>
    </row>
    <row r="13" spans="1:4" s="1356" customFormat="1" ht="15" thickBot="1">
      <c r="A13" s="1411" t="s">
        <v>2805</v>
      </c>
      <c r="B13" s="1406">
        <f>B12+B11</f>
        <v>538850.46</v>
      </c>
      <c r="C13" s="1550">
        <f>C12+C11</f>
        <v>1081981.76</v>
      </c>
      <c r="D13" s="1828"/>
    </row>
    <row r="14" spans="1:4" ht="15" thickTop="1"/>
    <row r="16" spans="1:4" s="1356" customFormat="1" ht="15.6">
      <c r="A16" s="1718" t="s">
        <v>3854</v>
      </c>
      <c r="B16" s="1718"/>
      <c r="C16" s="1718"/>
    </row>
    <row r="17" spans="1:14" ht="15" thickBot="1">
      <c r="A17" s="535" t="s">
        <v>3886</v>
      </c>
    </row>
    <row r="18" spans="1:14" ht="80.400000000000006" customHeight="1" thickBot="1">
      <c r="A18" s="1581"/>
      <c r="B18" s="1581" t="s">
        <v>2806</v>
      </c>
      <c r="C18" s="1581" t="s">
        <v>2807</v>
      </c>
      <c r="D18" s="1581" t="s">
        <v>2808</v>
      </c>
      <c r="E18" s="1581" t="s">
        <v>3855</v>
      </c>
      <c r="F18" s="1581" t="s">
        <v>2809</v>
      </c>
      <c r="G18" s="1611" t="s">
        <v>2565</v>
      </c>
      <c r="H18" s="1826" t="s">
        <v>2865</v>
      </c>
      <c r="I18" s="1351"/>
      <c r="J18" s="1825" t="s">
        <v>3534</v>
      </c>
      <c r="K18" s="1825"/>
      <c r="L18" s="1825"/>
      <c r="M18" s="1825"/>
      <c r="N18" s="1825"/>
    </row>
    <row r="19" spans="1:14" s="1356" customFormat="1">
      <c r="A19" s="1602" t="s">
        <v>1512</v>
      </c>
      <c r="B19" s="1380"/>
      <c r="C19" s="1380"/>
      <c r="D19" s="1380"/>
      <c r="E19" s="1380"/>
      <c r="F19" s="1380"/>
      <c r="G19" s="1380"/>
      <c r="H19" s="1826"/>
      <c r="J19" s="1434"/>
      <c r="K19" s="1434"/>
      <c r="L19" s="1434"/>
      <c r="M19" s="1603"/>
      <c r="N19" s="1444"/>
    </row>
    <row r="20" spans="1:14" ht="14.4" customHeight="1">
      <c r="A20" s="570" t="s">
        <v>2810</v>
      </c>
      <c r="B20" s="16">
        <v>0</v>
      </c>
      <c r="C20" s="16">
        <v>116263693.75999999</v>
      </c>
      <c r="D20" s="16">
        <v>0</v>
      </c>
      <c r="E20" s="31">
        <v>77402.810000000056</v>
      </c>
      <c r="F20" s="16">
        <v>2925124.1</v>
      </c>
      <c r="G20" s="1362">
        <f t="shared" ref="G20:G25" si="0">SUM(B20:F20)</f>
        <v>119266220.66999999</v>
      </c>
      <c r="H20" s="1826"/>
      <c r="I20" s="646">
        <f>G20-'bilans, RZiS,przepływy,kapitały'!C5</f>
        <v>0</v>
      </c>
      <c r="K20" s="571"/>
      <c r="L20" s="571"/>
      <c r="M20" s="409"/>
      <c r="N20" s="509"/>
    </row>
    <row r="21" spans="1:14" ht="14.4" customHeight="1">
      <c r="A21" s="570" t="s">
        <v>2811</v>
      </c>
      <c r="B21" s="16">
        <v>0</v>
      </c>
      <c r="C21" s="16">
        <v>113248.37</v>
      </c>
      <c r="D21" s="16">
        <v>67609.89</v>
      </c>
      <c r="E21" s="16"/>
      <c r="F21" s="16">
        <v>7144224.7200000007</v>
      </c>
      <c r="G21" s="1362">
        <f t="shared" si="0"/>
        <v>7325082.9800000004</v>
      </c>
      <c r="H21" s="1826"/>
      <c r="I21" s="646">
        <f>G21-'bilans, RZiS,przepływy,kapitały'!C10</f>
        <v>0</v>
      </c>
      <c r="K21" s="571"/>
      <c r="L21" s="571"/>
      <c r="M21" s="409"/>
      <c r="N21" s="509"/>
    </row>
    <row r="22" spans="1:14">
      <c r="A22" s="570" t="s">
        <v>1430</v>
      </c>
      <c r="B22" s="16">
        <v>140652.31</v>
      </c>
      <c r="C22" s="16">
        <v>15652.69</v>
      </c>
      <c r="D22" s="16">
        <v>0</v>
      </c>
      <c r="E22" s="16"/>
      <c r="F22" s="16">
        <v>11631.5</v>
      </c>
      <c r="G22" s="1362">
        <f t="shared" si="0"/>
        <v>167936.5</v>
      </c>
      <c r="H22" s="1826"/>
      <c r="I22" s="646">
        <f>G22-'bilans, RZiS,przepływy,kapitały'!C13</f>
        <v>0</v>
      </c>
      <c r="K22" s="571"/>
      <c r="L22" s="571"/>
      <c r="M22" s="409"/>
      <c r="N22" s="509"/>
    </row>
    <row r="23" spans="1:14" ht="14.4" customHeight="1">
      <c r="A23" s="570" t="s">
        <v>2812</v>
      </c>
      <c r="B23" s="16">
        <v>139139.72999999995</v>
      </c>
      <c r="C23" s="16">
        <v>11241903.01</v>
      </c>
      <c r="D23" s="16">
        <v>100399.74000000008</v>
      </c>
      <c r="E23" s="16"/>
      <c r="F23" s="16">
        <v>104230785.23</v>
      </c>
      <c r="G23" s="1362">
        <f t="shared" si="0"/>
        <v>115712227.71000001</v>
      </c>
      <c r="H23" s="1826"/>
      <c r="I23" s="646">
        <f>G23+'bilans, RZiS,przepływy,kapitały'!C6+'bilans, RZiS,przepływy,kapitały'!C9</f>
        <v>0</v>
      </c>
      <c r="K23" s="571"/>
      <c r="L23" s="571"/>
      <c r="M23" s="409"/>
      <c r="N23" s="509"/>
    </row>
    <row r="24" spans="1:14" ht="14.4" customHeight="1">
      <c r="A24" s="570" t="s">
        <v>1428</v>
      </c>
      <c r="B24" s="16">
        <v>1.02</v>
      </c>
      <c r="C24" s="16">
        <v>55947.119999999995</v>
      </c>
      <c r="D24" s="16">
        <v>0</v>
      </c>
      <c r="E24" s="16"/>
      <c r="F24" s="16">
        <v>275172.21999999997</v>
      </c>
      <c r="G24" s="1362">
        <f t="shared" si="0"/>
        <v>331120.36</v>
      </c>
      <c r="H24" s="1826"/>
      <c r="I24" s="646">
        <f>G24+'bilans, RZiS,przepływy,kapitały'!C11</f>
        <v>1.2223608791828156E-9</v>
      </c>
      <c r="K24" s="571"/>
      <c r="L24" s="571"/>
      <c r="M24" s="409"/>
      <c r="N24" s="509"/>
    </row>
    <row r="25" spans="1:14" ht="15" thickBot="1">
      <c r="A25" s="1607" t="s">
        <v>1432</v>
      </c>
      <c r="B25" s="1608">
        <v>4367.1800000000021</v>
      </c>
      <c r="C25" s="1608">
        <v>241.11</v>
      </c>
      <c r="D25" s="1608">
        <v>0</v>
      </c>
      <c r="E25" s="1608"/>
      <c r="F25" s="1608">
        <v>883589.99</v>
      </c>
      <c r="G25" s="1395">
        <f t="shared" si="0"/>
        <v>888198.28</v>
      </c>
      <c r="H25" s="1826"/>
      <c r="I25" s="646">
        <f>G25+'bilans, RZiS,przepływy,kapitały'!C14</f>
        <v>9.3132257461547852E-10</v>
      </c>
      <c r="K25" s="571"/>
      <c r="L25" s="571"/>
      <c r="M25" s="409"/>
      <c r="N25" s="509"/>
    </row>
    <row r="26" spans="1:14" ht="15" thickTop="1">
      <c r="J26" s="228" t="s">
        <v>3856</v>
      </c>
    </row>
    <row r="27" spans="1:14">
      <c r="J27" s="228" t="s">
        <v>3857</v>
      </c>
    </row>
    <row r="28" spans="1:14" s="384" customFormat="1" ht="15" thickBot="1">
      <c r="A28" s="572" t="s">
        <v>3668</v>
      </c>
    </row>
    <row r="29" spans="1:14" s="384" customFormat="1" ht="40.200000000000003" customHeight="1" thickBot="1">
      <c r="A29" s="1493"/>
      <c r="B29" s="1493" t="s">
        <v>2806</v>
      </c>
      <c r="C29" s="1493" t="s">
        <v>2807</v>
      </c>
      <c r="D29" s="1493" t="s">
        <v>2808</v>
      </c>
      <c r="E29" s="1493" t="s">
        <v>3069</v>
      </c>
      <c r="F29" s="1493" t="s">
        <v>2809</v>
      </c>
      <c r="G29" s="1614" t="s">
        <v>2565</v>
      </c>
      <c r="I29" s="507"/>
      <c r="J29" s="409"/>
      <c r="K29" s="507"/>
      <c r="L29" s="507"/>
      <c r="M29" s="409"/>
      <c r="N29" s="530"/>
    </row>
    <row r="30" spans="1:14" s="1593" customFormat="1">
      <c r="A30" s="1434" t="s">
        <v>1512</v>
      </c>
      <c r="B30" s="1438"/>
      <c r="C30" s="1438"/>
      <c r="D30" s="1438"/>
      <c r="E30" s="1438"/>
      <c r="F30" s="1438"/>
      <c r="G30" s="1438"/>
      <c r="I30" s="1434"/>
      <c r="J30" s="1434"/>
      <c r="K30" s="1434"/>
      <c r="L30" s="1434"/>
      <c r="M30" s="1603"/>
      <c r="N30" s="1444"/>
    </row>
    <row r="31" spans="1:14" s="384" customFormat="1" ht="14.4" customHeight="1">
      <c r="A31" s="503" t="s">
        <v>2810</v>
      </c>
      <c r="B31" s="146">
        <v>0</v>
      </c>
      <c r="C31" s="146">
        <v>167239874.02999997</v>
      </c>
      <c r="D31" s="146">
        <v>0</v>
      </c>
      <c r="E31" s="146">
        <v>-794384.83</v>
      </c>
      <c r="F31" s="146">
        <v>914405.64000003214</v>
      </c>
      <c r="G31" s="1363">
        <v>167359894.84</v>
      </c>
      <c r="H31" s="646">
        <f>G31-'RZiS, koszty rodz.'!C20</f>
        <v>0</v>
      </c>
      <c r="J31" s="571"/>
      <c r="K31" s="571"/>
      <c r="L31" s="571"/>
      <c r="M31" s="409"/>
      <c r="N31" s="509"/>
    </row>
    <row r="32" spans="1:14" s="384" customFormat="1" ht="14.4" customHeight="1">
      <c r="A32" s="503" t="s">
        <v>2811</v>
      </c>
      <c r="B32" s="146">
        <v>0</v>
      </c>
      <c r="C32" s="146">
        <v>131073.66999999998</v>
      </c>
      <c r="D32" s="146">
        <v>27047</v>
      </c>
      <c r="E32" s="146">
        <v>0</v>
      </c>
      <c r="F32" s="146">
        <v>118841.04999999999</v>
      </c>
      <c r="G32" s="1363">
        <v>276961.71999999997</v>
      </c>
      <c r="H32" s="646">
        <f>G32-'RZiS, koszty rodz.'!C30</f>
        <v>0</v>
      </c>
      <c r="J32" s="571"/>
      <c r="K32" s="571"/>
      <c r="L32" s="571"/>
      <c r="M32" s="409"/>
      <c r="N32" s="509"/>
    </row>
    <row r="33" spans="1:14" s="384" customFormat="1">
      <c r="A33" s="503" t="s">
        <v>1430</v>
      </c>
      <c r="B33" s="146">
        <v>17668.439999999999</v>
      </c>
      <c r="C33" s="146">
        <v>549.21</v>
      </c>
      <c r="D33" s="146">
        <v>19.04</v>
      </c>
      <c r="E33" s="146">
        <v>0</v>
      </c>
      <c r="F33" s="146">
        <v>2355.2700000000041</v>
      </c>
      <c r="G33" s="1363">
        <v>20591.960000000003</v>
      </c>
      <c r="H33" s="646">
        <f>G33-'RZiS, koszty rodz.'!C105</f>
        <v>0</v>
      </c>
      <c r="J33" s="571"/>
      <c r="K33" s="571"/>
      <c r="L33" s="571"/>
      <c r="M33" s="409"/>
      <c r="N33" s="509"/>
    </row>
    <row r="34" spans="1:14" s="384" customFormat="1" ht="14.4" customHeight="1">
      <c r="A34" s="503" t="s">
        <v>2812</v>
      </c>
      <c r="B34" s="146">
        <v>179808.46</v>
      </c>
      <c r="C34" s="146">
        <v>14601950.990000017</v>
      </c>
      <c r="D34" s="146">
        <v>124570.25000000004</v>
      </c>
      <c r="E34" s="146">
        <v>0</v>
      </c>
      <c r="F34" s="146">
        <v>144961284.26999998</v>
      </c>
      <c r="G34" s="1363">
        <v>159867613.97</v>
      </c>
      <c r="H34" s="347">
        <f>G34-'RZiS, koszty rodz.'!C22-'RZiS, koszty rodz.'!C65</f>
        <v>9.9092721939086914E-7</v>
      </c>
      <c r="J34" s="571"/>
      <c r="K34" s="571"/>
      <c r="L34" s="571"/>
      <c r="M34" s="409"/>
      <c r="N34" s="509"/>
    </row>
    <row r="35" spans="1:14" s="384" customFormat="1" ht="14.4" customHeight="1">
      <c r="A35" s="503" t="s">
        <v>1428</v>
      </c>
      <c r="B35" s="146">
        <v>462.58</v>
      </c>
      <c r="C35" s="146">
        <v>92.980000000055895</v>
      </c>
      <c r="D35" s="146">
        <v>19.029999999999998</v>
      </c>
      <c r="E35" s="146">
        <v>0</v>
      </c>
      <c r="F35" s="146">
        <v>1172526.6400000008</v>
      </c>
      <c r="G35" s="1363">
        <v>1173101.2300000009</v>
      </c>
      <c r="H35" s="347">
        <f>G35-'RZiS, koszty rodz.'!C66</f>
        <v>0</v>
      </c>
      <c r="J35" s="571"/>
      <c r="K35" s="571"/>
      <c r="L35" s="571"/>
      <c r="M35" s="409"/>
      <c r="N35" s="509"/>
    </row>
    <row r="36" spans="1:14" s="384" customFormat="1" ht="15" thickBot="1">
      <c r="A36" s="1609" t="s">
        <v>1432</v>
      </c>
      <c r="B36" s="1610">
        <v>225834.02</v>
      </c>
      <c r="C36" s="1610">
        <v>9762.9399999999732</v>
      </c>
      <c r="D36" s="1610">
        <v>93.73</v>
      </c>
      <c r="E36" s="1610">
        <v>0</v>
      </c>
      <c r="F36" s="1610">
        <v>1171566.1800000002</v>
      </c>
      <c r="G36" s="1396">
        <v>1407256.87</v>
      </c>
      <c r="H36" s="646">
        <f>G36-'RZiS, koszty rodz.'!C135</f>
        <v>0</v>
      </c>
      <c r="J36" s="571"/>
      <c r="K36" s="571"/>
      <c r="L36" s="571"/>
      <c r="M36" s="409"/>
      <c r="N36" s="509"/>
    </row>
    <row r="37" spans="1:14" ht="15" thickTop="1"/>
    <row r="39" spans="1:14" ht="15.6">
      <c r="A39" s="1827" t="s">
        <v>3823</v>
      </c>
      <c r="B39" s="1827"/>
      <c r="C39" s="1827"/>
      <c r="D39" s="1827"/>
      <c r="E39" s="1827"/>
    </row>
    <row r="40" spans="1:14" ht="15" thickBot="1">
      <c r="A40" s="535" t="s">
        <v>3887</v>
      </c>
    </row>
    <row r="41" spans="1:14" ht="31.2" thickBot="1">
      <c r="A41" s="1570" t="s">
        <v>2813</v>
      </c>
      <c r="B41" s="1581" t="s">
        <v>2806</v>
      </c>
      <c r="C41" s="1581" t="s">
        <v>2807</v>
      </c>
      <c r="D41" s="1581" t="s">
        <v>2808</v>
      </c>
      <c r="E41" s="1581" t="s">
        <v>2809</v>
      </c>
      <c r="F41" s="1611" t="s">
        <v>2565</v>
      </c>
      <c r="G41" s="863"/>
    </row>
    <row r="42" spans="1:14">
      <c r="A42" s="500" t="s">
        <v>2814</v>
      </c>
      <c r="B42" s="573">
        <f>B43+B44</f>
        <v>2501383.25999999</v>
      </c>
      <c r="C42" s="573">
        <f>C43+C44</f>
        <v>25413049.300000001</v>
      </c>
      <c r="D42" s="573">
        <f>D43+D44</f>
        <v>14448.25</v>
      </c>
      <c r="E42" s="573">
        <f>E43+E44</f>
        <v>79909.139999987674</v>
      </c>
      <c r="F42" s="1362">
        <f t="shared" ref="F42:F47" si="1">SUM(B42:E42)</f>
        <v>28008789.949999981</v>
      </c>
      <c r="G42" s="201">
        <f>F42-'FC Spr.z syt.finans.'!B9-'FC Spr.z syt.finans.'!B22-'FC Spr.z syt.finans.'!B24-'FC Spr.z syt.finans.'!B25</f>
        <v>3.7252902984619141E-9</v>
      </c>
    </row>
    <row r="43" spans="1:14">
      <c r="A43" s="574" t="s">
        <v>2738</v>
      </c>
      <c r="B43" s="16"/>
      <c r="C43" s="16">
        <f>'bilans '!B126+'bilans '!B177-D43-B43</f>
        <v>24942395.41</v>
      </c>
      <c r="D43" s="16">
        <f>'bilans '!B149</f>
        <v>0</v>
      </c>
      <c r="E43" s="16">
        <f>'bilans '!B150+'bilans '!B179</f>
        <v>79909.139999990351</v>
      </c>
      <c r="F43" s="1362">
        <f t="shared" si="1"/>
        <v>25022304.54999999</v>
      </c>
      <c r="G43" s="201">
        <f>F43-'FC Spr.z syt.finans.'!B24</f>
        <v>0</v>
      </c>
    </row>
    <row r="44" spans="1:14">
      <c r="A44" s="574" t="s">
        <v>2815</v>
      </c>
      <c r="B44" s="31">
        <f>'bilans '!B183</f>
        <v>2501383.25999999</v>
      </c>
      <c r="C44" s="31">
        <f>'bilans '!B196+'bilans '!B198</f>
        <v>470653.89</v>
      </c>
      <c r="D44" s="31">
        <f>'bilans '!B210</f>
        <v>14448.25</v>
      </c>
      <c r="E44" s="31">
        <f>'bilans '!B200+'bilans '!B211+'bilans '!B122</f>
        <v>-2.6811903808265924E-9</v>
      </c>
      <c r="F44" s="1362">
        <f t="shared" si="1"/>
        <v>2986485.3999999873</v>
      </c>
      <c r="G44" s="201">
        <f>F44-'FC Spr.z syt.finans.'!B9-'FC Spr.z syt.finans.'!B25-'FC Spr.z syt.finans.'!B22</f>
        <v>0</v>
      </c>
    </row>
    <row r="45" spans="1:14">
      <c r="A45" s="500" t="s">
        <v>2816</v>
      </c>
      <c r="B45" s="501"/>
      <c r="C45" s="16">
        <f>'bilans '!B75</f>
        <v>200</v>
      </c>
      <c r="D45" s="501"/>
      <c r="E45" s="501"/>
      <c r="F45" s="1362">
        <f t="shared" si="1"/>
        <v>200</v>
      </c>
      <c r="G45" s="252">
        <f>F45-'FC Spr.z syt.finans.'!B10</f>
        <v>0</v>
      </c>
    </row>
    <row r="46" spans="1:14">
      <c r="A46" s="500" t="s">
        <v>2817</v>
      </c>
      <c r="B46" s="573"/>
      <c r="C46" s="573"/>
      <c r="D46" s="573"/>
      <c r="E46" s="573"/>
      <c r="F46" s="1362">
        <f t="shared" si="1"/>
        <v>0</v>
      </c>
      <c r="G46" s="863"/>
    </row>
    <row r="47" spans="1:14" ht="15" thickBot="1">
      <c r="A47" s="1612" t="s">
        <v>1467</v>
      </c>
      <c r="B47" s="1613"/>
      <c r="C47" s="1613"/>
      <c r="D47" s="1613"/>
      <c r="E47" s="1613"/>
      <c r="F47" s="1395">
        <f t="shared" si="1"/>
        <v>0</v>
      </c>
      <c r="G47" s="863"/>
    </row>
    <row r="48" spans="1:14" ht="15" thickTop="1"/>
    <row r="50" spans="1:15" s="384" customFormat="1" ht="15" thickBot="1">
      <c r="A50" s="572" t="s">
        <v>3669</v>
      </c>
    </row>
    <row r="51" spans="1:15" s="384" customFormat="1" ht="31.2" thickBot="1">
      <c r="A51" s="1572" t="s">
        <v>2813</v>
      </c>
      <c r="B51" s="1493" t="s">
        <v>2806</v>
      </c>
      <c r="C51" s="1493" t="s">
        <v>2807</v>
      </c>
      <c r="D51" s="1493" t="s">
        <v>2808</v>
      </c>
      <c r="E51" s="1493" t="s">
        <v>2809</v>
      </c>
      <c r="F51" s="1614" t="s">
        <v>2565</v>
      </c>
    </row>
    <row r="52" spans="1:15" s="384" customFormat="1">
      <c r="A52" s="502" t="s">
        <v>2814</v>
      </c>
      <c r="B52" s="575">
        <v>3363244.02</v>
      </c>
      <c r="C52" s="575">
        <v>26598605.879999999</v>
      </c>
      <c r="D52" s="575">
        <v>64280.88</v>
      </c>
      <c r="E52" s="575">
        <v>65044.309999997095</v>
      </c>
      <c r="F52" s="1363">
        <v>30091175.089999996</v>
      </c>
      <c r="G52" s="201">
        <f>F52-'FC Spr.z syt.finans.'!C9-'FC Spr.z syt.finans.'!C22-'FC Spr.z syt.finans.'!C24-'FC Spr.z syt.finans.'!C25</f>
        <v>0</v>
      </c>
    </row>
    <row r="53" spans="1:15" s="384" customFormat="1">
      <c r="A53" s="576" t="s">
        <v>2738</v>
      </c>
      <c r="B53" s="146"/>
      <c r="C53" s="146">
        <v>26009269.390000001</v>
      </c>
      <c r="D53" s="146">
        <v>64280.88</v>
      </c>
      <c r="E53" s="146">
        <v>11468.009999999776</v>
      </c>
      <c r="F53" s="1363">
        <v>26085018.280000001</v>
      </c>
      <c r="G53" s="201">
        <f>F53-'FC Spr.z syt.finans.'!C24</f>
        <v>0</v>
      </c>
    </row>
    <row r="54" spans="1:15" s="384" customFormat="1">
      <c r="A54" s="576" t="s">
        <v>2815</v>
      </c>
      <c r="B54" s="147">
        <v>3363244.02</v>
      </c>
      <c r="C54" s="147">
        <v>589336.48999999894</v>
      </c>
      <c r="D54" s="147"/>
      <c r="E54" s="147">
        <v>53576.299999997318</v>
      </c>
      <c r="F54" s="1363">
        <v>4006156.8099999963</v>
      </c>
      <c r="G54" s="201">
        <f>F54-'FC Spr.z syt.finans.'!C9-'FC Spr.z syt.finans.'!C25-'FC Spr.z syt.finans.'!C22</f>
        <v>0</v>
      </c>
    </row>
    <row r="55" spans="1:15" s="384" customFormat="1">
      <c r="A55" s="502" t="s">
        <v>2816</v>
      </c>
      <c r="B55" s="504"/>
      <c r="C55" s="146">
        <v>200</v>
      </c>
      <c r="D55" s="504"/>
      <c r="E55" s="504"/>
      <c r="F55" s="1363">
        <v>200</v>
      </c>
      <c r="G55" s="252">
        <f>F55-'FC Spr.z syt.finans.'!C10</f>
        <v>0</v>
      </c>
    </row>
    <row r="56" spans="1:15" s="384" customFormat="1">
      <c r="A56" s="502" t="s">
        <v>2817</v>
      </c>
      <c r="B56" s="575"/>
      <c r="C56" s="575"/>
      <c r="D56" s="575"/>
      <c r="E56" s="575"/>
      <c r="F56" s="1363">
        <v>0</v>
      </c>
      <c r="I56" s="384">
        <f>IF(B63&gt;0,B63,0)</f>
        <v>0</v>
      </c>
    </row>
    <row r="57" spans="1:15" s="384" customFormat="1" ht="15" thickBot="1">
      <c r="A57" s="1615" t="s">
        <v>1467</v>
      </c>
      <c r="B57" s="1616"/>
      <c r="C57" s="1616"/>
      <c r="D57" s="1616"/>
      <c r="E57" s="1616"/>
      <c r="F57" s="1396">
        <v>0</v>
      </c>
    </row>
    <row r="58" spans="1:15" ht="15" thickTop="1"/>
    <row r="60" spans="1:15" ht="15" thickBot="1">
      <c r="A60" s="535" t="s">
        <v>3886</v>
      </c>
    </row>
    <row r="61" spans="1:15" ht="33" customHeight="1" thickBot="1">
      <c r="A61" s="1572" t="s">
        <v>2818</v>
      </c>
      <c r="B61" s="1617" t="s">
        <v>2806</v>
      </c>
      <c r="C61" s="1617" t="s">
        <v>2807</v>
      </c>
      <c r="D61" s="1617" t="s">
        <v>2808</v>
      </c>
      <c r="E61" s="1617" t="s">
        <v>2809</v>
      </c>
      <c r="F61" s="1618" t="s">
        <v>2565</v>
      </c>
      <c r="G61" s="863"/>
      <c r="H61" s="577"/>
      <c r="I61" s="989">
        <v>45627</v>
      </c>
      <c r="K61" s="989">
        <v>45627</v>
      </c>
    </row>
    <row r="62" spans="1:15" ht="24" customHeight="1" thickBot="1">
      <c r="A62" s="579" t="s">
        <v>2819</v>
      </c>
      <c r="B62" s="1604">
        <f>SUM(B63:B65)</f>
        <v>34935.550000000003</v>
      </c>
      <c r="C62" s="1604">
        <f>SUM(C63:C65)</f>
        <v>8880112.6600000001</v>
      </c>
      <c r="D62" s="1604">
        <f>SUM(D63:D65)</f>
        <v>110353.29</v>
      </c>
      <c r="E62" s="1604">
        <f>SUM(E63:E65)</f>
        <v>12462894.139999894</v>
      </c>
      <c r="F62" s="1605">
        <f>SUM(B62:E62)</f>
        <v>21488295.639999896</v>
      </c>
      <c r="G62" s="863"/>
      <c r="H62" s="384"/>
      <c r="I62" s="524" t="s">
        <v>2808</v>
      </c>
      <c r="J62" s="384"/>
      <c r="K62" s="524" t="s">
        <v>2806</v>
      </c>
      <c r="L62" s="384"/>
      <c r="M62" s="384"/>
      <c r="N62" s="384"/>
      <c r="O62" s="384"/>
    </row>
    <row r="63" spans="1:15">
      <c r="A63" s="576" t="s">
        <v>2820</v>
      </c>
      <c r="B63" s="578">
        <f>IF(-'bilans '!B459&gt;0,-'bilans '!B459,0)</f>
        <v>0</v>
      </c>
      <c r="C63" s="578">
        <f>-'bilans '!B464-'bilans '!B358-'bilans '!B461-'bilans '!B462</f>
        <v>6796465.54</v>
      </c>
      <c r="D63" s="578"/>
      <c r="E63" s="578">
        <f>-'bilans '!B365-'bilans '!B474</f>
        <v>397443.489999999</v>
      </c>
      <c r="F63" s="1606">
        <f>SUM(B63:E63)</f>
        <v>7193909.0299999993</v>
      </c>
      <c r="G63" s="647">
        <f>F63-'FC Spr.z syt.finans.'!B53-'FC Spr.z syt.finans.'!B67</f>
        <v>0</v>
      </c>
      <c r="H63" s="939" t="s">
        <v>2334</v>
      </c>
      <c r="I63" s="939" t="s">
        <v>3525</v>
      </c>
      <c r="J63" s="939" t="s">
        <v>2334</v>
      </c>
      <c r="K63" s="939" t="s">
        <v>2250</v>
      </c>
      <c r="L63" s="298" t="s">
        <v>2253</v>
      </c>
      <c r="M63" s="298" t="s">
        <v>2232</v>
      </c>
      <c r="N63" s="298" t="s">
        <v>2254</v>
      </c>
      <c r="O63" s="298" t="s">
        <v>3175</v>
      </c>
    </row>
    <row r="64" spans="1:15">
      <c r="A64" s="576" t="s">
        <v>2744</v>
      </c>
      <c r="B64" s="578">
        <f>K65</f>
        <v>34935.550000000003</v>
      </c>
      <c r="C64" s="578">
        <f>-'bilans '!B384-B64-D64</f>
        <v>2083647.12</v>
      </c>
      <c r="D64" s="578">
        <f>-'bilans '!B411-'bilans '!B412-'bilans '!B413-'bilans '!B415-'bilans '!B416</f>
        <v>110353.29</v>
      </c>
      <c r="E64" s="578">
        <f>-'bilans '!B417</f>
        <v>10180814.099999897</v>
      </c>
      <c r="F64" s="1606">
        <f>SUM(B64:E64)</f>
        <v>12409750.059999898</v>
      </c>
      <c r="G64" s="647">
        <f>F64-'FC Spr.z syt.finans.'!B65</f>
        <v>0</v>
      </c>
      <c r="H64" s="987">
        <v>2100045</v>
      </c>
      <c r="I64" s="291">
        <f>-'bilans '!B412-'bilans '!B416-'bilans '!B411-'bilans '!B413-'bilans '!B415</f>
        <v>110353.29</v>
      </c>
      <c r="J64" s="987">
        <v>2000052</v>
      </c>
      <c r="K64" s="1027">
        <v>34935.550000000003</v>
      </c>
      <c r="L64" s="291"/>
      <c r="M64" s="291"/>
      <c r="N64" s="291"/>
      <c r="O64" s="291"/>
    </row>
    <row r="65" spans="1:15">
      <c r="A65" s="576" t="s">
        <v>2821</v>
      </c>
      <c r="B65" s="578">
        <f>I68</f>
        <v>0</v>
      </c>
      <c r="C65" s="578">
        <f>-'bilans '!B504-'noty pozostałe'!B65+'bilans '!B210</f>
        <v>0</v>
      </c>
      <c r="D65" s="578"/>
      <c r="E65" s="578">
        <f>-'bilans '!B486-'bilans '!B497-'bilans '!B508-'bilans '!B380</f>
        <v>1884636.5499999989</v>
      </c>
      <c r="F65" s="1606">
        <f>SUM(B65:E65)</f>
        <v>1884636.5499999989</v>
      </c>
      <c r="G65" s="647">
        <f>F65-'FC Spr.z syt.finans.'!B56-'FC Spr.z syt.finans.'!B71</f>
        <v>0</v>
      </c>
      <c r="H65" s="988" t="s">
        <v>3526</v>
      </c>
      <c r="I65" s="291"/>
      <c r="J65" s="988"/>
      <c r="K65" s="201">
        <f>K64+L64+M64+N64+O64</f>
        <v>34935.550000000003</v>
      </c>
      <c r="L65" s="384"/>
      <c r="M65" s="384"/>
      <c r="N65" s="384"/>
      <c r="O65" s="384"/>
    </row>
    <row r="66" spans="1:15" ht="15" thickBot="1">
      <c r="A66" s="1615" t="s">
        <v>1490</v>
      </c>
      <c r="B66" s="1619"/>
      <c r="C66" s="1619"/>
      <c r="D66" s="1619"/>
      <c r="E66" s="1619">
        <f>'FC Spr.z syt.finans.'!B72</f>
        <v>15198929.059999961</v>
      </c>
      <c r="F66" s="1620">
        <f>SUM(B66:E66)</f>
        <v>15198929.059999961</v>
      </c>
      <c r="G66" s="647">
        <f>F66-'FC Spr.z syt.finans.'!B72</f>
        <v>0</v>
      </c>
      <c r="H66" s="990">
        <f>I66-D64</f>
        <v>0</v>
      </c>
      <c r="I66" s="201">
        <f>I65+I64</f>
        <v>110353.29</v>
      </c>
      <c r="J66" s="298"/>
      <c r="K66" s="384"/>
      <c r="L66" s="384"/>
      <c r="M66" s="384"/>
      <c r="N66" s="384"/>
      <c r="O66" s="384"/>
    </row>
    <row r="67" spans="1:15" ht="15" thickTop="1">
      <c r="H67" s="939" t="s">
        <v>2334</v>
      </c>
      <c r="I67" s="940" t="s">
        <v>183</v>
      </c>
    </row>
    <row r="68" spans="1:15">
      <c r="H68" s="987">
        <v>2000052</v>
      </c>
      <c r="I68" s="201">
        <v>0</v>
      </c>
    </row>
    <row r="69" spans="1:15" s="384" customFormat="1" ht="15" thickBot="1">
      <c r="A69" s="572" t="s">
        <v>3668</v>
      </c>
      <c r="J69"/>
      <c r="K69"/>
      <c r="L69"/>
      <c r="M69"/>
      <c r="N69"/>
      <c r="O69"/>
    </row>
    <row r="70" spans="1:15" s="384" customFormat="1" ht="33" customHeight="1" thickBot="1">
      <c r="A70" s="1572" t="s">
        <v>2818</v>
      </c>
      <c r="B70" s="1493" t="s">
        <v>2806</v>
      </c>
      <c r="C70" s="1493" t="s">
        <v>2807</v>
      </c>
      <c r="D70" s="1493" t="s">
        <v>2808</v>
      </c>
      <c r="E70" s="1493" t="s">
        <v>2809</v>
      </c>
      <c r="F70" s="1614" t="s">
        <v>2565</v>
      </c>
      <c r="G70" s="577"/>
      <c r="I70" s="989">
        <v>45261</v>
      </c>
      <c r="K70" s="989">
        <v>45261</v>
      </c>
    </row>
    <row r="71" spans="1:15" s="384" customFormat="1" ht="24" customHeight="1" thickBot="1">
      <c r="A71" s="579" t="s">
        <v>2819</v>
      </c>
      <c r="B71" s="575">
        <v>34935.550000000003</v>
      </c>
      <c r="C71" s="575">
        <v>9369365.3899999801</v>
      </c>
      <c r="D71" s="575">
        <v>5120.8</v>
      </c>
      <c r="E71" s="575">
        <v>8690700.0299998894</v>
      </c>
      <c r="F71" s="1363">
        <v>18100121.769999869</v>
      </c>
      <c r="G71" s="530"/>
      <c r="I71" s="524" t="s">
        <v>2808</v>
      </c>
      <c r="K71" s="524" t="s">
        <v>2806</v>
      </c>
    </row>
    <row r="72" spans="1:15" s="384" customFormat="1">
      <c r="A72" s="576" t="s">
        <v>2820</v>
      </c>
      <c r="B72" s="147">
        <v>0</v>
      </c>
      <c r="C72" s="147">
        <v>7017598.4999999898</v>
      </c>
      <c r="D72" s="147"/>
      <c r="E72" s="147">
        <v>415092.239999999</v>
      </c>
      <c r="F72" s="1363">
        <v>7432690.739999989</v>
      </c>
      <c r="G72" s="647">
        <f>F72-'FC Spr.z syt.finans.'!C53-'FC Spr.z syt.finans.'!C67</f>
        <v>0</v>
      </c>
      <c r="H72" s="939" t="s">
        <v>2334</v>
      </c>
      <c r="I72" s="939" t="s">
        <v>3525</v>
      </c>
      <c r="J72" s="939" t="s">
        <v>2334</v>
      </c>
      <c r="K72" s="939" t="s">
        <v>2250</v>
      </c>
      <c r="L72" s="298" t="s">
        <v>2253</v>
      </c>
      <c r="M72" s="298" t="s">
        <v>2232</v>
      </c>
      <c r="N72" s="298" t="s">
        <v>2254</v>
      </c>
      <c r="O72" s="298" t="s">
        <v>3175</v>
      </c>
    </row>
    <row r="73" spans="1:15" s="384" customFormat="1">
      <c r="A73" s="576" t="s">
        <v>2744</v>
      </c>
      <c r="B73" s="147">
        <v>34935.550000000003</v>
      </c>
      <c r="C73" s="147">
        <v>2351766.8899999904</v>
      </c>
      <c r="D73" s="147">
        <v>5120.8</v>
      </c>
      <c r="E73" s="147">
        <v>6190458.0299998997</v>
      </c>
      <c r="F73" s="1363">
        <v>8582281.2699998897</v>
      </c>
      <c r="G73" s="647">
        <f>F73-'FC Spr.z syt.finans.'!C65</f>
        <v>0</v>
      </c>
      <c r="H73" s="987">
        <v>2100045</v>
      </c>
      <c r="I73" s="291">
        <v>138878.32</v>
      </c>
      <c r="J73" s="987">
        <v>2000052</v>
      </c>
      <c r="K73" s="291">
        <v>55075.28</v>
      </c>
    </row>
    <row r="74" spans="1:15" s="384" customFormat="1">
      <c r="A74" s="576" t="s">
        <v>2821</v>
      </c>
      <c r="B74" s="147">
        <v>0</v>
      </c>
      <c r="C74" s="147">
        <v>0</v>
      </c>
      <c r="D74" s="147"/>
      <c r="E74" s="147">
        <v>2085149.75999999</v>
      </c>
      <c r="F74" s="1363">
        <v>2085149.75999999</v>
      </c>
      <c r="G74" s="647">
        <f>F74-'FC Spr.z syt.finans.'!C56-'FC Spr.z syt.finans.'!C71</f>
        <v>0</v>
      </c>
      <c r="H74" s="988" t="s">
        <v>3526</v>
      </c>
      <c r="I74" s="291"/>
      <c r="J74" s="988"/>
      <c r="K74" s="201">
        <v>55075.28</v>
      </c>
    </row>
    <row r="75" spans="1:15" s="384" customFormat="1" ht="15" thickBot="1">
      <c r="A75" s="1615" t="s">
        <v>1490</v>
      </c>
      <c r="B75" s="1616"/>
      <c r="C75" s="1616"/>
      <c r="D75" s="1616"/>
      <c r="E75" s="1616">
        <v>24718722.919999961</v>
      </c>
      <c r="F75" s="1396">
        <v>24718722.919999961</v>
      </c>
      <c r="G75" s="647">
        <f>F75-'FC Spr.z syt.finans.'!C72</f>
        <v>0</v>
      </c>
      <c r="H75" s="298"/>
      <c r="I75" s="201">
        <v>138878.32</v>
      </c>
      <c r="J75" s="298"/>
    </row>
    <row r="76" spans="1:15" ht="15" thickTop="1">
      <c r="H76" s="939" t="s">
        <v>2334</v>
      </c>
      <c r="I76" s="940" t="s">
        <v>183</v>
      </c>
    </row>
    <row r="77" spans="1:15">
      <c r="H77" s="987">
        <v>2000052</v>
      </c>
      <c r="I77" s="201">
        <v>0</v>
      </c>
    </row>
    <row r="78" spans="1:15" ht="15" thickBot="1">
      <c r="A78" s="1450" t="s">
        <v>2822</v>
      </c>
    </row>
    <row r="79" spans="1:15">
      <c r="A79" s="1704"/>
      <c r="B79" s="1552" t="s">
        <v>2009</v>
      </c>
      <c r="C79" s="1553" t="s">
        <v>2009</v>
      </c>
      <c r="D79" s="863"/>
    </row>
    <row r="80" spans="1:15" ht="15" thickBot="1">
      <c r="A80" s="1705"/>
      <c r="B80" s="1574" t="s">
        <v>3859</v>
      </c>
      <c r="C80" s="1567" t="s">
        <v>3649</v>
      </c>
      <c r="D80" s="863"/>
    </row>
    <row r="81" spans="1:4">
      <c r="A81" s="57" t="s">
        <v>2823</v>
      </c>
      <c r="B81" s="48">
        <f>'RZiS, koszty rodz.'!B440+'RZiS, koszty rodz.'!B443+'RZiS, koszty rodz.'!B441</f>
        <v>536697.64</v>
      </c>
      <c r="C81" s="477">
        <v>629222</v>
      </c>
      <c r="D81" s="863"/>
    </row>
    <row r="82" spans="1:4">
      <c r="A82" s="57" t="s">
        <v>2824</v>
      </c>
      <c r="B82" s="48">
        <f>'RZiS, koszty rodz.'!B362</f>
        <v>158536.079999999</v>
      </c>
      <c r="C82" s="477">
        <v>220131.299999999</v>
      </c>
      <c r="D82" s="863"/>
    </row>
    <row r="83" spans="1:4" ht="21" thickBot="1">
      <c r="A83" s="1411" t="s">
        <v>2825</v>
      </c>
      <c r="B83" s="1406">
        <f>B82+B81</f>
        <v>695233.71999999904</v>
      </c>
      <c r="C83" s="1550">
        <v>849353.299999999</v>
      </c>
      <c r="D83" s="863"/>
    </row>
    <row r="84" spans="1:4" ht="15" thickTop="1">
      <c r="B84" s="201">
        <f>B83-'RZiS, koszty rodz.'!B440-'RZiS, koszty rodz.'!B443-'RZiS, koszty rodz.'!B362-'RZiS, koszty rodz.'!B441</f>
        <v>2.9103830456733704E-11</v>
      </c>
      <c r="C84" s="201">
        <f>C83-'RZiS, koszty rodz.'!C440-'RZiS, koszty rodz.'!C443-'RZiS, koszty rodz.'!C362-'RZiS, koszty rodz.'!C441</f>
        <v>0</v>
      </c>
    </row>
  </sheetData>
  <mergeCells count="10">
    <mergeCell ref="A39:E39"/>
    <mergeCell ref="A79:A80"/>
    <mergeCell ref="A2:A3"/>
    <mergeCell ref="D2:D6"/>
    <mergeCell ref="D9:D13"/>
    <mergeCell ref="J18:N18"/>
    <mergeCell ref="H18:H25"/>
    <mergeCell ref="A1:B1"/>
    <mergeCell ref="A9:A10"/>
    <mergeCell ref="A16:C1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0"/>
  <sheetViews>
    <sheetView showGridLines="0" zoomScale="80" zoomScaleNormal="80" workbookViewId="0">
      <pane xSplit="3" ySplit="1" topLeftCell="D2" activePane="bottomRight" state="frozen"/>
      <selection pane="topRight" activeCell="D1" sqref="D1"/>
      <selection pane="bottomLeft" activeCell="A13" sqref="A13"/>
      <selection pane="bottomRight" activeCell="L10" sqref="L10"/>
    </sheetView>
  </sheetViews>
  <sheetFormatPr defaultColWidth="9.109375" defaultRowHeight="13.8"/>
  <cols>
    <col min="1" max="1" width="6.109375" style="83" customWidth="1"/>
    <col min="2" max="2" width="15.44140625" style="83" customWidth="1"/>
    <col min="3" max="3" width="20.33203125" style="83" customWidth="1"/>
    <col min="4" max="4" width="13.5546875" style="83" customWidth="1"/>
    <col min="5" max="5" width="11.5546875" style="83" customWidth="1"/>
    <col min="6" max="6" width="12.33203125" style="83" customWidth="1"/>
    <col min="7" max="10" width="16.6640625" style="83" customWidth="1"/>
    <col min="11" max="11" width="15.5546875" style="83" customWidth="1"/>
    <col min="12" max="12" width="16.44140625" style="83" customWidth="1"/>
    <col min="13" max="13" width="15.33203125" style="83" customWidth="1"/>
    <col min="14" max="14" width="14.33203125" style="83" customWidth="1"/>
    <col min="15" max="17" width="13.33203125" style="83" customWidth="1"/>
    <col min="18" max="18" width="5.88671875" style="83" customWidth="1"/>
    <col min="19" max="19" width="14.88671875" style="83" customWidth="1"/>
    <col min="20" max="20" width="12.109375" style="83" customWidth="1"/>
    <col min="21" max="21" width="13.88671875" style="83" customWidth="1"/>
    <col min="22" max="22" width="11.6640625" style="83" customWidth="1"/>
    <col min="23" max="23" width="13.109375" style="83" customWidth="1"/>
    <col min="24" max="24" width="17.6640625" style="83" customWidth="1"/>
    <col min="25" max="25" width="9.109375" style="83"/>
    <col min="26" max="26" width="11.88671875" style="83" customWidth="1"/>
    <col min="27" max="16384" width="9.109375" style="83"/>
  </cols>
  <sheetData>
    <row r="1" spans="1:26" s="85" customFormat="1" ht="69">
      <c r="A1" s="1847" t="s">
        <v>1760</v>
      </c>
      <c r="B1" s="1848"/>
      <c r="C1" s="1849"/>
      <c r="D1" s="92" t="s">
        <v>1761</v>
      </c>
      <c r="E1" s="92" t="s">
        <v>1762</v>
      </c>
      <c r="F1" s="92" t="s">
        <v>1763</v>
      </c>
      <c r="G1" s="92" t="s">
        <v>1764</v>
      </c>
      <c r="H1" s="92" t="s">
        <v>1765</v>
      </c>
      <c r="I1" s="92" t="s">
        <v>1766</v>
      </c>
      <c r="J1" s="93" t="s">
        <v>1767</v>
      </c>
      <c r="K1" s="93" t="s">
        <v>1501</v>
      </c>
      <c r="L1" s="93" t="s">
        <v>1768</v>
      </c>
      <c r="M1" s="93" t="s">
        <v>1769</v>
      </c>
      <c r="O1" s="94"/>
      <c r="P1" s="94"/>
      <c r="Q1" s="95"/>
      <c r="R1" s="95"/>
      <c r="S1" s="94"/>
      <c r="T1" s="94"/>
      <c r="U1" s="95"/>
    </row>
    <row r="2" spans="1:26" s="85" customFormat="1">
      <c r="A2" s="1843" t="s">
        <v>1770</v>
      </c>
      <c r="B2" s="1843"/>
      <c r="C2" s="1843"/>
      <c r="D2" s="96">
        <v>3101769</v>
      </c>
      <c r="E2" s="96">
        <v>0</v>
      </c>
      <c r="F2" s="96">
        <v>0</v>
      </c>
      <c r="G2" s="96">
        <v>0</v>
      </c>
      <c r="H2" s="96">
        <v>0</v>
      </c>
      <c r="I2" s="96">
        <v>0</v>
      </c>
      <c r="J2" s="96">
        <v>0</v>
      </c>
      <c r="K2" s="97">
        <v>3101769</v>
      </c>
      <c r="L2" s="96">
        <v>11190699</v>
      </c>
      <c r="M2" s="97">
        <v>14292468</v>
      </c>
      <c r="O2" s="88"/>
      <c r="P2" s="88"/>
      <c r="Q2" s="91"/>
      <c r="R2" s="91"/>
      <c r="S2" s="98"/>
      <c r="T2" s="98"/>
      <c r="U2" s="91"/>
    </row>
    <row r="3" spans="1:26" s="85" customFormat="1">
      <c r="A3" s="1846" t="s">
        <v>1771</v>
      </c>
      <c r="B3" s="1846"/>
      <c r="C3" s="1846"/>
      <c r="D3" s="99">
        <v>0</v>
      </c>
      <c r="E3" s="99"/>
      <c r="F3" s="99"/>
      <c r="G3" s="99"/>
      <c r="H3" s="99"/>
      <c r="I3" s="99"/>
      <c r="J3" s="99"/>
      <c r="K3" s="100">
        <f t="shared" ref="K3:K9" si="0">SUM(D3:J3)</f>
        <v>0</v>
      </c>
      <c r="L3" s="99">
        <v>0</v>
      </c>
      <c r="M3" s="100">
        <f t="shared" ref="M3:M15" si="1">L3+K3</f>
        <v>0</v>
      </c>
      <c r="O3" s="88"/>
      <c r="P3" s="88"/>
      <c r="Q3" s="91"/>
      <c r="R3" s="91"/>
      <c r="S3" s="98"/>
      <c r="T3" s="98"/>
      <c r="U3" s="101"/>
      <c r="V3" s="102"/>
    </row>
    <row r="4" spans="1:26" s="85" customFormat="1">
      <c r="A4" s="1846" t="s">
        <v>1772</v>
      </c>
      <c r="B4" s="1846"/>
      <c r="C4" s="1846"/>
      <c r="D4" s="99">
        <f>26822+79262+16970</f>
        <v>123054</v>
      </c>
      <c r="E4" s="99"/>
      <c r="F4" s="99"/>
      <c r="G4" s="99"/>
      <c r="H4" s="99"/>
      <c r="I4" s="99"/>
      <c r="J4" s="99"/>
      <c r="K4" s="100">
        <f t="shared" si="0"/>
        <v>123054</v>
      </c>
      <c r="L4" s="99">
        <v>346749</v>
      </c>
      <c r="M4" s="100">
        <f t="shared" si="1"/>
        <v>469803</v>
      </c>
      <c r="O4" s="88"/>
      <c r="P4" s="88"/>
      <c r="Q4" s="91"/>
      <c r="R4" s="91"/>
      <c r="S4" s="98"/>
      <c r="T4" s="98"/>
      <c r="U4" s="101"/>
      <c r="V4" s="102"/>
      <c r="Z4" s="87"/>
    </row>
    <row r="5" spans="1:26" s="85" customFormat="1">
      <c r="A5" s="1846" t="s">
        <v>1773</v>
      </c>
      <c r="B5" s="1846"/>
      <c r="C5" s="1846"/>
      <c r="D5" s="103"/>
      <c r="E5" s="99"/>
      <c r="F5" s="99"/>
      <c r="G5" s="99"/>
      <c r="H5" s="99"/>
      <c r="I5" s="99"/>
      <c r="J5" s="99"/>
      <c r="K5" s="100">
        <f t="shared" si="0"/>
        <v>0</v>
      </c>
      <c r="L5" s="99"/>
      <c r="M5" s="100">
        <f t="shared" si="1"/>
        <v>0</v>
      </c>
      <c r="O5" s="88"/>
      <c r="P5" s="88"/>
      <c r="Q5" s="91"/>
      <c r="R5" s="91"/>
      <c r="S5" s="98"/>
      <c r="T5" s="98"/>
      <c r="U5" s="101"/>
      <c r="V5" s="102"/>
      <c r="Z5" s="87"/>
    </row>
    <row r="6" spans="1:26" s="85" customFormat="1" ht="12.75" customHeight="1">
      <c r="A6" s="1846" t="s">
        <v>1774</v>
      </c>
      <c r="B6" s="1846"/>
      <c r="C6" s="1846"/>
      <c r="D6" s="103">
        <f>-41702-473100-12137</f>
        <v>-526939</v>
      </c>
      <c r="E6" s="99"/>
      <c r="F6" s="99"/>
      <c r="G6" s="99"/>
      <c r="H6" s="99"/>
      <c r="I6" s="99"/>
      <c r="J6" s="99"/>
      <c r="K6" s="100">
        <f t="shared" si="0"/>
        <v>-526939</v>
      </c>
      <c r="L6" s="99">
        <v>-1087443</v>
      </c>
      <c r="M6" s="100">
        <f t="shared" si="1"/>
        <v>-1614382</v>
      </c>
      <c r="O6" s="88"/>
      <c r="P6" s="88"/>
      <c r="Q6" s="91"/>
      <c r="R6" s="91"/>
      <c r="S6" s="98"/>
      <c r="T6" s="98"/>
      <c r="U6" s="101"/>
      <c r="V6" s="102"/>
      <c r="Z6" s="87"/>
    </row>
    <row r="7" spans="1:26" s="85" customFormat="1">
      <c r="A7" s="1846" t="s">
        <v>1775</v>
      </c>
      <c r="B7" s="1846"/>
      <c r="C7" s="1846"/>
      <c r="D7" s="99"/>
      <c r="E7" s="99"/>
      <c r="F7" s="99"/>
      <c r="G7" s="99"/>
      <c r="H7" s="99"/>
      <c r="I7" s="99"/>
      <c r="J7" s="99"/>
      <c r="K7" s="100">
        <f t="shared" si="0"/>
        <v>0</v>
      </c>
      <c r="L7" s="99"/>
      <c r="M7" s="100">
        <f t="shared" si="1"/>
        <v>0</v>
      </c>
      <c r="O7" s="88"/>
      <c r="P7" s="88"/>
      <c r="Q7" s="91"/>
      <c r="R7" s="91"/>
      <c r="S7" s="98"/>
      <c r="T7" s="98"/>
      <c r="U7" s="101"/>
      <c r="V7" s="102"/>
    </row>
    <row r="8" spans="1:26" s="85" customFormat="1" ht="12.75" customHeight="1">
      <c r="A8" s="1846" t="s">
        <v>1776</v>
      </c>
      <c r="B8" s="1846"/>
      <c r="C8" s="1846"/>
      <c r="D8" s="99"/>
      <c r="E8" s="99"/>
      <c r="F8" s="99"/>
      <c r="G8" s="99"/>
      <c r="H8" s="99"/>
      <c r="I8" s="99"/>
      <c r="J8" s="99"/>
      <c r="K8" s="100">
        <f t="shared" si="0"/>
        <v>0</v>
      </c>
      <c r="L8" s="99"/>
      <c r="M8" s="100">
        <f t="shared" si="1"/>
        <v>0</v>
      </c>
      <c r="O8" s="88"/>
      <c r="P8" s="88"/>
      <c r="Q8" s="91"/>
      <c r="R8" s="91"/>
      <c r="S8" s="98"/>
      <c r="T8" s="98"/>
      <c r="U8" s="101"/>
      <c r="V8" s="102"/>
    </row>
    <row r="9" spans="1:26" s="85" customFormat="1" ht="12.75" customHeight="1">
      <c r="A9" s="1846" t="s">
        <v>1777</v>
      </c>
      <c r="B9" s="1846"/>
      <c r="C9" s="1846"/>
      <c r="D9" s="99">
        <f>8195+121581+5396</f>
        <v>135172</v>
      </c>
      <c r="E9" s="99"/>
      <c r="F9" s="99"/>
      <c r="G9" s="99"/>
      <c r="H9" s="99"/>
      <c r="I9" s="99"/>
      <c r="J9" s="99"/>
      <c r="K9" s="100">
        <f t="shared" si="0"/>
        <v>135172</v>
      </c>
      <c r="L9" s="99">
        <v>486939</v>
      </c>
      <c r="M9" s="100">
        <f t="shared" si="1"/>
        <v>622111</v>
      </c>
      <c r="O9" s="88"/>
      <c r="P9" s="88"/>
      <c r="Q9" s="91"/>
      <c r="R9" s="91"/>
      <c r="S9" s="98"/>
      <c r="T9" s="98"/>
      <c r="U9" s="101"/>
      <c r="V9" s="102"/>
    </row>
    <row r="10" spans="1:26" s="85" customFormat="1" ht="12.75" customHeight="1">
      <c r="A10" s="1846" t="s">
        <v>1508</v>
      </c>
      <c r="B10" s="1846"/>
      <c r="C10" s="1846"/>
      <c r="D10" s="99"/>
      <c r="E10" s="99"/>
      <c r="F10" s="99"/>
      <c r="G10" s="99"/>
      <c r="H10" s="99"/>
      <c r="I10" s="99"/>
      <c r="J10" s="99"/>
      <c r="K10" s="100">
        <f>SUM(D10:J10)</f>
        <v>0</v>
      </c>
      <c r="L10" s="99"/>
      <c r="M10" s="100">
        <f t="shared" si="1"/>
        <v>0</v>
      </c>
      <c r="O10" s="88"/>
      <c r="P10" s="88"/>
      <c r="Q10" s="91"/>
      <c r="R10" s="91"/>
      <c r="S10" s="98"/>
      <c r="T10" s="98"/>
      <c r="U10" s="91"/>
    </row>
    <row r="11" spans="1:26" s="85" customFormat="1">
      <c r="A11" s="1839" t="s">
        <v>1778</v>
      </c>
      <c r="B11" s="1839"/>
      <c r="C11" s="1839"/>
      <c r="D11" s="97">
        <f>SUM(D2:D10)</f>
        <v>2833056</v>
      </c>
      <c r="E11" s="97">
        <f t="shared" ref="E11:L11" si="2">SUM(E2:E10)</f>
        <v>0</v>
      </c>
      <c r="F11" s="97">
        <f t="shared" si="2"/>
        <v>0</v>
      </c>
      <c r="G11" s="97">
        <f t="shared" si="2"/>
        <v>0</v>
      </c>
      <c r="H11" s="97">
        <f t="shared" si="2"/>
        <v>0</v>
      </c>
      <c r="I11" s="97">
        <f t="shared" si="2"/>
        <v>0</v>
      </c>
      <c r="J11" s="97">
        <f t="shared" si="2"/>
        <v>0</v>
      </c>
      <c r="K11" s="97">
        <f t="shared" si="2"/>
        <v>2833056</v>
      </c>
      <c r="L11" s="97">
        <f t="shared" si="2"/>
        <v>10936944</v>
      </c>
      <c r="M11" s="97">
        <f t="shared" si="1"/>
        <v>13770000</v>
      </c>
      <c r="O11" s="91"/>
      <c r="P11" s="91"/>
      <c r="Q11" s="91"/>
      <c r="R11" s="91"/>
      <c r="S11" s="91"/>
      <c r="T11" s="91"/>
      <c r="U11" s="91"/>
    </row>
    <row r="12" spans="1:26" s="85" customFormat="1">
      <c r="A12" s="1840"/>
      <c r="B12" s="1841"/>
      <c r="C12" s="1842"/>
      <c r="D12" s="104"/>
      <c r="E12" s="104"/>
      <c r="F12" s="104"/>
      <c r="G12" s="104"/>
      <c r="H12" s="104"/>
      <c r="I12" s="104"/>
      <c r="J12" s="104"/>
      <c r="K12" s="99"/>
      <c r="L12" s="104"/>
      <c r="M12" s="100">
        <f t="shared" si="1"/>
        <v>0</v>
      </c>
      <c r="O12" s="88"/>
      <c r="P12" s="88"/>
      <c r="Q12" s="91"/>
      <c r="R12" s="91"/>
      <c r="U12" s="91"/>
    </row>
    <row r="13" spans="1:26" s="85" customFormat="1">
      <c r="A13" s="1843" t="s">
        <v>3747</v>
      </c>
      <c r="B13" s="1843"/>
      <c r="C13" s="1843"/>
      <c r="D13" s="99">
        <f>48946+378439+20938</f>
        <v>448323</v>
      </c>
      <c r="E13" s="99">
        <v>0</v>
      </c>
      <c r="F13" s="99">
        <v>0</v>
      </c>
      <c r="G13" s="99">
        <v>0</v>
      </c>
      <c r="H13" s="99">
        <v>0</v>
      </c>
      <c r="I13" s="99">
        <v>0</v>
      </c>
      <c r="J13" s="99">
        <v>0</v>
      </c>
      <c r="K13" s="100">
        <f>SUM(D13:J13)</f>
        <v>448323</v>
      </c>
      <c r="L13" s="99"/>
      <c r="M13" s="100">
        <f t="shared" si="1"/>
        <v>448323</v>
      </c>
      <c r="O13" s="88"/>
      <c r="P13" s="88"/>
      <c r="Q13" s="91"/>
      <c r="R13" s="91"/>
      <c r="S13" s="98"/>
      <c r="T13" s="98"/>
      <c r="U13" s="91"/>
    </row>
    <row r="14" spans="1:26" s="85" customFormat="1" ht="12.75" customHeight="1">
      <c r="A14" s="1843" t="s">
        <v>3748</v>
      </c>
      <c r="B14" s="1843"/>
      <c r="C14" s="1843"/>
      <c r="D14" s="99">
        <f>131306+2140994+112433</f>
        <v>2384733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100">
        <f>SUM(D14:J14)</f>
        <v>2384733</v>
      </c>
      <c r="L14" s="99"/>
      <c r="M14" s="100">
        <f t="shared" si="1"/>
        <v>2384733</v>
      </c>
      <c r="O14" s="88"/>
      <c r="P14" s="88"/>
      <c r="Q14" s="91"/>
      <c r="R14" s="91"/>
      <c r="S14" s="98"/>
      <c r="T14" s="98"/>
      <c r="U14" s="91"/>
    </row>
    <row r="15" spans="1:26" s="85" customFormat="1">
      <c r="A15" s="1844"/>
      <c r="B15" s="1844"/>
      <c r="C15" s="1844"/>
      <c r="D15" s="97">
        <f>D14+D13</f>
        <v>2833056</v>
      </c>
      <c r="E15" s="97">
        <f t="shared" ref="E15:L15" si="3">E14+E13</f>
        <v>0</v>
      </c>
      <c r="F15" s="97">
        <f t="shared" si="3"/>
        <v>0</v>
      </c>
      <c r="G15" s="97">
        <f t="shared" si="3"/>
        <v>0</v>
      </c>
      <c r="H15" s="97">
        <f t="shared" si="3"/>
        <v>0</v>
      </c>
      <c r="I15" s="97">
        <f t="shared" si="3"/>
        <v>0</v>
      </c>
      <c r="J15" s="97">
        <f t="shared" si="3"/>
        <v>0</v>
      </c>
      <c r="K15" s="97">
        <f t="shared" si="3"/>
        <v>2833056</v>
      </c>
      <c r="L15" s="97">
        <f t="shared" si="3"/>
        <v>0</v>
      </c>
      <c r="M15" s="97">
        <f t="shared" si="1"/>
        <v>2833056</v>
      </c>
      <c r="N15" s="105"/>
      <c r="O15" s="91"/>
      <c r="P15" s="91"/>
      <c r="Q15" s="91"/>
      <c r="R15" s="91"/>
      <c r="S15" s="91"/>
      <c r="T15" s="91"/>
      <c r="U15" s="91"/>
      <c r="V15" s="89"/>
    </row>
    <row r="16" spans="1:26" s="85" customFormat="1">
      <c r="A16" s="106"/>
      <c r="B16" s="84"/>
      <c r="C16" s="84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O16" s="88"/>
      <c r="P16" s="88"/>
      <c r="Q16" s="91"/>
      <c r="R16" s="91"/>
      <c r="U16" s="91"/>
    </row>
    <row r="17" spans="1:22" s="85" customFormat="1" ht="24.75" customHeight="1">
      <c r="A17" s="1845" t="s">
        <v>1779</v>
      </c>
      <c r="B17" s="1845"/>
      <c r="C17" s="1845"/>
      <c r="D17" s="150">
        <f>D5+D8</f>
        <v>0</v>
      </c>
      <c r="E17" s="99"/>
      <c r="F17" s="99"/>
      <c r="G17" s="99"/>
      <c r="H17" s="99"/>
      <c r="I17" s="99"/>
      <c r="J17" s="99"/>
      <c r="K17" s="100">
        <f>D17</f>
        <v>0</v>
      </c>
      <c r="L17" s="99"/>
      <c r="M17" s="100">
        <f>L17+K17</f>
        <v>0</v>
      </c>
      <c r="O17" s="88"/>
      <c r="P17" s="88"/>
      <c r="Q17" s="91"/>
      <c r="R17" s="91"/>
      <c r="S17" s="98"/>
      <c r="T17" s="98"/>
      <c r="U17" s="91"/>
      <c r="V17" s="90"/>
    </row>
    <row r="18" spans="1:22" s="85" customFormat="1" ht="26.25" customHeight="1">
      <c r="A18" s="1845" t="s">
        <v>1780</v>
      </c>
      <c r="B18" s="1845"/>
      <c r="C18" s="1845"/>
      <c r="D18" s="99"/>
      <c r="E18" s="99"/>
      <c r="F18" s="99"/>
      <c r="G18" s="99"/>
      <c r="H18" s="99"/>
      <c r="I18" s="99"/>
      <c r="J18" s="99"/>
      <c r="K18" s="100"/>
      <c r="L18" s="99"/>
      <c r="M18" s="100">
        <f>L18+K18</f>
        <v>0</v>
      </c>
      <c r="O18" s="88"/>
      <c r="P18" s="88"/>
      <c r="Q18" s="91"/>
      <c r="R18" s="91"/>
      <c r="S18" s="98"/>
      <c r="T18" s="98"/>
      <c r="U18" s="91"/>
      <c r="V18" s="90"/>
    </row>
    <row r="19" spans="1:22" s="85" customFormat="1">
      <c r="A19" s="86"/>
      <c r="B19" s="1838" t="s">
        <v>1781</v>
      </c>
      <c r="C19" s="1838"/>
      <c r="D19" s="142">
        <f>ROUND(M17*19%,2)</f>
        <v>0</v>
      </c>
      <c r="E19" s="128" t="s">
        <v>1782</v>
      </c>
      <c r="F19" s="128"/>
      <c r="G19" s="128"/>
      <c r="K19" s="108"/>
      <c r="L19" s="108"/>
      <c r="M19" s="108"/>
      <c r="N19" s="108"/>
      <c r="O19" s="108"/>
    </row>
    <row r="20" spans="1:22" s="85" customFormat="1">
      <c r="A20" s="86"/>
      <c r="D20" s="131">
        <f>M17-D19</f>
        <v>0</v>
      </c>
      <c r="K20" s="109"/>
      <c r="L20" s="109"/>
      <c r="M20" s="109"/>
      <c r="N20" s="108"/>
      <c r="O20" s="108"/>
    </row>
    <row r="21" spans="1:22" s="85" customFormat="1">
      <c r="A21" s="86"/>
      <c r="I21" s="102"/>
      <c r="J21" s="102"/>
      <c r="K21" s="110"/>
      <c r="L21" s="111"/>
      <c r="M21" s="111"/>
      <c r="N21" s="112"/>
      <c r="O21" s="112"/>
      <c r="S21" s="113"/>
    </row>
    <row r="22" spans="1:22">
      <c r="I22" s="120"/>
      <c r="J22" s="120"/>
      <c r="K22" s="112"/>
      <c r="L22" s="112"/>
      <c r="M22" s="112"/>
      <c r="N22" s="112"/>
      <c r="O22" s="112"/>
      <c r="P22" s="108"/>
      <c r="T22" s="108"/>
    </row>
    <row r="23" spans="1:22">
      <c r="I23" s="120"/>
      <c r="J23" s="120"/>
      <c r="K23" s="110"/>
      <c r="L23" s="112"/>
      <c r="M23" s="112"/>
      <c r="N23" s="111"/>
      <c r="O23" s="112"/>
      <c r="P23" s="108"/>
      <c r="S23" s="113"/>
      <c r="T23" s="108"/>
    </row>
    <row r="24" spans="1:22">
      <c r="I24" s="120"/>
      <c r="J24" s="120"/>
      <c r="K24" s="112"/>
      <c r="L24" s="112"/>
      <c r="M24" s="112"/>
      <c r="N24" s="112"/>
      <c r="O24" s="112"/>
      <c r="P24" s="108"/>
      <c r="S24" s="112"/>
      <c r="T24" s="112"/>
      <c r="U24" s="120"/>
    </row>
    <row r="25" spans="1:22">
      <c r="I25" s="120"/>
      <c r="J25" s="114"/>
      <c r="K25" s="111"/>
      <c r="L25" s="115"/>
      <c r="M25" s="120"/>
      <c r="N25" s="120"/>
      <c r="O25" s="112"/>
      <c r="P25" s="108"/>
      <c r="R25" s="116"/>
      <c r="S25" s="111"/>
      <c r="T25" s="115"/>
      <c r="U25" s="120"/>
    </row>
    <row r="26" spans="1:22">
      <c r="I26" s="120"/>
      <c r="J26" s="114"/>
      <c r="K26" s="111"/>
      <c r="L26" s="115"/>
      <c r="M26" s="120"/>
      <c r="N26" s="120"/>
      <c r="O26" s="112"/>
      <c r="P26" s="108"/>
      <c r="R26" s="116"/>
      <c r="S26" s="111"/>
      <c r="T26" s="115"/>
      <c r="U26" s="120"/>
    </row>
    <row r="27" spans="1:22">
      <c r="I27" s="120"/>
      <c r="J27" s="120"/>
      <c r="K27" s="121"/>
      <c r="L27" s="118"/>
      <c r="M27" s="120"/>
      <c r="N27" s="112"/>
      <c r="O27" s="112"/>
      <c r="P27" s="108"/>
      <c r="S27" s="121"/>
      <c r="T27" s="118"/>
      <c r="U27" s="120"/>
    </row>
    <row r="28" spans="1:22">
      <c r="I28" s="120"/>
      <c r="J28" s="120"/>
      <c r="K28" s="112"/>
      <c r="L28" s="112"/>
      <c r="M28" s="112"/>
      <c r="N28" s="112"/>
      <c r="O28" s="112"/>
      <c r="P28" s="108"/>
      <c r="S28" s="112"/>
      <c r="T28" s="112"/>
      <c r="U28" s="120"/>
    </row>
    <row r="29" spans="1:22">
      <c r="I29" s="120"/>
      <c r="J29" s="120"/>
      <c r="K29" s="117"/>
      <c r="L29" s="119"/>
      <c r="M29" s="120"/>
      <c r="N29" s="119"/>
      <c r="O29" s="120"/>
      <c r="S29" s="117"/>
      <c r="T29" s="118"/>
      <c r="U29" s="120"/>
    </row>
    <row r="30" spans="1:22">
      <c r="I30" s="120"/>
      <c r="J30" s="120"/>
      <c r="K30" s="122"/>
      <c r="L30" s="123"/>
      <c r="M30" s="120"/>
      <c r="N30" s="120"/>
      <c r="O30" s="120"/>
      <c r="S30" s="122"/>
      <c r="T30" s="123"/>
      <c r="U30" s="120"/>
    </row>
    <row r="31" spans="1:22">
      <c r="I31" s="120"/>
      <c r="J31" s="120"/>
      <c r="K31" s="120"/>
      <c r="L31" s="120"/>
      <c r="M31" s="120"/>
      <c r="N31" s="120"/>
      <c r="O31" s="120"/>
      <c r="S31" s="120"/>
      <c r="T31" s="120"/>
      <c r="U31" s="120"/>
    </row>
    <row r="32" spans="1:22">
      <c r="I32" s="120"/>
      <c r="J32" s="120"/>
      <c r="K32" s="120"/>
      <c r="L32" s="120"/>
      <c r="M32" s="120"/>
      <c r="N32" s="120"/>
      <c r="O32" s="120"/>
      <c r="S32" s="120"/>
      <c r="T32" s="120"/>
      <c r="U32" s="120"/>
    </row>
    <row r="33" spans="9:15">
      <c r="I33" s="120"/>
      <c r="J33" s="120"/>
      <c r="K33" s="120"/>
      <c r="L33" s="120"/>
      <c r="M33" s="120"/>
      <c r="N33" s="120"/>
      <c r="O33" s="120"/>
    </row>
    <row r="34" spans="9:15">
      <c r="I34" s="120"/>
      <c r="J34" s="120"/>
      <c r="K34" s="120"/>
      <c r="L34" s="124"/>
      <c r="M34" s="125"/>
      <c r="N34" s="120"/>
      <c r="O34" s="120"/>
    </row>
    <row r="35" spans="9:15">
      <c r="I35" s="120"/>
      <c r="J35" s="120"/>
      <c r="K35" s="120"/>
      <c r="L35" s="124"/>
      <c r="M35" s="125"/>
      <c r="N35" s="120"/>
      <c r="O35" s="120"/>
    </row>
    <row r="36" spans="9:15">
      <c r="I36" s="120"/>
      <c r="J36" s="120"/>
      <c r="K36" s="120"/>
      <c r="L36" s="124"/>
      <c r="M36" s="125"/>
      <c r="N36" s="120"/>
      <c r="O36" s="120"/>
    </row>
    <row r="37" spans="9:15">
      <c r="I37" s="120"/>
      <c r="J37" s="120"/>
      <c r="K37" s="120"/>
      <c r="L37" s="120"/>
      <c r="M37" s="126"/>
      <c r="N37" s="120"/>
      <c r="O37" s="120"/>
    </row>
    <row r="38" spans="9:15">
      <c r="I38" s="120"/>
      <c r="J38" s="120"/>
      <c r="K38" s="120"/>
      <c r="L38" s="120"/>
      <c r="M38" s="123"/>
      <c r="N38" s="127"/>
      <c r="O38" s="120"/>
    </row>
    <row r="39" spans="9:15">
      <c r="I39" s="120"/>
      <c r="J39" s="120"/>
      <c r="K39" s="120"/>
      <c r="L39" s="120"/>
      <c r="M39" s="120"/>
      <c r="N39" s="120"/>
      <c r="O39" s="120"/>
    </row>
    <row r="40" spans="9:15">
      <c r="I40" s="120"/>
      <c r="J40" s="120"/>
      <c r="K40" s="120"/>
      <c r="L40" s="120"/>
      <c r="M40" s="120"/>
      <c r="N40" s="120"/>
      <c r="O40" s="120"/>
    </row>
  </sheetData>
  <mergeCells count="18">
    <mergeCell ref="A10:C10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B19:C19"/>
    <mergeCell ref="A11:C11"/>
    <mergeCell ref="A12:C12"/>
    <mergeCell ref="A13:C13"/>
    <mergeCell ref="A14:C14"/>
    <mergeCell ref="A15:C15"/>
    <mergeCell ref="A17:C17"/>
    <mergeCell ref="A18:C18"/>
  </mergeCells>
  <conditionalFormatting sqref="D2:M18">
    <cfRule type="expression" dxfId="2" priority="1" stopIfTrue="1">
      <formula>MOD(D2,1)&lt;&gt;0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34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G19" sqref="G19"/>
    </sheetView>
  </sheetViews>
  <sheetFormatPr defaultRowHeight="14.4"/>
  <cols>
    <col min="1" max="1" width="49.44140625" customWidth="1"/>
    <col min="3" max="3" width="12.77734375" style="1" customWidth="1"/>
    <col min="4" max="4" width="12.77734375" customWidth="1"/>
    <col min="5" max="7" width="12.77734375" style="1" customWidth="1"/>
    <col min="8" max="8" width="12.77734375" style="5" customWidth="1"/>
    <col min="9" max="9" width="12.77734375" style="1" customWidth="1"/>
    <col min="11" max="11" width="9.88671875" bestFit="1" customWidth="1"/>
  </cols>
  <sheetData>
    <row r="1" spans="1:11" ht="18">
      <c r="A1" s="80" t="s">
        <v>1512</v>
      </c>
    </row>
    <row r="2" spans="1:11" ht="15" thickBot="1"/>
    <row r="3" spans="1:11" ht="21" thickBot="1">
      <c r="A3" s="8"/>
      <c r="B3" s="9" t="s">
        <v>1415</v>
      </c>
      <c r="C3" s="585">
        <f>'RZiS, koszty rodz.'!B4</f>
        <v>45930</v>
      </c>
      <c r="D3" s="669">
        <v>45657</v>
      </c>
      <c r="E3" s="669">
        <v>45291</v>
      </c>
      <c r="F3" s="669">
        <v>44926</v>
      </c>
      <c r="G3" s="669">
        <v>44561</v>
      </c>
      <c r="H3" s="143" t="s">
        <v>1416</v>
      </c>
      <c r="I3" s="23" t="s">
        <v>1417</v>
      </c>
    </row>
    <row r="4" spans="1:11">
      <c r="A4" s="10" t="s">
        <v>1418</v>
      </c>
      <c r="B4" s="11"/>
      <c r="C4" s="29"/>
      <c r="D4" s="144"/>
      <c r="E4" s="144"/>
      <c r="F4" s="144"/>
      <c r="G4" s="144"/>
      <c r="H4" s="144"/>
      <c r="I4" s="24"/>
    </row>
    <row r="5" spans="1:11">
      <c r="A5" s="10"/>
      <c r="B5" s="11"/>
      <c r="C5" s="29"/>
      <c r="D5" s="144"/>
      <c r="E5" s="144"/>
      <c r="F5" s="144"/>
      <c r="G5" s="144"/>
      <c r="H5" s="144"/>
      <c r="I5" s="24"/>
    </row>
    <row r="6" spans="1:11">
      <c r="A6" s="10" t="s">
        <v>1419</v>
      </c>
      <c r="B6" s="12" t="s">
        <v>1420</v>
      </c>
      <c r="C6" s="13">
        <f>'RZiS, koszty rodz.'!B20</f>
        <v>119266220.67</v>
      </c>
      <c r="D6" s="145">
        <v>167359894.83999997</v>
      </c>
      <c r="E6" s="145">
        <v>200003707.94000003</v>
      </c>
      <c r="F6" s="145">
        <v>133916736.76999998</v>
      </c>
      <c r="G6" s="145">
        <f>'RZiS, koszty rodz.'!C20</f>
        <v>167359894.83999997</v>
      </c>
      <c r="H6" s="145">
        <v>228663205.77000001</v>
      </c>
      <c r="I6" s="25">
        <v>233061721.18000001</v>
      </c>
      <c r="K6" s="1"/>
    </row>
    <row r="7" spans="1:11">
      <c r="A7" s="14" t="s">
        <v>1421</v>
      </c>
      <c r="B7" s="12" t="s">
        <v>1422</v>
      </c>
      <c r="C7" s="16">
        <f>-'RZiS, koszty rodz.'!B22</f>
        <v>-102874818.31</v>
      </c>
      <c r="D7" s="1166">
        <v>-143606480.50999901</v>
      </c>
      <c r="E7" s="146">
        <v>-173613785.34</v>
      </c>
      <c r="F7" s="146">
        <v>-121614668.94000001</v>
      </c>
      <c r="G7" s="146">
        <f>-'RZiS, koszty rodz.'!C22</f>
        <v>-143606480.50999901</v>
      </c>
      <c r="H7" s="146">
        <v>-203588175.1099999</v>
      </c>
      <c r="I7" s="26">
        <v>-214259653.21000001</v>
      </c>
    </row>
    <row r="8" spans="1:11">
      <c r="A8" s="10" t="s">
        <v>1423</v>
      </c>
      <c r="B8" s="15"/>
      <c r="C8" s="13">
        <f>C7+C6</f>
        <v>16391402.359999999</v>
      </c>
      <c r="D8" s="145">
        <v>23753414.330000967</v>
      </c>
      <c r="E8" s="145">
        <v>26389922.600000024</v>
      </c>
      <c r="F8" s="145">
        <v>12302067.829999968</v>
      </c>
      <c r="G8" s="145">
        <f>G7+G6</f>
        <v>23753414.330000967</v>
      </c>
      <c r="H8" s="145">
        <v>25075030.660000116</v>
      </c>
      <c r="I8" s="25">
        <f>I7+I6</f>
        <v>18802067.969999999</v>
      </c>
    </row>
    <row r="9" spans="1:11">
      <c r="A9" s="14" t="s">
        <v>1424</v>
      </c>
      <c r="B9" s="12" t="s">
        <v>1422</v>
      </c>
      <c r="C9" s="16"/>
      <c r="D9" s="1166"/>
      <c r="E9" s="146"/>
      <c r="F9" s="146"/>
      <c r="G9" s="146"/>
      <c r="H9" s="146"/>
      <c r="I9" s="26"/>
    </row>
    <row r="10" spans="1:11">
      <c r="A10" s="14" t="s">
        <v>1425</v>
      </c>
      <c r="B10" s="12" t="s">
        <v>1422</v>
      </c>
      <c r="C10" s="16">
        <f>-'RZiS, koszty rodz.'!B65</f>
        <v>-12837409.4</v>
      </c>
      <c r="D10" s="1166">
        <v>-16261133.460000001</v>
      </c>
      <c r="E10" s="146">
        <v>-17229825.719999898</v>
      </c>
      <c r="F10" s="146">
        <v>-15114163.140000001</v>
      </c>
      <c r="G10" s="146">
        <f>-'RZiS, koszty rodz.'!C65</f>
        <v>-16261133.460000001</v>
      </c>
      <c r="H10" s="146">
        <v>-14422120.09</v>
      </c>
      <c r="I10" s="26">
        <v>-12683299.960000001</v>
      </c>
    </row>
    <row r="11" spans="1:11">
      <c r="A11" s="14" t="s">
        <v>1426</v>
      </c>
      <c r="B11" s="12" t="s">
        <v>1427</v>
      </c>
      <c r="C11" s="16">
        <f>'RZiS, koszty rodz.'!B30</f>
        <v>7325082.9799999986</v>
      </c>
      <c r="D11" s="1166">
        <v>276961.7199999998</v>
      </c>
      <c r="E11" s="146">
        <v>2167452.79</v>
      </c>
      <c r="F11" s="146">
        <v>4518144.0799999991</v>
      </c>
      <c r="G11" s="146">
        <f>'RZiS, koszty rodz.'!C30</f>
        <v>276961.7199999998</v>
      </c>
      <c r="H11" s="146">
        <v>26488439.8699999</v>
      </c>
      <c r="I11" s="26">
        <v>1546570.43</v>
      </c>
    </row>
    <row r="12" spans="1:11">
      <c r="A12" s="14" t="s">
        <v>1428</v>
      </c>
      <c r="B12" s="12" t="s">
        <v>1427</v>
      </c>
      <c r="C12" s="16">
        <f>-'RZiS, koszty rodz.'!B66</f>
        <v>-331120.35999999876</v>
      </c>
      <c r="D12" s="1166">
        <v>-1173101.2299999997</v>
      </c>
      <c r="E12" s="146">
        <v>-7013470.6399999978</v>
      </c>
      <c r="F12" s="146">
        <v>-3806722.56</v>
      </c>
      <c r="G12" s="146">
        <f>-'RZiS, koszty rodz.'!C66</f>
        <v>-1173101.2299999997</v>
      </c>
      <c r="H12" s="146">
        <v>-34808900.9799999</v>
      </c>
      <c r="I12" s="26">
        <v>-263371.73</v>
      </c>
    </row>
    <row r="13" spans="1:11">
      <c r="A13" s="10" t="s">
        <v>1429</v>
      </c>
      <c r="B13" s="15"/>
      <c r="C13" s="13">
        <f>C8+C10+C11+C12</f>
        <v>10547955.579999998</v>
      </c>
      <c r="D13" s="145">
        <v>6596141.3600009661</v>
      </c>
      <c r="E13" s="145">
        <v>4314079.0300001269</v>
      </c>
      <c r="F13" s="145">
        <v>-2100673.7900000331</v>
      </c>
      <c r="G13" s="145">
        <f>G8+G10+G11+G12</f>
        <v>6596141.3600009661</v>
      </c>
      <c r="H13" s="145">
        <v>2332449.4600001127</v>
      </c>
      <c r="I13" s="25">
        <f>I8+I10+I11+I12</f>
        <v>7401966.7099999972</v>
      </c>
    </row>
    <row r="14" spans="1:11">
      <c r="A14" s="14" t="s">
        <v>1430</v>
      </c>
      <c r="B14" s="12" t="s">
        <v>1431</v>
      </c>
      <c r="C14" s="16">
        <f>'RZiS, koszty rodz.'!B105</f>
        <v>167936.49999999997</v>
      </c>
      <c r="D14" s="1166">
        <v>20591.959999999992</v>
      </c>
      <c r="E14" s="146">
        <v>19075.679999999982</v>
      </c>
      <c r="F14" s="146">
        <v>7868.27</v>
      </c>
      <c r="G14" s="146">
        <f>'RZiS, koszty rodz.'!C105</f>
        <v>20591.959999999992</v>
      </c>
      <c r="H14" s="146">
        <v>3784.3700000000003</v>
      </c>
      <c r="I14" s="26">
        <v>33264.61</v>
      </c>
    </row>
    <row r="15" spans="1:11">
      <c r="A15" s="14" t="s">
        <v>1432</v>
      </c>
      <c r="B15" s="12" t="s">
        <v>1431</v>
      </c>
      <c r="C15" s="16">
        <f>-'RZiS, koszty rodz.'!B135</f>
        <v>-888198.2799999991</v>
      </c>
      <c r="D15" s="1166">
        <v>-1407256.8699999992</v>
      </c>
      <c r="E15" s="146">
        <v>-2248811.6699999981</v>
      </c>
      <c r="F15" s="146">
        <v>-2226813.5699999998</v>
      </c>
      <c r="G15" s="146">
        <f>-'RZiS, koszty rodz.'!C135</f>
        <v>-1407256.8699999992</v>
      </c>
      <c r="H15" s="146">
        <v>-1816636.0599999968</v>
      </c>
      <c r="I15" s="26">
        <v>-1170718.1000000001</v>
      </c>
    </row>
    <row r="16" spans="1:11">
      <c r="A16" s="10" t="s">
        <v>1433</v>
      </c>
      <c r="B16" s="15"/>
      <c r="C16" s="13">
        <f>C13+C14+C15</f>
        <v>9827693.7999999989</v>
      </c>
      <c r="D16" s="145">
        <v>5209476.4500009669</v>
      </c>
      <c r="E16" s="145">
        <v>2084343.0400001286</v>
      </c>
      <c r="F16" s="145">
        <v>-4319619.0900000334</v>
      </c>
      <c r="G16" s="145">
        <f>G13+G14+G15</f>
        <v>5209476.4500009669</v>
      </c>
      <c r="H16" s="145">
        <v>519597.77000011597</v>
      </c>
      <c r="I16" s="25">
        <f>I13+I14+I15</f>
        <v>6264513.2199999969</v>
      </c>
    </row>
    <row r="17" spans="1:12">
      <c r="A17" s="14" t="s">
        <v>1434</v>
      </c>
      <c r="B17" s="12" t="s">
        <v>1435</v>
      </c>
      <c r="C17" s="31">
        <f>-'RZiS, koszty rodz.'!B178-'RZiS, koszty rodz.'!B179</f>
        <v>-485661</v>
      </c>
      <c r="D17" s="147">
        <v>-1000738</v>
      </c>
      <c r="E17" s="147">
        <v>-802046</v>
      </c>
      <c r="F17" s="147">
        <v>-868506</v>
      </c>
      <c r="G17" s="147">
        <f>-'RZiS, koszty rodz.'!C178-'RZiS, koszty rodz.'!C179</f>
        <v>-1000738</v>
      </c>
      <c r="H17" s="147">
        <v>-4034082</v>
      </c>
      <c r="I17" s="26">
        <v>-588271</v>
      </c>
    </row>
    <row r="18" spans="1:12">
      <c r="A18" s="14" t="s">
        <v>1436</v>
      </c>
      <c r="B18" s="12" t="s">
        <v>1435</v>
      </c>
      <c r="C18" s="31">
        <f>-'RZiS, koszty rodz.'!B180-'RZiS, koszty rodz.'!B181</f>
        <v>-1422800.01</v>
      </c>
      <c r="D18" s="147">
        <v>-3969596.39</v>
      </c>
      <c r="E18" s="147">
        <v>-596735.99</v>
      </c>
      <c r="F18" s="147">
        <v>1466243.85</v>
      </c>
      <c r="G18" s="147">
        <f>-'RZiS, koszty rodz.'!C180-'RZiS, koszty rodz.'!C181</f>
        <v>-3969596.39</v>
      </c>
      <c r="H18" s="147">
        <v>3659136.0600000005</v>
      </c>
      <c r="I18" s="26">
        <v>-866246.2</v>
      </c>
      <c r="J18" s="228"/>
    </row>
    <row r="19" spans="1:12" ht="15" thickBot="1">
      <c r="A19" s="17" t="s">
        <v>1437</v>
      </c>
      <c r="B19" s="18"/>
      <c r="C19" s="30">
        <f>C16+C17+C18</f>
        <v>7919232.7899999991</v>
      </c>
      <c r="D19" s="148">
        <v>239142.06000096677</v>
      </c>
      <c r="E19" s="148">
        <v>685561.05000012857</v>
      </c>
      <c r="F19" s="148">
        <v>-3721881.2400000333</v>
      </c>
      <c r="G19" s="148">
        <f>G16+G17+G18</f>
        <v>239142.06000096677</v>
      </c>
      <c r="H19" s="148">
        <v>144651.83000011649</v>
      </c>
      <c r="I19" s="27">
        <f>I16+I18+I17</f>
        <v>4809996.0199999968</v>
      </c>
      <c r="J19" s="201">
        <f>C19-'RZiS, koszty rodz.'!B190</f>
        <v>0</v>
      </c>
    </row>
    <row r="20" spans="1:12" ht="15" thickTop="1">
      <c r="A20" s="19"/>
      <c r="B20" s="20"/>
      <c r="C20" s="16"/>
      <c r="D20" s="1166"/>
      <c r="E20" s="146"/>
      <c r="F20" s="146"/>
      <c r="G20" s="146"/>
      <c r="H20" s="146"/>
      <c r="I20" s="26"/>
    </row>
    <row r="21" spans="1:12">
      <c r="A21" s="10" t="s">
        <v>1438</v>
      </c>
      <c r="B21" s="20"/>
      <c r="C21" s="16"/>
      <c r="D21" s="1166"/>
      <c r="E21" s="146"/>
      <c r="F21" s="146"/>
      <c r="G21" s="146"/>
      <c r="H21" s="146"/>
      <c r="I21" s="26"/>
    </row>
    <row r="22" spans="1:12">
      <c r="A22" s="10" t="s">
        <v>1439</v>
      </c>
      <c r="B22" s="15"/>
      <c r="C22" s="13"/>
      <c r="D22" s="145"/>
      <c r="E22" s="145"/>
      <c r="F22" s="145"/>
      <c r="G22" s="145"/>
      <c r="H22" s="145"/>
      <c r="I22" s="25"/>
    </row>
    <row r="23" spans="1:12">
      <c r="A23" s="14" t="s">
        <v>1440</v>
      </c>
      <c r="B23" s="15"/>
      <c r="C23" s="16"/>
      <c r="D23" s="1166"/>
      <c r="E23" s="146"/>
      <c r="F23" s="146"/>
      <c r="G23" s="146"/>
      <c r="H23" s="146"/>
      <c r="I23" s="26"/>
    </row>
    <row r="24" spans="1:12">
      <c r="A24" s="14" t="s">
        <v>1441</v>
      </c>
      <c r="B24" s="12" t="s">
        <v>1435</v>
      </c>
      <c r="C24" s="16"/>
      <c r="D24" s="1166"/>
      <c r="E24" s="146"/>
      <c r="F24" s="146"/>
      <c r="G24" s="146"/>
      <c r="H24" s="146"/>
      <c r="I24" s="26"/>
    </row>
    <row r="25" spans="1:12">
      <c r="A25" s="10" t="s">
        <v>1442</v>
      </c>
      <c r="B25" s="15"/>
      <c r="C25" s="13"/>
      <c r="D25" s="145"/>
      <c r="E25" s="145"/>
      <c r="F25" s="145"/>
      <c r="G25" s="145"/>
      <c r="H25" s="145"/>
      <c r="I25" s="25"/>
    </row>
    <row r="26" spans="1:12">
      <c r="A26" s="14" t="s">
        <v>1443</v>
      </c>
      <c r="B26" s="15"/>
      <c r="C26" s="16">
        <f>-'wycena rezerw aktuarialnych'!K17</f>
        <v>0</v>
      </c>
      <c r="D26" s="1166">
        <v>180674.80000000002</v>
      </c>
      <c r="E26" s="146">
        <v>-950183.77</v>
      </c>
      <c r="F26" s="146">
        <v>-83371.3</v>
      </c>
      <c r="G26" s="146">
        <v>482210.57</v>
      </c>
      <c r="H26" s="146">
        <v>-208929.86</v>
      </c>
      <c r="I26" s="26">
        <v>-416587</v>
      </c>
      <c r="J26" s="32" t="s">
        <v>1447</v>
      </c>
      <c r="K26" s="33"/>
      <c r="L26" s="33"/>
    </row>
    <row r="27" spans="1:12">
      <c r="A27" s="14" t="s">
        <v>1444</v>
      </c>
      <c r="B27" s="15"/>
      <c r="C27" s="16">
        <f>'wycena rezerw aktuarialnych'!D19</f>
        <v>0</v>
      </c>
      <c r="D27" s="1166">
        <v>-34328.21</v>
      </c>
      <c r="E27" s="146">
        <v>180534.92</v>
      </c>
      <c r="F27" s="146">
        <v>15840.55</v>
      </c>
      <c r="G27" s="146">
        <v>-91620.01</v>
      </c>
      <c r="H27" s="146">
        <v>39696.67</v>
      </c>
      <c r="I27" s="26">
        <v>79151.53</v>
      </c>
      <c r="J27" s="32" t="s">
        <v>1448</v>
      </c>
      <c r="K27" s="33"/>
      <c r="L27" s="33"/>
    </row>
    <row r="28" spans="1:12">
      <c r="A28" s="10" t="s">
        <v>1445</v>
      </c>
      <c r="B28" s="15"/>
      <c r="C28" s="13">
        <f>C27+C26</f>
        <v>0</v>
      </c>
      <c r="D28" s="145">
        <v>146346.59000000003</v>
      </c>
      <c r="E28" s="145">
        <v>-769648.85</v>
      </c>
      <c r="F28" s="145">
        <v>-67530.75</v>
      </c>
      <c r="G28" s="145">
        <v>390590.56</v>
      </c>
      <c r="H28" s="145">
        <v>-169233.19</v>
      </c>
      <c r="I28" s="25">
        <f>I27+I26</f>
        <v>-337435.47</v>
      </c>
    </row>
    <row r="29" spans="1:12">
      <c r="A29" s="19"/>
      <c r="B29" s="15"/>
      <c r="C29" s="13"/>
      <c r="D29" s="145"/>
      <c r="E29" s="145"/>
      <c r="F29" s="145"/>
      <c r="G29" s="145"/>
      <c r="H29" s="145"/>
      <c r="I29" s="25"/>
    </row>
    <row r="30" spans="1:12" ht="15" thickBot="1">
      <c r="A30" s="17" t="s">
        <v>1446</v>
      </c>
      <c r="B30" s="18"/>
      <c r="C30" s="30">
        <f>C28+C19</f>
        <v>7919232.7899999991</v>
      </c>
      <c r="D30" s="148">
        <v>385488.65000096679</v>
      </c>
      <c r="E30" s="148">
        <v>-84087.799999871408</v>
      </c>
      <c r="F30" s="148">
        <v>-3789411.9900000333</v>
      </c>
      <c r="G30" s="148">
        <v>954802.44999910705</v>
      </c>
      <c r="H30" s="148">
        <v>-24581.359999883513</v>
      </c>
      <c r="I30" s="27">
        <f>I28+I19</f>
        <v>4472560.549999997</v>
      </c>
    </row>
    <row r="31" spans="1:12" ht="15" thickTop="1">
      <c r="A31" s="19"/>
      <c r="B31" s="15"/>
      <c r="C31" s="26"/>
      <c r="E31" s="26"/>
      <c r="F31" s="26"/>
      <c r="G31" s="26"/>
      <c r="H31" s="146"/>
      <c r="I31" s="26"/>
    </row>
    <row r="32" spans="1:12" ht="15" thickBot="1">
      <c r="A32" s="21"/>
      <c r="B32" s="22"/>
      <c r="C32" s="28"/>
      <c r="D32" s="28"/>
      <c r="E32" s="28"/>
      <c r="F32" s="28"/>
      <c r="G32" s="28"/>
      <c r="H32" s="149"/>
      <c r="I32" s="28"/>
    </row>
    <row r="34" spans="3:6">
      <c r="C34" s="52">
        <f>C27+C17+C18</f>
        <v>-1908461.01</v>
      </c>
      <c r="E34" s="52"/>
      <c r="F34" s="52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workbookViewId="0">
      <pane xSplit="3" ySplit="3" topLeftCell="D28" activePane="bottomRight" state="frozen"/>
      <selection pane="topRight" activeCell="D1" sqref="D1"/>
      <selection pane="bottomLeft" activeCell="A4" sqref="A4"/>
      <selection pane="bottomRight" activeCell="I44" sqref="I44"/>
    </sheetView>
  </sheetViews>
  <sheetFormatPr defaultRowHeight="14.4"/>
  <cols>
    <col min="1" max="1" width="55.6640625" customWidth="1"/>
    <col min="2" max="2" width="16.6640625" style="1" customWidth="1"/>
    <col min="3" max="3" width="8.21875" style="1" customWidth="1"/>
    <col min="4" max="5" width="16.6640625" style="1" customWidth="1"/>
    <col min="6" max="6" width="18.6640625" style="1" customWidth="1"/>
    <col min="7" max="7" width="16.6640625" style="1" customWidth="1"/>
    <col min="8" max="9" width="19" customWidth="1"/>
  </cols>
  <sheetData>
    <row r="1" spans="1:9" ht="15.6">
      <c r="A1" s="352" t="s">
        <v>2158</v>
      </c>
      <c r="G1" s="439">
        <f>'SF-Z-020 Zobow.z tyt.dost.i usł'!B1</f>
        <v>45930</v>
      </c>
    </row>
    <row r="2" spans="1:9">
      <c r="B2" s="363" t="s">
        <v>2225</v>
      </c>
      <c r="C2" s="997"/>
      <c r="D2" s="1829" t="s">
        <v>1510</v>
      </c>
      <c r="E2" s="1830"/>
      <c r="F2" s="1831"/>
      <c r="G2" s="363" t="s">
        <v>2123</v>
      </c>
      <c r="H2" t="s">
        <v>923</v>
      </c>
      <c r="I2" t="s">
        <v>923</v>
      </c>
    </row>
    <row r="3" spans="1:9">
      <c r="A3" s="359" t="s">
        <v>2157</v>
      </c>
      <c r="B3" s="362"/>
      <c r="C3" s="362"/>
      <c r="D3" s="377" t="s">
        <v>2231</v>
      </c>
      <c r="E3" s="377" t="s">
        <v>3315</v>
      </c>
      <c r="F3" s="377" t="s">
        <v>3689</v>
      </c>
      <c r="G3" s="362">
        <f>G28+G32+G33</f>
        <v>25022304.54999999</v>
      </c>
      <c r="H3" s="130">
        <f>G3-'FC Spr.z syt.finans.'!B24</f>
        <v>0</v>
      </c>
    </row>
    <row r="4" spans="1:9">
      <c r="A4" s="354" t="s">
        <v>2159</v>
      </c>
      <c r="B4" s="403" t="s">
        <v>2227</v>
      </c>
      <c r="C4" s="403" t="s">
        <v>3549</v>
      </c>
      <c r="D4" s="355">
        <v>102329.29</v>
      </c>
      <c r="E4" s="355"/>
      <c r="F4" s="375"/>
      <c r="G4" s="358">
        <f>F4+D4+E4</f>
        <v>102329.29</v>
      </c>
    </row>
    <row r="5" spans="1:9">
      <c r="A5" s="354" t="s">
        <v>2160</v>
      </c>
      <c r="B5" s="403" t="s">
        <v>2226</v>
      </c>
      <c r="C5" s="403" t="s">
        <v>3569</v>
      </c>
      <c r="D5" s="355">
        <v>2712.25</v>
      </c>
      <c r="E5" s="355"/>
      <c r="F5" s="375"/>
      <c r="G5" s="355">
        <f t="shared" ref="G5:G26" si="0">F5+D5+E5</f>
        <v>2712.25</v>
      </c>
    </row>
    <row r="6" spans="1:9">
      <c r="A6" s="354" t="s">
        <v>2161</v>
      </c>
      <c r="B6" s="403">
        <v>2000000</v>
      </c>
      <c r="C6" s="403" t="s">
        <v>3570</v>
      </c>
      <c r="D6" s="355">
        <v>1985175.41</v>
      </c>
      <c r="E6" s="355"/>
      <c r="F6" s="375"/>
      <c r="G6" s="358">
        <f t="shared" si="0"/>
        <v>1985175.41</v>
      </c>
    </row>
    <row r="7" spans="1:9">
      <c r="A7" s="354" t="s">
        <v>2162</v>
      </c>
      <c r="B7" s="403" t="s">
        <v>2229</v>
      </c>
      <c r="C7" s="403" t="s">
        <v>3571</v>
      </c>
      <c r="D7" s="355">
        <v>16587514.810000001</v>
      </c>
      <c r="E7" s="355"/>
      <c r="F7" s="375"/>
      <c r="G7" s="358">
        <f t="shared" si="0"/>
        <v>16587514.810000001</v>
      </c>
    </row>
    <row r="8" spans="1:9">
      <c r="A8" s="354" t="s">
        <v>3168</v>
      </c>
      <c r="B8" s="403" t="s">
        <v>2527</v>
      </c>
      <c r="C8" s="403" t="s">
        <v>3572</v>
      </c>
      <c r="D8" s="355"/>
      <c r="E8" s="355"/>
      <c r="F8" s="375"/>
      <c r="G8" s="355">
        <f t="shared" si="0"/>
        <v>0</v>
      </c>
    </row>
    <row r="9" spans="1:9">
      <c r="A9" s="354" t="s">
        <v>3167</v>
      </c>
      <c r="B9" s="403" t="s">
        <v>2528</v>
      </c>
      <c r="C9" s="403" t="s">
        <v>3683</v>
      </c>
      <c r="D9" s="355">
        <v>4243.25</v>
      </c>
      <c r="E9" s="355"/>
      <c r="F9" s="375"/>
      <c r="G9" s="355">
        <f t="shared" si="0"/>
        <v>4243.25</v>
      </c>
    </row>
    <row r="10" spans="1:9">
      <c r="A10" s="354" t="s">
        <v>2163</v>
      </c>
      <c r="B10" s="403" t="s">
        <v>2228</v>
      </c>
      <c r="C10" s="403" t="s">
        <v>3573</v>
      </c>
      <c r="D10" s="355">
        <v>5818787.8300000001</v>
      </c>
      <c r="E10" s="355"/>
      <c r="F10"/>
      <c r="G10" s="358">
        <f t="shared" si="0"/>
        <v>5818787.8300000001</v>
      </c>
    </row>
    <row r="11" spans="1:9">
      <c r="A11" s="354" t="s">
        <v>4050</v>
      </c>
      <c r="B11" s="403" t="s">
        <v>4051</v>
      </c>
      <c r="C11" s="403" t="s">
        <v>4052</v>
      </c>
      <c r="D11" s="355"/>
      <c r="E11" s="355"/>
      <c r="F11"/>
      <c r="G11" s="358">
        <f t="shared" si="0"/>
        <v>0</v>
      </c>
    </row>
    <row r="12" spans="1:9">
      <c r="A12" s="354" t="s">
        <v>3316</v>
      </c>
      <c r="B12" s="403" t="s">
        <v>2507</v>
      </c>
      <c r="C12" s="403" t="s">
        <v>3574</v>
      </c>
      <c r="D12" s="355">
        <v>48.77</v>
      </c>
      <c r="E12" s="355"/>
      <c r="F12" s="375"/>
      <c r="G12" s="355">
        <f t="shared" si="0"/>
        <v>48.77</v>
      </c>
    </row>
    <row r="13" spans="1:9">
      <c r="A13" t="s">
        <v>2467</v>
      </c>
      <c r="B13" s="402">
        <v>2000035</v>
      </c>
      <c r="C13" s="402" t="s">
        <v>3575</v>
      </c>
      <c r="D13" s="355"/>
      <c r="E13" s="355"/>
      <c r="F13" s="375"/>
      <c r="G13" s="358">
        <f t="shared" si="0"/>
        <v>0</v>
      </c>
    </row>
    <row r="14" spans="1:9">
      <c r="A14" t="s">
        <v>2468</v>
      </c>
      <c r="B14" s="402">
        <v>2000047</v>
      </c>
      <c r="C14" s="402" t="s">
        <v>3576</v>
      </c>
      <c r="D14" s="355"/>
      <c r="E14" s="355"/>
      <c r="F14" s="375"/>
      <c r="G14" s="358">
        <f t="shared" si="0"/>
        <v>0</v>
      </c>
    </row>
    <row r="15" spans="1:9">
      <c r="A15" t="s">
        <v>2242</v>
      </c>
      <c r="B15" s="402">
        <v>2000052</v>
      </c>
      <c r="C15" s="402" t="s">
        <v>3716</v>
      </c>
      <c r="D15" s="355"/>
      <c r="E15" s="355"/>
      <c r="F15" s="375"/>
      <c r="G15" s="358">
        <f t="shared" si="0"/>
        <v>0</v>
      </c>
    </row>
    <row r="16" spans="1:9">
      <c r="A16" s="354" t="s">
        <v>2509</v>
      </c>
      <c r="B16" s="403" t="s">
        <v>2508</v>
      </c>
      <c r="C16" s="403" t="s">
        <v>3743</v>
      </c>
      <c r="D16" s="355"/>
      <c r="E16" s="355"/>
      <c r="F16" s="375"/>
      <c r="G16" s="355">
        <f t="shared" si="0"/>
        <v>0</v>
      </c>
    </row>
    <row r="17" spans="1:9">
      <c r="A17" s="680" t="s">
        <v>3169</v>
      </c>
      <c r="B17" s="403" t="s">
        <v>3166</v>
      </c>
      <c r="C17" s="403" t="s">
        <v>3577</v>
      </c>
      <c r="D17" s="355"/>
      <c r="E17" s="355"/>
      <c r="F17" s="375"/>
      <c r="G17" s="355">
        <f t="shared" si="0"/>
        <v>0</v>
      </c>
    </row>
    <row r="18" spans="1:9">
      <c r="A18" s="680" t="s">
        <v>3357</v>
      </c>
      <c r="B18" s="403" t="s">
        <v>3356</v>
      </c>
      <c r="C18" s="403" t="s">
        <v>3578</v>
      </c>
      <c r="D18" s="355"/>
      <c r="E18" s="355"/>
      <c r="F18" s="375"/>
      <c r="G18" s="358">
        <f t="shared" si="0"/>
        <v>0</v>
      </c>
    </row>
    <row r="19" spans="1:9">
      <c r="A19" s="680" t="s">
        <v>2239</v>
      </c>
      <c r="B19" s="403">
        <v>2000069</v>
      </c>
      <c r="C19" s="403" t="s">
        <v>3579</v>
      </c>
      <c r="D19" s="355"/>
      <c r="E19" s="925"/>
      <c r="F19" s="375"/>
      <c r="G19" s="355">
        <f t="shared" si="0"/>
        <v>0</v>
      </c>
    </row>
    <row r="20" spans="1:9">
      <c r="A20" s="680" t="s">
        <v>3670</v>
      </c>
      <c r="B20" s="403" t="s">
        <v>3314</v>
      </c>
      <c r="C20" s="403" t="s">
        <v>3580</v>
      </c>
      <c r="D20" s="355"/>
      <c r="E20" s="355"/>
      <c r="F20" s="375"/>
      <c r="G20" s="358">
        <f t="shared" si="0"/>
        <v>0</v>
      </c>
    </row>
    <row r="21" spans="1:9">
      <c r="A21" s="680" t="s">
        <v>3289</v>
      </c>
      <c r="B21" s="403" t="s">
        <v>3290</v>
      </c>
      <c r="C21" s="403"/>
      <c r="D21" s="355"/>
      <c r="E21" s="355"/>
      <c r="F21" s="375"/>
      <c r="G21" s="355">
        <f t="shared" si="0"/>
        <v>0</v>
      </c>
    </row>
    <row r="22" spans="1:9">
      <c r="A22" s="680" t="s">
        <v>3547</v>
      </c>
      <c r="B22" s="403" t="s">
        <v>3546</v>
      </c>
      <c r="C22" s="403" t="s">
        <v>3581</v>
      </c>
      <c r="D22" s="355">
        <v>57132.49</v>
      </c>
      <c r="E22" s="355"/>
      <c r="F22" s="375"/>
      <c r="G22" s="355">
        <f t="shared" si="0"/>
        <v>57132.49</v>
      </c>
    </row>
    <row r="23" spans="1:9">
      <c r="A23" s="680" t="s">
        <v>3793</v>
      </c>
      <c r="B23" s="403" t="s">
        <v>3792</v>
      </c>
      <c r="C23" s="403" t="s">
        <v>3794</v>
      </c>
      <c r="D23" s="355">
        <v>384451.31</v>
      </c>
      <c r="E23" s="355"/>
      <c r="F23" s="375"/>
      <c r="G23" s="355">
        <f t="shared" si="0"/>
        <v>384451.31</v>
      </c>
    </row>
    <row r="24" spans="1:9">
      <c r="A24" s="354" t="s">
        <v>2465</v>
      </c>
      <c r="B24" s="403" t="s">
        <v>2463</v>
      </c>
      <c r="C24" s="403" t="s">
        <v>3582</v>
      </c>
      <c r="D24" s="355"/>
      <c r="E24" s="355"/>
      <c r="F24" s="375"/>
      <c r="G24" s="355">
        <f t="shared" si="0"/>
        <v>0</v>
      </c>
      <c r="H24" s="6"/>
      <c r="I24" s="7"/>
    </row>
    <row r="25" spans="1:9">
      <c r="G25" s="355">
        <f t="shared" si="0"/>
        <v>0</v>
      </c>
    </row>
    <row r="26" spans="1:9">
      <c r="A26" s="422" t="s">
        <v>2464</v>
      </c>
      <c r="B26" s="423" t="s">
        <v>2230</v>
      </c>
      <c r="C26" s="423"/>
      <c r="D26" s="355"/>
      <c r="E26" s="355"/>
      <c r="F26" s="375"/>
      <c r="G26" s="355">
        <f t="shared" si="0"/>
        <v>0</v>
      </c>
      <c r="I26" s="33" t="s">
        <v>2224</v>
      </c>
    </row>
    <row r="27" spans="1:9">
      <c r="A27" s="354" t="s">
        <v>2462</v>
      </c>
      <c r="B27" s="403"/>
      <c r="C27" s="403"/>
      <c r="D27" s="355"/>
      <c r="E27" s="355"/>
      <c r="F27" s="375"/>
      <c r="G27" s="355"/>
      <c r="I27" s="33"/>
    </row>
    <row r="28" spans="1:9">
      <c r="A28" s="356" t="s">
        <v>2166</v>
      </c>
      <c r="B28" s="376"/>
      <c r="C28" s="376"/>
      <c r="D28" s="376"/>
      <c r="E28" s="376"/>
      <c r="F28" s="376"/>
      <c r="G28" s="357">
        <f>SUM(G4:G26)</f>
        <v>24942395.41</v>
      </c>
      <c r="H28" s="130">
        <f>G28-B36+G30+G31</f>
        <v>0</v>
      </c>
      <c r="I28" s="130">
        <f>G28-'bilans '!B126+D31+D30</f>
        <v>0</v>
      </c>
    </row>
    <row r="29" spans="1:9">
      <c r="A29" s="360"/>
      <c r="B29" s="378"/>
      <c r="C29" s="378"/>
      <c r="D29" s="378" t="s">
        <v>2234</v>
      </c>
      <c r="E29" s="378"/>
      <c r="F29" s="378"/>
      <c r="G29" s="361"/>
      <c r="H29" s="130"/>
      <c r="I29" s="130"/>
    </row>
    <row r="30" spans="1:9">
      <c r="A30" s="354" t="s">
        <v>2164</v>
      </c>
      <c r="B30" s="403" t="s">
        <v>2233</v>
      </c>
      <c r="C30" s="403"/>
      <c r="D30" s="379">
        <f>'bilans '!B148</f>
        <v>0</v>
      </c>
      <c r="E30" s="379"/>
      <c r="F30" s="375"/>
      <c r="G30" s="355">
        <f>F30+D30+E30</f>
        <v>0</v>
      </c>
    </row>
    <row r="31" spans="1:9">
      <c r="A31" s="354" t="s">
        <v>2247</v>
      </c>
      <c r="B31" s="403">
        <v>2100099</v>
      </c>
      <c r="C31" s="403"/>
      <c r="D31" s="379">
        <f>'bilans '!B149</f>
        <v>0</v>
      </c>
      <c r="E31" s="379"/>
      <c r="F31" s="375"/>
      <c r="G31" s="355">
        <f>F31+D31+E31</f>
        <v>0</v>
      </c>
    </row>
    <row r="32" spans="1:9">
      <c r="A32" s="356" t="s">
        <v>2165</v>
      </c>
      <c r="B32" s="376"/>
      <c r="C32" s="376"/>
      <c r="D32" s="376"/>
      <c r="E32" s="376"/>
      <c r="F32" s="376"/>
      <c r="G32" s="357">
        <f>G30+G31</f>
        <v>0</v>
      </c>
    </row>
    <row r="33" spans="1:10">
      <c r="A33" s="354" t="s">
        <v>2167</v>
      </c>
      <c r="B33" s="375"/>
      <c r="C33" s="375"/>
      <c r="D33" s="375"/>
      <c r="E33" s="375"/>
      <c r="F33" s="375"/>
      <c r="G33" s="389">
        <f>'FC Spr.z syt.finans.'!B24-'SF-A-060 Nal.z tyt.dostaw i usł'!G28-'SF-A-060 Nal.z tyt.dostaw i usł'!G32</f>
        <v>79909.13999998942</v>
      </c>
      <c r="H33" t="s">
        <v>3179</v>
      </c>
    </row>
    <row r="34" spans="1:10">
      <c r="A34" t="s">
        <v>923</v>
      </c>
      <c r="G34" s="1">
        <f>'bilans '!B150</f>
        <v>4131988.0099999905</v>
      </c>
      <c r="H34" t="s">
        <v>3180</v>
      </c>
      <c r="I34" s="1"/>
    </row>
    <row r="35" spans="1:10">
      <c r="G35" s="1">
        <f>'bilans '!B179</f>
        <v>-4052078.87</v>
      </c>
      <c r="H35" t="s">
        <v>3181</v>
      </c>
    </row>
    <row r="36" spans="1:10">
      <c r="A36" s="299" t="s">
        <v>1112</v>
      </c>
      <c r="B36" s="293">
        <f>SUM(B37:B53)</f>
        <v>24942395.41</v>
      </c>
      <c r="C36" s="293"/>
      <c r="D36" s="293"/>
      <c r="E36" s="293"/>
      <c r="F36" s="293"/>
      <c r="G36" s="1">
        <f>G34+G35-G33</f>
        <v>9.3132257461547852E-10</v>
      </c>
      <c r="H36" t="s">
        <v>3182</v>
      </c>
      <c r="I36" s="33" t="s">
        <v>3676</v>
      </c>
      <c r="J36" s="33"/>
    </row>
    <row r="37" spans="1:10">
      <c r="A37" s="292" t="s">
        <v>1113</v>
      </c>
      <c r="B37" s="294">
        <f>(IFERROR(VLOOKUP(D37,obrotówka!$A$3:$J$1600,8,0),0))</f>
        <v>24942395.41</v>
      </c>
      <c r="C37" s="294"/>
      <c r="D37" s="292" t="s">
        <v>117</v>
      </c>
      <c r="E37" s="292"/>
      <c r="F37" s="292" t="s">
        <v>1396</v>
      </c>
      <c r="G37" s="295"/>
      <c r="I37" s="1">
        <f>H47</f>
        <v>3479.6199999999899</v>
      </c>
      <c r="J37" t="s">
        <v>3358</v>
      </c>
    </row>
    <row r="38" spans="1:10">
      <c r="A38" s="300" t="s">
        <v>1114</v>
      </c>
      <c r="B38" s="294">
        <f>(IFERROR(VLOOKUP(D38,obrotówka!$A$3:$J$1600,8,0),0))</f>
        <v>0</v>
      </c>
      <c r="C38" s="294"/>
      <c r="D38" s="300" t="s">
        <v>1394</v>
      </c>
      <c r="E38" s="300"/>
      <c r="F38" s="300" t="s">
        <v>1396</v>
      </c>
      <c r="G38" s="294">
        <f>(IFERROR(VLOOKUP(H38,obrotówka!$A$3:$J$1600,6,0),0))</f>
        <v>2854.0799999999899</v>
      </c>
      <c r="H38" t="s">
        <v>150</v>
      </c>
      <c r="I38" s="1">
        <f>H50</f>
        <v>-1427.04</v>
      </c>
      <c r="J38" t="s">
        <v>3433</v>
      </c>
    </row>
    <row r="39" spans="1:10">
      <c r="A39" s="292" t="s">
        <v>1115</v>
      </c>
      <c r="B39" s="294">
        <f>(IFERROR(VLOOKUP(D39,obrotówka!$A$3:$J$1600,8,0),0))+'bilans '!B130</f>
        <v>0</v>
      </c>
      <c r="C39" s="294"/>
      <c r="D39" s="292" t="s">
        <v>314</v>
      </c>
      <c r="E39" s="292"/>
      <c r="F39" s="292" t="s">
        <v>1396</v>
      </c>
      <c r="G39" s="294">
        <f>(IFERROR(VLOOKUP(H39,obrotówka!$A$3:$J$1600,7,0),0))</f>
        <v>4906.6599999999899</v>
      </c>
      <c r="H39" t="s">
        <v>150</v>
      </c>
    </row>
    <row r="40" spans="1:10">
      <c r="A40" s="292" t="s">
        <v>1116</v>
      </c>
      <c r="B40" s="294">
        <f>(IFERROR(VLOOKUP(D40,obrotówka!$A$3:$J$1600,8,0),0))</f>
        <v>0</v>
      </c>
      <c r="C40" s="294"/>
      <c r="D40" s="292">
        <v>3001700000</v>
      </c>
      <c r="E40" s="292"/>
      <c r="F40" s="292" t="s">
        <v>1396</v>
      </c>
      <c r="G40" s="295">
        <f>G39-G38</f>
        <v>2052.58</v>
      </c>
      <c r="I40" s="294">
        <f>(IFERROR(VLOOKUP(H38,obrotówka!$A$3:$J$1600,3,0),0))</f>
        <v>-4050026.29</v>
      </c>
      <c r="J40" t="s">
        <v>2472</v>
      </c>
    </row>
    <row r="41" spans="1:10">
      <c r="A41" s="292" t="s">
        <v>1117</v>
      </c>
      <c r="B41" s="294">
        <f>(IFERROR(VLOOKUP(D41,obrotówka!$A$3:$J$1600,8,0),0))</f>
        <v>0</v>
      </c>
      <c r="C41" s="294"/>
      <c r="D41" s="292" t="s">
        <v>318</v>
      </c>
      <c r="E41" s="292"/>
      <c r="F41" s="292" t="s">
        <v>1396</v>
      </c>
      <c r="G41" s="295"/>
      <c r="I41" s="294">
        <f>(IFERROR(VLOOKUP(H39,obrotówka!$A$3:$J$1600,10,0),0))</f>
        <v>-4052078.87</v>
      </c>
      <c r="J41" t="s">
        <v>2500</v>
      </c>
    </row>
    <row r="42" spans="1:10">
      <c r="A42" s="292" t="s">
        <v>1118</v>
      </c>
      <c r="B42" s="294">
        <f>(IFERROR(VLOOKUP(D42,obrotówka!$A$3:$J$1600,8,0),0))</f>
        <v>0</v>
      </c>
      <c r="C42" s="294"/>
      <c r="D42" s="292" t="s">
        <v>320</v>
      </c>
      <c r="E42" s="292"/>
      <c r="F42" s="292" t="s">
        <v>1396</v>
      </c>
      <c r="G42" s="295"/>
      <c r="I42" s="1">
        <f>I41-I40</f>
        <v>-2052.5800000000745</v>
      </c>
      <c r="J42" t="s">
        <v>3690</v>
      </c>
    </row>
    <row r="43" spans="1:10">
      <c r="A43" s="292" t="s">
        <v>1119</v>
      </c>
      <c r="B43" s="294">
        <f>(IFERROR(VLOOKUP(D43,obrotówka!$A$3:$J$1600,8,0),0))</f>
        <v>0</v>
      </c>
      <c r="C43" s="294"/>
      <c r="D43" s="292" t="s">
        <v>1395</v>
      </c>
      <c r="E43" s="292"/>
      <c r="F43" s="292" t="s">
        <v>1396</v>
      </c>
      <c r="G43" s="295"/>
      <c r="I43" s="130">
        <f>I42+I38+I37</f>
        <v>-8.4583007264882326E-11</v>
      </c>
      <c r="J43" s="33" t="s">
        <v>1783</v>
      </c>
    </row>
    <row r="44" spans="1:10">
      <c r="A44" s="292" t="s">
        <v>1120</v>
      </c>
      <c r="B44" s="294">
        <f>(IFERROR(VLOOKUP(D44,obrotówka!$A$3:$J$1600,8,0),0))</f>
        <v>0</v>
      </c>
      <c r="C44" s="294"/>
      <c r="D44" s="292" t="s">
        <v>324</v>
      </c>
      <c r="E44" s="292"/>
      <c r="F44" s="292" t="s">
        <v>1396</v>
      </c>
      <c r="G44" s="295"/>
    </row>
    <row r="45" spans="1:10">
      <c r="A45" s="296" t="s">
        <v>2089</v>
      </c>
      <c r="B45" s="297"/>
      <c r="C45" s="297"/>
      <c r="D45" s="296" t="s">
        <v>324</v>
      </c>
      <c r="E45" s="296"/>
      <c r="F45" s="292"/>
      <c r="G45" s="295"/>
      <c r="I45" t="s">
        <v>840</v>
      </c>
    </row>
    <row r="46" spans="1:10">
      <c r="A46" s="296" t="s">
        <v>3189</v>
      </c>
      <c r="B46" s="297">
        <f>'bilans '!B143</f>
        <v>0</v>
      </c>
      <c r="C46" s="297"/>
      <c r="D46" s="296"/>
      <c r="E46" s="296"/>
      <c r="F46" s="292"/>
      <c r="G46" s="295"/>
      <c r="H46" s="295">
        <f>(IFERROR(VLOOKUP(I46,obrotówka!$A$3:$J$1600,10,0),0))</f>
        <v>0</v>
      </c>
      <c r="I46" s="1034" t="s">
        <v>838</v>
      </c>
    </row>
    <row r="47" spans="1:10">
      <c r="A47" s="296" t="str">
        <f>'bilans '!A144</f>
        <v>minus błędny PZ PGE - usł. ADP</v>
      </c>
      <c r="B47" s="297">
        <f>'bilans '!B144</f>
        <v>0</v>
      </c>
      <c r="C47" s="297"/>
      <c r="D47" s="296"/>
      <c r="E47" s="296"/>
      <c r="F47" s="292"/>
      <c r="G47" s="295"/>
      <c r="H47" s="295">
        <f>(IFERROR(VLOOKUP(I47,obrotówka!$A$3:$J$1600,10,0),0))</f>
        <v>3479.6199999999899</v>
      </c>
      <c r="I47" s="1034" t="s">
        <v>840</v>
      </c>
    </row>
    <row r="48" spans="1:10">
      <c r="A48" s="296" t="s">
        <v>3190</v>
      </c>
      <c r="B48" s="297">
        <f>'bilans '!B145</f>
        <v>0</v>
      </c>
      <c r="C48" s="297"/>
      <c r="D48" s="296"/>
      <c r="E48" s="296"/>
      <c r="F48" s="292"/>
      <c r="G48" s="295"/>
      <c r="H48" s="295">
        <f>(IFERROR(VLOOKUP(I48,obrotówka!$A$3:$J$1600,10,0),0))</f>
        <v>2595.0599999999899</v>
      </c>
      <c r="I48" s="1034" t="s">
        <v>841</v>
      </c>
    </row>
    <row r="49" spans="1:9">
      <c r="A49" s="292" t="s">
        <v>1121</v>
      </c>
      <c r="B49" s="294">
        <f>(IFERROR(VLOOKUP(D49,obrotówka!$A$3:$J$1600,8,0),0))</f>
        <v>0</v>
      </c>
      <c r="C49" s="294"/>
      <c r="D49" s="292" t="s">
        <v>363</v>
      </c>
      <c r="E49" s="292"/>
      <c r="F49" s="292" t="s">
        <v>1396</v>
      </c>
      <c r="G49" s="295"/>
      <c r="H49" s="1035">
        <f>H46+H47+H48</f>
        <v>6074.6799999999803</v>
      </c>
      <c r="I49" s="1036" t="s">
        <v>3695</v>
      </c>
    </row>
    <row r="50" spans="1:9">
      <c r="A50" s="228" t="s">
        <v>3543</v>
      </c>
      <c r="B50" s="52"/>
      <c r="H50" s="295">
        <f>(IFERROR(VLOOKUP(I50,obrotówka!$A$3:$J$1600,10,0),0))</f>
        <v>-1427.04</v>
      </c>
      <c r="I50" s="1034" t="s">
        <v>807</v>
      </c>
    </row>
    <row r="51" spans="1:9">
      <c r="A51" s="228" t="s">
        <v>3528</v>
      </c>
      <c r="B51" s="52">
        <f>'bilans '!B147</f>
        <v>0</v>
      </c>
      <c r="H51" s="295">
        <f>(IFERROR(VLOOKUP(I51,obrotówka!$A$3:$J$1600,10,0),0))</f>
        <v>-356880.39</v>
      </c>
      <c r="I51" s="1034" t="s">
        <v>2416</v>
      </c>
    </row>
    <row r="52" spans="1:9">
      <c r="A52" s="228" t="s">
        <v>3529</v>
      </c>
      <c r="B52" s="52">
        <f>'bilans '!B149</f>
        <v>0</v>
      </c>
      <c r="H52" s="1035">
        <f>H50+H51</f>
        <v>-358307.43</v>
      </c>
      <c r="I52" s="1036" t="s">
        <v>3696</v>
      </c>
    </row>
    <row r="53" spans="1:9">
      <c r="A53" s="354" t="s">
        <v>2164</v>
      </c>
      <c r="B53" s="1">
        <f>'bilans '!B148</f>
        <v>0</v>
      </c>
      <c r="H53" s="1038"/>
      <c r="I53" s="1037"/>
    </row>
  </sheetData>
  <sortState ref="A4:G9">
    <sortCondition ref="B4:B9"/>
  </sortState>
  <mergeCells count="1">
    <mergeCell ref="D2:F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zoomScale="90" zoomScaleNormal="90" workbookViewId="0">
      <pane xSplit="3" ySplit="2" topLeftCell="D6" activePane="bottomRight" state="frozen"/>
      <selection pane="topRight" activeCell="D1" sqref="D1"/>
      <selection pane="bottomLeft" activeCell="A3" sqref="A3"/>
      <selection pane="bottomRight" activeCell="D30" sqref="D30"/>
    </sheetView>
  </sheetViews>
  <sheetFormatPr defaultRowHeight="14.4"/>
  <cols>
    <col min="1" max="1" width="76.109375" customWidth="1"/>
    <col min="2" max="2" width="10.88671875" customWidth="1"/>
    <col min="3" max="3" width="6.5546875" customWidth="1"/>
    <col min="4" max="9" width="14.88671875" style="1" customWidth="1"/>
    <col min="10" max="10" width="15.21875" style="1" customWidth="1"/>
    <col min="11" max="11" width="12.33203125" bestFit="1" customWidth="1"/>
    <col min="12" max="12" width="13.44140625" customWidth="1"/>
    <col min="13" max="13" width="14" customWidth="1"/>
    <col min="14" max="14" width="9.5546875" bestFit="1" customWidth="1"/>
  </cols>
  <sheetData>
    <row r="1" spans="1:12" ht="15.6">
      <c r="A1" s="352" t="s">
        <v>2256</v>
      </c>
      <c r="B1" s="436">
        <f>'SF-A-150 Pozostałe aktywa krótk'!C1</f>
        <v>45930</v>
      </c>
      <c r="C1" s="436"/>
      <c r="D1" s="1832" t="s">
        <v>2249</v>
      </c>
      <c r="E1" s="1832"/>
      <c r="F1" s="1832"/>
      <c r="G1" s="1832"/>
      <c r="H1" s="400" t="s">
        <v>2255</v>
      </c>
      <c r="I1" s="400" t="s">
        <v>2249</v>
      </c>
      <c r="J1" s="1" t="s">
        <v>1501</v>
      </c>
      <c r="K1" t="s">
        <v>923</v>
      </c>
    </row>
    <row r="2" spans="1:12" ht="28.8">
      <c r="D2" s="401" t="s">
        <v>2250</v>
      </c>
      <c r="E2" s="401" t="s">
        <v>3545</v>
      </c>
      <c r="F2" s="401" t="s">
        <v>2253</v>
      </c>
      <c r="G2" s="1033" t="s">
        <v>3694</v>
      </c>
      <c r="H2" s="401" t="s">
        <v>324</v>
      </c>
      <c r="I2" s="401" t="s">
        <v>3175</v>
      </c>
      <c r="J2" s="1" t="s">
        <v>923</v>
      </c>
      <c r="K2" t="s">
        <v>2252</v>
      </c>
      <c r="L2" t="s">
        <v>923</v>
      </c>
    </row>
    <row r="3" spans="1:12">
      <c r="A3" t="s">
        <v>2238</v>
      </c>
      <c r="B3" s="402">
        <v>2000049</v>
      </c>
      <c r="C3" s="402" t="s">
        <v>3549</v>
      </c>
      <c r="D3" s="5">
        <v>206884.15</v>
      </c>
      <c r="E3" s="5"/>
      <c r="J3" s="1">
        <f t="shared" ref="J3:J22" si="0">SUM(D3:I3)</f>
        <v>206884.15</v>
      </c>
      <c r="K3" s="1">
        <f t="shared" ref="K3:K22" si="1">J3-SUM(D3:I3)</f>
        <v>0</v>
      </c>
    </row>
    <row r="4" spans="1:12">
      <c r="A4" t="s">
        <v>2239</v>
      </c>
      <c r="B4" s="402">
        <v>2000069</v>
      </c>
      <c r="C4" s="402" t="s">
        <v>3579</v>
      </c>
      <c r="D4" s="5">
        <v>55343.85</v>
      </c>
      <c r="E4" s="5"/>
      <c r="J4" s="1">
        <f t="shared" si="0"/>
        <v>55343.85</v>
      </c>
      <c r="K4" s="1">
        <f t="shared" si="1"/>
        <v>0</v>
      </c>
    </row>
    <row r="5" spans="1:12">
      <c r="A5" t="s">
        <v>3176</v>
      </c>
      <c r="B5" s="402">
        <v>2000072</v>
      </c>
      <c r="C5" s="402" t="s">
        <v>3715</v>
      </c>
      <c r="D5" s="5"/>
      <c r="E5" s="5"/>
      <c r="J5" s="1">
        <f>SUM(D5:I5)</f>
        <v>0</v>
      </c>
      <c r="K5" s="1">
        <f>J5-SUM(D5:I5)</f>
        <v>0</v>
      </c>
    </row>
    <row r="6" spans="1:12">
      <c r="A6" t="s">
        <v>3177</v>
      </c>
      <c r="B6" s="402">
        <v>2000611</v>
      </c>
      <c r="C6" s="402" t="s">
        <v>3577</v>
      </c>
      <c r="D6" s="5"/>
      <c r="E6" s="5"/>
      <c r="J6" s="1">
        <f>SUM(D6:I6)</f>
        <v>0</v>
      </c>
      <c r="K6" s="1">
        <f>J6-SUM(D6:I6)</f>
        <v>0</v>
      </c>
    </row>
    <row r="7" spans="1:12">
      <c r="A7" t="s">
        <v>2467</v>
      </c>
      <c r="B7" s="402">
        <v>2000035</v>
      </c>
      <c r="C7" s="402" t="s">
        <v>3575</v>
      </c>
      <c r="D7" s="5"/>
      <c r="E7" s="5"/>
      <c r="J7" s="1">
        <f>SUM(D7:I7)</f>
        <v>0</v>
      </c>
      <c r="K7" s="1">
        <f>J7-SUM(D7:I7)</f>
        <v>0</v>
      </c>
    </row>
    <row r="8" spans="1:12">
      <c r="A8" t="s">
        <v>2240</v>
      </c>
      <c r="B8" s="402">
        <v>2000034</v>
      </c>
      <c r="C8" s="402" t="s">
        <v>3569</v>
      </c>
      <c r="D8" s="5">
        <v>1184959.3</v>
      </c>
      <c r="E8" s="5"/>
      <c r="H8" s="130"/>
      <c r="I8" s="130"/>
      <c r="J8" s="1">
        <f t="shared" si="0"/>
        <v>1184959.3</v>
      </c>
      <c r="K8" s="1">
        <f t="shared" si="1"/>
        <v>0</v>
      </c>
    </row>
    <row r="9" spans="1:12">
      <c r="A9" t="s">
        <v>3795</v>
      </c>
      <c r="B9" s="402">
        <v>2000057</v>
      </c>
      <c r="C9" s="408" t="s">
        <v>3799</v>
      </c>
      <c r="D9" s="5"/>
      <c r="E9" s="5"/>
      <c r="H9" s="130"/>
      <c r="I9" s="130"/>
      <c r="J9" s="1">
        <f>SUM(D9:I9)</f>
        <v>0</v>
      </c>
      <c r="K9" s="1">
        <f>J9-SUM(D9:I9)</f>
        <v>0</v>
      </c>
    </row>
    <row r="10" spans="1:12">
      <c r="A10" t="s">
        <v>2468</v>
      </c>
      <c r="B10" s="402">
        <v>2000047</v>
      </c>
      <c r="C10" s="402" t="s">
        <v>3576</v>
      </c>
      <c r="D10" s="5">
        <v>479.7</v>
      </c>
      <c r="E10" s="5"/>
      <c r="J10" s="1">
        <f>SUM(D10:I10)</f>
        <v>479.7</v>
      </c>
      <c r="K10" s="1">
        <f>J10-SUM(D10:I10)</f>
        <v>0</v>
      </c>
    </row>
    <row r="11" spans="1:12">
      <c r="A11" t="s">
        <v>2241</v>
      </c>
      <c r="B11" s="402">
        <v>2000262</v>
      </c>
      <c r="C11" s="402" t="s">
        <v>3683</v>
      </c>
      <c r="D11" s="5">
        <v>151381.76000000001</v>
      </c>
      <c r="E11" s="5"/>
      <c r="J11" s="1">
        <f t="shared" si="0"/>
        <v>151381.76000000001</v>
      </c>
      <c r="K11" s="1">
        <f t="shared" si="1"/>
        <v>0</v>
      </c>
    </row>
    <row r="12" spans="1:12">
      <c r="A12" t="s">
        <v>2242</v>
      </c>
      <c r="B12" s="402">
        <v>2000052</v>
      </c>
      <c r="C12" s="402" t="s">
        <v>3716</v>
      </c>
      <c r="D12" s="5">
        <v>31452.97</v>
      </c>
      <c r="E12" s="5"/>
      <c r="J12" s="1">
        <f t="shared" si="0"/>
        <v>31452.97</v>
      </c>
      <c r="K12" s="1">
        <f t="shared" si="1"/>
        <v>0</v>
      </c>
    </row>
    <row r="13" spans="1:12">
      <c r="A13" t="s">
        <v>2471</v>
      </c>
      <c r="B13" s="402">
        <v>2000085</v>
      </c>
      <c r="C13" s="402" t="s">
        <v>3717</v>
      </c>
      <c r="D13" s="5"/>
      <c r="E13" s="5"/>
      <c r="J13" s="1">
        <f t="shared" si="0"/>
        <v>0</v>
      </c>
      <c r="K13" s="1">
        <f t="shared" si="1"/>
        <v>0</v>
      </c>
    </row>
    <row r="14" spans="1:12">
      <c r="A14" t="s">
        <v>2469</v>
      </c>
      <c r="B14" s="402">
        <v>2000099</v>
      </c>
      <c r="C14" s="402" t="s">
        <v>3718</v>
      </c>
      <c r="D14" s="5">
        <v>11657.84</v>
      </c>
      <c r="E14" s="5"/>
      <c r="J14" s="1">
        <f t="shared" si="0"/>
        <v>11657.84</v>
      </c>
      <c r="K14" s="1">
        <f>J14-SUM(D14:I14)</f>
        <v>0</v>
      </c>
    </row>
    <row r="15" spans="1:12">
      <c r="A15" t="s">
        <v>2243</v>
      </c>
      <c r="B15" s="402">
        <v>2000000</v>
      </c>
      <c r="C15" s="402" t="s">
        <v>3570</v>
      </c>
      <c r="D15" s="5">
        <v>146526.57999999999</v>
      </c>
      <c r="E15" s="5"/>
      <c r="J15" s="1">
        <f t="shared" si="0"/>
        <v>146526.57999999999</v>
      </c>
      <c r="K15" s="1">
        <f t="shared" si="1"/>
        <v>0</v>
      </c>
    </row>
    <row r="16" spans="1:12">
      <c r="A16" t="s">
        <v>2244</v>
      </c>
      <c r="B16" s="402">
        <v>2000091</v>
      </c>
      <c r="C16" s="402" t="s">
        <v>3571</v>
      </c>
      <c r="D16" s="5">
        <v>322380</v>
      </c>
      <c r="E16" s="5"/>
      <c r="J16" s="1">
        <f t="shared" si="0"/>
        <v>322380</v>
      </c>
      <c r="K16" s="1">
        <f t="shared" si="1"/>
        <v>0</v>
      </c>
    </row>
    <row r="17" spans="1:13">
      <c r="A17" t="s">
        <v>2245</v>
      </c>
      <c r="B17" s="402">
        <v>2000082</v>
      </c>
      <c r="C17" s="402" t="s">
        <v>3573</v>
      </c>
      <c r="D17" s="5">
        <v>7773.45</v>
      </c>
      <c r="E17" s="5"/>
      <c r="J17" s="1">
        <f t="shared" si="0"/>
        <v>7773.45</v>
      </c>
      <c r="K17" s="1">
        <f t="shared" si="1"/>
        <v>0</v>
      </c>
    </row>
    <row r="18" spans="1:13">
      <c r="A18" t="s">
        <v>2510</v>
      </c>
      <c r="B18" s="402">
        <v>2000036</v>
      </c>
      <c r="C18" s="402" t="s">
        <v>3719</v>
      </c>
      <c r="D18" s="5"/>
      <c r="E18" s="5"/>
      <c r="J18" s="1">
        <f t="shared" si="0"/>
        <v>0</v>
      </c>
      <c r="K18" s="1">
        <f t="shared" si="1"/>
        <v>0</v>
      </c>
    </row>
    <row r="19" spans="1:13">
      <c r="D19" s="5"/>
      <c r="E19" s="5"/>
      <c r="J19" s="1">
        <f t="shared" si="0"/>
        <v>0</v>
      </c>
      <c r="K19" s="1">
        <f t="shared" si="1"/>
        <v>0</v>
      </c>
    </row>
    <row r="20" spans="1:13">
      <c r="D20" s="5"/>
      <c r="E20" s="5"/>
    </row>
    <row r="21" spans="1:13">
      <c r="A21" s="383" t="s">
        <v>2248</v>
      </c>
      <c r="B21" s="402">
        <v>2000114</v>
      </c>
      <c r="C21" s="402"/>
      <c r="D21" s="1030">
        <f>'bilans '!B386</f>
        <v>0</v>
      </c>
      <c r="E21" s="5"/>
      <c r="J21" s="1">
        <f t="shared" si="0"/>
        <v>0</v>
      </c>
      <c r="K21" s="1">
        <f t="shared" si="1"/>
        <v>0</v>
      </c>
    </row>
    <row r="22" spans="1:13">
      <c r="A22" s="383" t="s">
        <v>2251</v>
      </c>
      <c r="B22" s="402">
        <v>2000592</v>
      </c>
      <c r="C22" s="402"/>
      <c r="D22" s="1030">
        <f>'bilans '!B387</f>
        <v>0</v>
      </c>
      <c r="E22" s="5"/>
      <c r="J22" s="1">
        <f t="shared" si="0"/>
        <v>0</v>
      </c>
      <c r="K22" s="1">
        <f t="shared" si="1"/>
        <v>0</v>
      </c>
    </row>
    <row r="23" spans="1:13">
      <c r="A23" s="383" t="s">
        <v>3441</v>
      </c>
      <c r="B23" s="402">
        <v>2000066</v>
      </c>
      <c r="C23" s="402"/>
      <c r="D23" s="5"/>
      <c r="E23" s="5"/>
    </row>
    <row r="24" spans="1:13">
      <c r="D24" s="5"/>
      <c r="E24" s="5"/>
    </row>
    <row r="26" spans="1:13">
      <c r="D26" s="401" t="s">
        <v>2405</v>
      </c>
      <c r="E26" s="401"/>
    </row>
    <row r="27" spans="1:13">
      <c r="A27" s="350" t="s">
        <v>2235</v>
      </c>
      <c r="B27" s="350" t="s">
        <v>923</v>
      </c>
      <c r="C27" s="350"/>
      <c r="D27" s="351"/>
      <c r="E27" s="351"/>
      <c r="F27" s="351"/>
      <c r="G27" s="351"/>
      <c r="H27" s="351"/>
      <c r="I27" s="351"/>
      <c r="J27" s="351">
        <f>SUM(J3:J26)-J21-J22-J23</f>
        <v>2118839.6000000006</v>
      </c>
      <c r="L27" s="5"/>
      <c r="M27" s="1"/>
    </row>
    <row r="28" spans="1:13">
      <c r="A28" t="s">
        <v>2246</v>
      </c>
      <c r="B28" s="402">
        <v>2100045</v>
      </c>
      <c r="C28" s="402"/>
      <c r="D28" s="1030">
        <f>-'bilans '!B411-'bilans '!B412</f>
        <v>5525.71</v>
      </c>
      <c r="J28" s="1">
        <f>SUM(D28:I28)</f>
        <v>5525.71</v>
      </c>
      <c r="L28" s="5"/>
    </row>
    <row r="29" spans="1:13">
      <c r="A29" t="s">
        <v>3796</v>
      </c>
      <c r="B29" s="402" t="s">
        <v>3797</v>
      </c>
      <c r="C29" s="402"/>
      <c r="D29" s="1030">
        <f>-'bilans '!B413-'bilans '!B414</f>
        <v>3174.21</v>
      </c>
      <c r="J29" s="1">
        <f t="shared" ref="J29:J30" si="2">SUM(D29:I29)</f>
        <v>3174.21</v>
      </c>
      <c r="L29" s="5"/>
    </row>
    <row r="30" spans="1:13">
      <c r="A30" t="s">
        <v>2247</v>
      </c>
      <c r="B30" s="402">
        <v>2100099</v>
      </c>
      <c r="C30" s="402"/>
      <c r="D30" s="1030">
        <f>-'bilans '!B416-'bilans '!B415</f>
        <v>101396.43999999999</v>
      </c>
      <c r="J30" s="1">
        <f t="shared" si="2"/>
        <v>101396.43999999999</v>
      </c>
    </row>
    <row r="31" spans="1:13">
      <c r="A31" s="350" t="s">
        <v>2236</v>
      </c>
      <c r="B31" s="350" t="s">
        <v>923</v>
      </c>
      <c r="C31" s="350"/>
      <c r="D31" s="351"/>
      <c r="E31" s="351"/>
      <c r="F31" s="351"/>
      <c r="G31" s="351"/>
      <c r="H31" s="351"/>
      <c r="I31" s="351"/>
      <c r="J31" s="351">
        <f>SUM(J28:J30)</f>
        <v>110096.35999999999</v>
      </c>
      <c r="K31" s="130">
        <f>J27+'bilans '!B384+J31</f>
        <v>5.8207660913467407E-10</v>
      </c>
    </row>
    <row r="32" spans="1:13">
      <c r="A32" t="s">
        <v>2167</v>
      </c>
      <c r="B32" t="s">
        <v>923</v>
      </c>
      <c r="J32" s="385">
        <f>'FC Spr.z syt.finans.'!B65-'SF-Z-020 Zobow.z tyt.dost.i usł'!J27-'SF-Z-020 Zobow.z tyt.dost.i usł'!J31</f>
        <v>10180814.099999897</v>
      </c>
    </row>
    <row r="33" spans="1:12">
      <c r="A33" s="381" t="s">
        <v>2237</v>
      </c>
      <c r="B33" s="381" t="s">
        <v>923</v>
      </c>
      <c r="C33" s="381"/>
      <c r="D33" s="382"/>
      <c r="E33" s="382"/>
      <c r="F33" s="382"/>
      <c r="G33" s="382"/>
      <c r="H33" s="382"/>
      <c r="I33" s="382"/>
      <c r="J33" s="382">
        <f>J32+J31+J27</f>
        <v>12409750.059999898</v>
      </c>
      <c r="K33" s="130">
        <f>J33+'bilans '!B383</f>
        <v>0</v>
      </c>
      <c r="L33" s="130">
        <f>J33-'FC Spr.z syt.finans.'!B65</f>
        <v>0</v>
      </c>
    </row>
    <row r="34" spans="1:12">
      <c r="A34" t="s">
        <v>923</v>
      </c>
      <c r="B34" t="s">
        <v>923</v>
      </c>
    </row>
  </sheetData>
  <mergeCells count="1">
    <mergeCell ref="D1:G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C12" sqref="C12"/>
    </sheetView>
  </sheetViews>
  <sheetFormatPr defaultRowHeight="14.4"/>
  <cols>
    <col min="1" max="1" width="75.6640625" style="364" customWidth="1"/>
    <col min="2" max="4" width="15.6640625" style="1" customWidth="1"/>
    <col min="5" max="5" width="17.33203125" customWidth="1"/>
    <col min="8" max="8" width="11.33203125" bestFit="1" customWidth="1"/>
  </cols>
  <sheetData>
    <row r="1" spans="1:8" ht="36" customHeight="1">
      <c r="A1" s="365" t="s">
        <v>2183</v>
      </c>
      <c r="D1" s="682">
        <f>'FC Spr.z syt.finans.'!B3</f>
        <v>45930</v>
      </c>
    </row>
    <row r="2" spans="1:8">
      <c r="B2" s="363" t="s">
        <v>2122</v>
      </c>
      <c r="C2" s="363" t="s">
        <v>2123</v>
      </c>
      <c r="D2" s="363" t="s">
        <v>1501</v>
      </c>
    </row>
    <row r="3" spans="1:8" ht="28.8">
      <c r="A3" s="366" t="s">
        <v>2168</v>
      </c>
      <c r="B3" s="355"/>
      <c r="C3" s="355"/>
      <c r="D3" s="355"/>
    </row>
    <row r="4" spans="1:8">
      <c r="A4" s="366" t="s">
        <v>2169</v>
      </c>
      <c r="B4" s="355"/>
      <c r="C4" s="355"/>
      <c r="D4" s="355"/>
    </row>
    <row r="5" spans="1:8">
      <c r="A5" s="366" t="s">
        <v>2170</v>
      </c>
      <c r="B5" s="355"/>
      <c r="C5" s="355"/>
      <c r="D5" s="355"/>
    </row>
    <row r="6" spans="1:8">
      <c r="A6" s="366" t="s">
        <v>2171</v>
      </c>
      <c r="B6" s="355"/>
      <c r="C6" s="355"/>
      <c r="D6" s="355"/>
    </row>
    <row r="7" spans="1:8">
      <c r="A7" s="366" t="s">
        <v>2172</v>
      </c>
      <c r="B7" s="355"/>
      <c r="C7" s="355"/>
      <c r="D7" s="355"/>
    </row>
    <row r="8" spans="1:8">
      <c r="A8" s="366" t="s">
        <v>2173</v>
      </c>
      <c r="B8" s="355"/>
      <c r="C8" s="355"/>
      <c r="D8" s="355"/>
    </row>
    <row r="9" spans="1:8">
      <c r="A9" s="366" t="s">
        <v>923</v>
      </c>
      <c r="B9" s="355"/>
      <c r="C9" s="355"/>
      <c r="D9" s="355"/>
      <c r="H9" s="1025" t="s">
        <v>3647</v>
      </c>
    </row>
    <row r="10" spans="1:8">
      <c r="A10" s="367" t="s">
        <v>2174</v>
      </c>
      <c r="B10" s="368">
        <f>SUM(B11:B15)</f>
        <v>0</v>
      </c>
      <c r="C10" s="368">
        <f>SUM(C11:C15)</f>
        <v>530908.67000000004</v>
      </c>
      <c r="D10" s="368">
        <f>D11+D14</f>
        <v>530908.67000000004</v>
      </c>
      <c r="E10" s="130">
        <f>D10-'bilans '!B306</f>
        <v>0</v>
      </c>
      <c r="G10" t="s">
        <v>2756</v>
      </c>
      <c r="H10" s="1">
        <f>'bilans '!B325+'bilans '!B326+'bilans '!B327</f>
        <v>10.89</v>
      </c>
    </row>
    <row r="11" spans="1:8">
      <c r="A11" s="366" t="s">
        <v>2175</v>
      </c>
      <c r="B11" s="355"/>
      <c r="C11" s="130">
        <f>'bilans '!B308+'bilans '!B309+'bilans '!B310+'bilans '!B312+'bilans '!B313+'bilans '!B314+'bilans '!B315+'bilans '!B316+'bilans '!B317+'bilans '!B319+'bilans '!B320+'bilans '!B324+'bilans '!B328+'bilans '!B330+'bilans '!B325+'bilans '!B327+'bilans '!B326+'bilans '!B333+'bilans '!B311+'bilans '!B321</f>
        <v>14712.42</v>
      </c>
      <c r="D11" s="355">
        <f>C11+B11</f>
        <v>14712.42</v>
      </c>
      <c r="G11" t="s">
        <v>2757</v>
      </c>
      <c r="H11" s="1">
        <f>C10-H10</f>
        <v>530897.78</v>
      </c>
    </row>
    <row r="12" spans="1:8">
      <c r="A12" s="366" t="s">
        <v>2176</v>
      </c>
      <c r="B12" s="355"/>
      <c r="C12" s="355"/>
      <c r="D12" s="355">
        <f>C12+B12</f>
        <v>0</v>
      </c>
      <c r="H12" s="130">
        <f>H11+H10</f>
        <v>530908.67000000004</v>
      </c>
    </row>
    <row r="13" spans="1:8">
      <c r="A13" s="366" t="s">
        <v>2177</v>
      </c>
      <c r="B13" s="355"/>
      <c r="C13" s="355"/>
      <c r="D13" s="355">
        <f>C13+B13</f>
        <v>0</v>
      </c>
      <c r="H13" s="130">
        <f>H12-C10</f>
        <v>0</v>
      </c>
    </row>
    <row r="14" spans="1:8">
      <c r="A14" s="366" t="s">
        <v>2178</v>
      </c>
      <c r="B14" s="355"/>
      <c r="C14" s="358">
        <f>'bilans '!B318+'bilans '!B319+'bilans '!B329</f>
        <v>516196.25</v>
      </c>
      <c r="D14" s="355">
        <f>C14+B14</f>
        <v>516196.25</v>
      </c>
    </row>
    <row r="15" spans="1:8">
      <c r="A15" s="366" t="s">
        <v>2179</v>
      </c>
      <c r="B15" s="355"/>
      <c r="C15" s="355"/>
      <c r="D15" s="355">
        <f>C15+B15</f>
        <v>0</v>
      </c>
    </row>
    <row r="16" spans="1:8">
      <c r="A16" s="364" t="s">
        <v>923</v>
      </c>
    </row>
    <row r="17" spans="1:1" ht="28.8">
      <c r="A17" s="364" t="s">
        <v>2180</v>
      </c>
    </row>
    <row r="18" spans="1:1">
      <c r="A18" s="364" t="s">
        <v>2181</v>
      </c>
    </row>
    <row r="19" spans="1:1">
      <c r="A19" s="364" t="s">
        <v>2182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"/>
  <sheetViews>
    <sheetView workbookViewId="0">
      <pane xSplit="1" ySplit="1" topLeftCell="B29" activePane="bottomRight" state="frozen"/>
      <selection pane="topRight" activeCell="B1" sqref="B1"/>
      <selection pane="bottomLeft" activeCell="A2" sqref="A2"/>
      <selection pane="bottomRight" activeCell="C49" sqref="C49"/>
    </sheetView>
  </sheetViews>
  <sheetFormatPr defaultRowHeight="14.4"/>
  <cols>
    <col min="1" max="1" width="72.5546875" customWidth="1"/>
    <col min="2" max="2" width="21.21875" customWidth="1"/>
    <col min="3" max="3" width="18.5546875" style="1" customWidth="1"/>
    <col min="4" max="4" width="12.77734375" customWidth="1"/>
    <col min="5" max="5" width="14.33203125" customWidth="1"/>
    <col min="6" max="6" width="12" customWidth="1"/>
  </cols>
  <sheetData>
    <row r="1" spans="1:3" ht="15.6">
      <c r="A1" s="352" t="s">
        <v>2223</v>
      </c>
      <c r="B1" s="370" t="s">
        <v>2121</v>
      </c>
      <c r="C1" s="425">
        <f>'FC Spr.z syt.finans.'!B3</f>
        <v>45930</v>
      </c>
    </row>
    <row r="2" spans="1:3">
      <c r="B2" t="s">
        <v>923</v>
      </c>
      <c r="C2" s="1" t="s">
        <v>923</v>
      </c>
    </row>
    <row r="3" spans="1:3">
      <c r="A3" s="354" t="s">
        <v>2184</v>
      </c>
      <c r="B3" s="354" t="s">
        <v>923</v>
      </c>
      <c r="C3" s="355"/>
    </row>
    <row r="4" spans="1:3">
      <c r="A4" s="354" t="s">
        <v>2185</v>
      </c>
      <c r="B4" s="354" t="s">
        <v>923</v>
      </c>
      <c r="C4" s="389">
        <f>'bilans '!B231</f>
        <v>83106.159999999785</v>
      </c>
    </row>
    <row r="5" spans="1:3">
      <c r="A5" s="354" t="s">
        <v>2186</v>
      </c>
      <c r="B5" s="354" t="s">
        <v>923</v>
      </c>
      <c r="C5" s="389">
        <f>'bilans '!B236</f>
        <v>49342.18</v>
      </c>
    </row>
    <row r="6" spans="1:3">
      <c r="A6" s="354" t="s">
        <v>2187</v>
      </c>
      <c r="B6" s="354" t="s">
        <v>923</v>
      </c>
      <c r="C6" s="355"/>
    </row>
    <row r="7" spans="1:3">
      <c r="A7" s="354" t="s">
        <v>2188</v>
      </c>
      <c r="B7" s="354" t="s">
        <v>923</v>
      </c>
      <c r="C7" s="389">
        <f>'bilans '!B238</f>
        <v>6252.9799999999896</v>
      </c>
    </row>
    <row r="8" spans="1:3">
      <c r="A8" s="354" t="s">
        <v>2189</v>
      </c>
      <c r="B8" s="354" t="s">
        <v>923</v>
      </c>
      <c r="C8" s="389">
        <f>'bilans '!B240</f>
        <v>0</v>
      </c>
    </row>
    <row r="9" spans="1:3">
      <c r="A9" s="354" t="s">
        <v>2190</v>
      </c>
      <c r="B9" s="354" t="s">
        <v>923</v>
      </c>
      <c r="C9" s="389">
        <f>'bilans '!B242</f>
        <v>0</v>
      </c>
    </row>
    <row r="10" spans="1:3">
      <c r="A10" s="354" t="s">
        <v>2191</v>
      </c>
      <c r="B10" s="354" t="s">
        <v>923</v>
      </c>
      <c r="C10" s="389">
        <f>'bilans '!B244</f>
        <v>830563.31000000855</v>
      </c>
    </row>
    <row r="11" spans="1:3">
      <c r="A11" s="354" t="s">
        <v>2192</v>
      </c>
      <c r="B11" s="354" t="s">
        <v>923</v>
      </c>
      <c r="C11" s="355"/>
    </row>
    <row r="12" spans="1:3">
      <c r="A12" s="354" t="s">
        <v>2193</v>
      </c>
      <c r="B12" s="354" t="s">
        <v>923</v>
      </c>
      <c r="C12" s="355"/>
    </row>
    <row r="13" spans="1:3">
      <c r="A13" s="354" t="s">
        <v>2194</v>
      </c>
      <c r="B13" s="354" t="s">
        <v>923</v>
      </c>
      <c r="C13" s="355"/>
    </row>
    <row r="14" spans="1:3">
      <c r="A14" s="354" t="s">
        <v>2195</v>
      </c>
      <c r="B14" s="354" t="s">
        <v>923</v>
      </c>
      <c r="C14" s="355"/>
    </row>
    <row r="15" spans="1:3">
      <c r="A15" s="354" t="s">
        <v>2196</v>
      </c>
      <c r="B15" s="354" t="s">
        <v>923</v>
      </c>
      <c r="C15" s="355"/>
    </row>
    <row r="16" spans="1:3">
      <c r="A16" s="354" t="s">
        <v>2197</v>
      </c>
      <c r="B16" s="354" t="s">
        <v>923</v>
      </c>
      <c r="C16" s="355"/>
    </row>
    <row r="17" spans="1:3">
      <c r="A17" s="354" t="s">
        <v>2198</v>
      </c>
      <c r="B17" s="354" t="s">
        <v>923</v>
      </c>
      <c r="C17" s="355"/>
    </row>
    <row r="18" spans="1:3">
      <c r="A18" t="s">
        <v>923</v>
      </c>
      <c r="B18" t="s">
        <v>923</v>
      </c>
    </row>
    <row r="19" spans="1:3">
      <c r="A19" s="354" t="s">
        <v>2199</v>
      </c>
      <c r="B19" s="354" t="s">
        <v>923</v>
      </c>
      <c r="C19" s="389">
        <f>'bilans '!B283</f>
        <v>0</v>
      </c>
    </row>
    <row r="20" spans="1:3">
      <c r="A20" s="354" t="s">
        <v>2200</v>
      </c>
      <c r="B20" s="354" t="s">
        <v>923</v>
      </c>
      <c r="C20" s="355"/>
    </row>
    <row r="21" spans="1:3">
      <c r="A21" s="354" t="s">
        <v>2201</v>
      </c>
      <c r="B21" s="354" t="s">
        <v>923</v>
      </c>
      <c r="C21" s="435">
        <f>'bilans '!B286</f>
        <v>0</v>
      </c>
    </row>
    <row r="22" spans="1:3">
      <c r="A22" s="354" t="s">
        <v>2202</v>
      </c>
      <c r="B22" s="354" t="s">
        <v>923</v>
      </c>
      <c r="C22" s="435">
        <f>'bilans '!B288</f>
        <v>24872.209999999901</v>
      </c>
    </row>
    <row r="23" spans="1:3">
      <c r="A23" s="354" t="s">
        <v>2203</v>
      </c>
      <c r="B23" s="354" t="s">
        <v>923</v>
      </c>
      <c r="C23" s="355"/>
    </row>
    <row r="24" spans="1:3">
      <c r="A24" s="354" t="s">
        <v>2204</v>
      </c>
      <c r="B24" s="354" t="s">
        <v>923</v>
      </c>
      <c r="C24" s="355"/>
    </row>
    <row r="25" spans="1:3">
      <c r="A25" s="354" t="s">
        <v>2205</v>
      </c>
      <c r="B25" s="354" t="s">
        <v>923</v>
      </c>
      <c r="C25" s="355"/>
    </row>
    <row r="26" spans="1:3">
      <c r="A26" s="354" t="s">
        <v>2196</v>
      </c>
      <c r="B26" s="354" t="s">
        <v>923</v>
      </c>
      <c r="C26" s="355"/>
    </row>
    <row r="27" spans="1:3">
      <c r="A27" s="354" t="s">
        <v>2206</v>
      </c>
      <c r="B27" s="354" t="s">
        <v>923</v>
      </c>
      <c r="C27" s="355"/>
    </row>
    <row r="28" spans="1:3">
      <c r="A28" s="354" t="s">
        <v>2207</v>
      </c>
      <c r="B28" s="354" t="s">
        <v>923</v>
      </c>
      <c r="C28" s="355"/>
    </row>
    <row r="29" spans="1:3">
      <c r="A29" t="s">
        <v>923</v>
      </c>
      <c r="B29" t="s">
        <v>923</v>
      </c>
    </row>
    <row r="30" spans="1:3">
      <c r="A30" s="354" t="s">
        <v>2208</v>
      </c>
      <c r="B30" s="354" t="s">
        <v>923</v>
      </c>
      <c r="C30" s="355"/>
    </row>
    <row r="31" spans="1:3">
      <c r="A31" s="354" t="s">
        <v>2209</v>
      </c>
      <c r="B31" s="354" t="s">
        <v>923</v>
      </c>
      <c r="C31" s="355"/>
    </row>
    <row r="32" spans="1:3">
      <c r="A32" s="354" t="s">
        <v>2196</v>
      </c>
      <c r="B32" s="354" t="s">
        <v>923</v>
      </c>
      <c r="C32" s="355"/>
    </row>
    <row r="33" spans="1:16">
      <c r="A33" s="354" t="s">
        <v>2210</v>
      </c>
      <c r="B33" s="354" t="s">
        <v>923</v>
      </c>
      <c r="C33" s="355"/>
    </row>
    <row r="34" spans="1:16">
      <c r="A34" s="354" t="s">
        <v>2211</v>
      </c>
      <c r="B34" s="354" t="s">
        <v>923</v>
      </c>
      <c r="C34" s="355"/>
    </row>
    <row r="35" spans="1:16">
      <c r="A35" t="s">
        <v>923</v>
      </c>
      <c r="B35" t="s">
        <v>923</v>
      </c>
    </row>
    <row r="36" spans="1:16">
      <c r="A36" s="354" t="s">
        <v>2212</v>
      </c>
      <c r="B36" s="354" t="s">
        <v>923</v>
      </c>
      <c r="C36" s="355"/>
    </row>
    <row r="37" spans="1:16">
      <c r="A37" s="354" t="s">
        <v>2213</v>
      </c>
      <c r="B37" s="354" t="s">
        <v>923</v>
      </c>
      <c r="C37" s="355"/>
    </row>
    <row r="38" spans="1:16">
      <c r="A38" s="354" t="s">
        <v>2214</v>
      </c>
      <c r="B38" s="354" t="s">
        <v>923</v>
      </c>
      <c r="C38" s="355"/>
    </row>
    <row r="39" spans="1:16">
      <c r="A39" s="354" t="s">
        <v>2215</v>
      </c>
      <c r="B39" s="354" t="s">
        <v>923</v>
      </c>
      <c r="C39" s="355"/>
    </row>
    <row r="40" spans="1:16">
      <c r="A40" t="s">
        <v>923</v>
      </c>
      <c r="B40" t="s">
        <v>923</v>
      </c>
    </row>
    <row r="41" spans="1:16">
      <c r="A41" s="354" t="s">
        <v>2216</v>
      </c>
      <c r="B41" s="354" t="s">
        <v>923</v>
      </c>
      <c r="C41" s="355"/>
    </row>
    <row r="42" spans="1:16">
      <c r="A42" s="356" t="s">
        <v>2217</v>
      </c>
      <c r="B42" s="356" t="s">
        <v>923</v>
      </c>
      <c r="C42" s="357">
        <f>C51</f>
        <v>1612062.74999999</v>
      </c>
    </row>
    <row r="43" spans="1:16">
      <c r="A43" t="s">
        <v>923</v>
      </c>
      <c r="B43" t="s">
        <v>923</v>
      </c>
    </row>
    <row r="44" spans="1:16">
      <c r="A44" s="373" t="s">
        <v>2218</v>
      </c>
      <c r="B44" s="373" t="s">
        <v>923</v>
      </c>
      <c r="C44" s="374">
        <f>SUM(C3:C42)</f>
        <v>2606199.589999998</v>
      </c>
      <c r="D44" s="130">
        <f>C44-'bilans '!B229</f>
        <v>0</v>
      </c>
    </row>
    <row r="45" spans="1:16">
      <c r="A45" t="s">
        <v>923</v>
      </c>
      <c r="B45" t="s">
        <v>923</v>
      </c>
    </row>
    <row r="46" spans="1:16">
      <c r="A46" t="s">
        <v>923</v>
      </c>
      <c r="B46" t="s">
        <v>923</v>
      </c>
    </row>
    <row r="47" spans="1:16">
      <c r="A47" t="s">
        <v>2219</v>
      </c>
      <c r="B47" t="s">
        <v>923</v>
      </c>
      <c r="C47" s="424" t="s">
        <v>2466</v>
      </c>
    </row>
    <row r="48" spans="1:16">
      <c r="A48" s="354" t="s">
        <v>2145</v>
      </c>
      <c r="B48" s="354" t="s">
        <v>2220</v>
      </c>
      <c r="C48" s="355">
        <f>'bilans '!B305-D55</f>
        <v>1578366.3799999901</v>
      </c>
      <c r="D48" s="384"/>
      <c r="E48" s="384"/>
      <c r="F48" s="411"/>
      <c r="G48" s="384"/>
      <c r="H48" s="384"/>
      <c r="I48" s="384"/>
      <c r="J48" s="384"/>
      <c r="K48" s="384"/>
      <c r="L48" s="384"/>
      <c r="M48" s="384"/>
      <c r="N48" s="384"/>
      <c r="O48" s="384"/>
      <c r="P48" s="384"/>
    </row>
    <row r="49" spans="1:16">
      <c r="A49" s="354" t="s">
        <v>2221</v>
      </c>
      <c r="B49" s="354" t="s">
        <v>980</v>
      </c>
      <c r="C49" s="355">
        <f>'bilans '!B276+'bilans '!B293+'bilans '!B294+'bilans '!B296+'bilans '!B297+'bilans '!B298+'bilans '!B299+'bilans '!B300+'bilans '!B301+'bilans '!B302+'bilans '!B304+D55-C32+'bilans '!B295+'bilans '!B303</f>
        <v>33696.369999999893</v>
      </c>
      <c r="D49" s="5"/>
      <c r="E49" s="5"/>
      <c r="F49" s="411"/>
      <c r="G49" s="384"/>
      <c r="H49" s="384"/>
      <c r="I49" s="384"/>
      <c r="J49" s="384"/>
      <c r="K49" s="384"/>
      <c r="L49" s="384"/>
      <c r="M49" s="384"/>
      <c r="N49" s="384"/>
      <c r="O49" s="384"/>
      <c r="P49" s="384"/>
    </row>
    <row r="50" spans="1:16">
      <c r="A50" s="354" t="s">
        <v>2414</v>
      </c>
      <c r="B50" s="354" t="s">
        <v>3932</v>
      </c>
      <c r="C50" s="1">
        <f>'bilans '!B284</f>
        <v>0</v>
      </c>
      <c r="D50" s="5"/>
      <c r="E50" s="5"/>
      <c r="F50" s="411"/>
      <c r="G50" s="384"/>
      <c r="H50" s="384"/>
      <c r="I50" s="384"/>
      <c r="J50" s="384"/>
      <c r="K50" s="384"/>
      <c r="L50" s="384"/>
      <c r="M50" s="384"/>
      <c r="N50" s="384"/>
      <c r="O50" s="384"/>
      <c r="P50" s="384"/>
    </row>
    <row r="51" spans="1:16">
      <c r="A51" s="371" t="s">
        <v>2222</v>
      </c>
      <c r="B51" s="371" t="s">
        <v>923</v>
      </c>
      <c r="C51" s="372">
        <f>C49+C48+C50</f>
        <v>1612062.74999999</v>
      </c>
      <c r="D51" s="404"/>
      <c r="E51" s="405"/>
      <c r="F51" s="412"/>
      <c r="G51" s="405"/>
      <c r="H51" s="384"/>
      <c r="I51" s="384"/>
      <c r="J51" s="384"/>
      <c r="K51" s="384"/>
      <c r="L51" s="384"/>
      <c r="M51" s="384"/>
      <c r="N51" s="384"/>
      <c r="O51" s="384"/>
      <c r="P51" s="384"/>
    </row>
    <row r="52" spans="1:16">
      <c r="D52" s="404"/>
      <c r="E52" s="405"/>
      <c r="F52" s="412"/>
      <c r="G52" s="405"/>
      <c r="H52" s="384"/>
      <c r="I52" s="384"/>
      <c r="J52" s="384"/>
      <c r="K52" s="384"/>
      <c r="L52" s="384"/>
      <c r="M52" s="384"/>
      <c r="N52" s="384"/>
      <c r="O52" s="384"/>
      <c r="P52" s="384"/>
    </row>
    <row r="53" spans="1:16">
      <c r="D53" s="404"/>
      <c r="E53" s="405"/>
      <c r="F53" s="412"/>
      <c r="G53" s="405"/>
      <c r="H53" s="384"/>
      <c r="I53" s="384"/>
      <c r="J53" s="384"/>
      <c r="K53" s="384"/>
      <c r="L53" s="384"/>
      <c r="M53" s="384"/>
      <c r="N53" s="384"/>
      <c r="O53" s="384"/>
      <c r="P53" s="384"/>
    </row>
    <row r="54" spans="1:16">
      <c r="D54" s="404"/>
      <c r="E54" s="405"/>
      <c r="F54" s="412"/>
      <c r="G54" s="405"/>
      <c r="H54" s="384"/>
      <c r="I54" s="384"/>
      <c r="J54" s="384"/>
      <c r="K54" s="384"/>
      <c r="L54" s="384"/>
      <c r="M54" s="384"/>
      <c r="N54" s="384"/>
      <c r="O54" s="384"/>
      <c r="P54" s="384"/>
    </row>
    <row r="55" spans="1:16">
      <c r="D55" s="413"/>
      <c r="E55" s="405"/>
      <c r="F55" s="406"/>
      <c r="G55" s="405"/>
      <c r="H55" s="384"/>
      <c r="I55" s="384"/>
      <c r="J55" s="384"/>
      <c r="K55" s="384"/>
      <c r="L55" s="384"/>
      <c r="M55" s="384"/>
      <c r="N55" s="384"/>
      <c r="O55" s="384"/>
      <c r="P55" s="384"/>
    </row>
    <row r="56" spans="1:16">
      <c r="I56" s="384"/>
      <c r="J56" s="384"/>
      <c r="K56" s="384"/>
      <c r="L56" s="384"/>
      <c r="M56" s="384"/>
      <c r="N56" s="384"/>
      <c r="O56" s="384"/>
      <c r="P56" s="384"/>
    </row>
    <row r="57" spans="1:16">
      <c r="D57" s="404"/>
      <c r="E57" s="405"/>
      <c r="F57" s="406"/>
      <c r="G57" s="405"/>
      <c r="H57" s="384"/>
      <c r="I57" s="384"/>
      <c r="J57" s="384"/>
      <c r="K57" s="384"/>
      <c r="L57" s="384"/>
      <c r="M57" s="384"/>
      <c r="N57" s="384"/>
      <c r="O57" s="384"/>
      <c r="P57" s="384"/>
    </row>
    <row r="58" spans="1:16">
      <c r="D58" s="384"/>
      <c r="E58" s="384"/>
      <c r="F58" s="384"/>
      <c r="G58" s="384"/>
      <c r="H58" s="384"/>
      <c r="I58" s="384"/>
      <c r="J58" s="384"/>
      <c r="K58" s="384"/>
      <c r="L58" s="384"/>
      <c r="M58" s="384"/>
      <c r="N58" s="384"/>
      <c r="O58" s="384"/>
      <c r="P58" s="384"/>
    </row>
    <row r="59" spans="1:16">
      <c r="D59" s="384"/>
      <c r="E59" s="384"/>
      <c r="F59" s="384"/>
      <c r="G59" s="384"/>
      <c r="H59" s="384"/>
      <c r="I59" s="384"/>
      <c r="J59" s="384"/>
      <c r="K59" s="384"/>
      <c r="L59" s="384"/>
      <c r="M59" s="384"/>
      <c r="N59" s="384"/>
      <c r="O59" s="384"/>
      <c r="P59" s="384"/>
    </row>
    <row r="60" spans="1:16"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</row>
    <row r="61" spans="1:16">
      <c r="D61" s="384"/>
      <c r="E61" s="384"/>
      <c r="F61" s="384"/>
      <c r="G61" s="384"/>
      <c r="H61" s="384"/>
      <c r="I61" s="384"/>
      <c r="J61" s="384"/>
      <c r="K61" s="384"/>
      <c r="L61" s="384"/>
      <c r="M61" s="384"/>
      <c r="N61" s="384"/>
      <c r="O61" s="384"/>
      <c r="P61" s="384"/>
    </row>
    <row r="62" spans="1:16"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</row>
    <row r="63" spans="1:16">
      <c r="D63" s="384"/>
      <c r="E63" s="384"/>
      <c r="F63" s="384"/>
      <c r="G63" s="384"/>
      <c r="H63" s="384"/>
      <c r="I63" s="384"/>
      <c r="J63" s="384"/>
      <c r="K63" s="384"/>
      <c r="L63" s="384"/>
      <c r="M63" s="384"/>
      <c r="N63" s="384"/>
      <c r="O63" s="384"/>
      <c r="P63" s="384"/>
    </row>
    <row r="64" spans="1:16">
      <c r="D64" s="384"/>
      <c r="E64" s="384"/>
      <c r="F64" s="384"/>
      <c r="G64" s="384"/>
      <c r="H64" s="384"/>
      <c r="I64" s="384"/>
      <c r="J64" s="384"/>
      <c r="K64" s="384"/>
      <c r="L64" s="384"/>
      <c r="M64" s="384"/>
      <c r="N64" s="384"/>
      <c r="O64" s="384"/>
      <c r="P64" s="384"/>
    </row>
    <row r="65" spans="4:16">
      <c r="D65" s="384"/>
      <c r="E65" s="384"/>
      <c r="F65" s="384"/>
      <c r="G65" s="384"/>
      <c r="H65" s="384"/>
      <c r="I65" s="384"/>
      <c r="J65" s="384"/>
      <c r="K65" s="384"/>
      <c r="L65" s="384"/>
      <c r="M65" s="384"/>
      <c r="N65" s="384"/>
      <c r="O65" s="384"/>
      <c r="P65" s="384"/>
    </row>
    <row r="66" spans="4:16">
      <c r="D66" s="384"/>
      <c r="E66" s="384"/>
      <c r="F66" s="384"/>
      <c r="G66" s="384"/>
      <c r="H66" s="384"/>
      <c r="I66" s="384"/>
      <c r="J66" s="384"/>
      <c r="K66" s="384"/>
      <c r="L66" s="384"/>
      <c r="M66" s="384"/>
      <c r="N66" s="384"/>
      <c r="O66" s="384"/>
      <c r="P66" s="384"/>
    </row>
    <row r="67" spans="4:16">
      <c r="D67" s="384"/>
      <c r="E67" s="384"/>
      <c r="F67" s="384"/>
      <c r="G67" s="384"/>
      <c r="H67" s="384"/>
      <c r="I67" s="384"/>
      <c r="J67" s="384"/>
      <c r="K67" s="384"/>
      <c r="L67" s="384"/>
      <c r="M67" s="384"/>
      <c r="N67" s="384"/>
      <c r="O67" s="384"/>
      <c r="P67" s="384"/>
    </row>
    <row r="68" spans="4:16">
      <c r="D68" s="384"/>
      <c r="E68" s="384"/>
      <c r="F68" s="384"/>
      <c r="G68" s="384"/>
      <c r="H68" s="384"/>
      <c r="I68" s="384"/>
      <c r="J68" s="384"/>
      <c r="K68" s="384"/>
      <c r="L68" s="384"/>
      <c r="M68" s="384"/>
      <c r="N68" s="384"/>
      <c r="O68" s="384"/>
      <c r="P68" s="384"/>
    </row>
    <row r="69" spans="4:16">
      <c r="D69" s="384"/>
      <c r="E69" s="384"/>
      <c r="F69" s="384"/>
      <c r="G69" s="384"/>
      <c r="H69" s="384"/>
      <c r="I69" s="384"/>
      <c r="J69" s="384"/>
      <c r="K69" s="384"/>
      <c r="L69" s="384"/>
      <c r="M69" s="384"/>
      <c r="N69" s="384"/>
      <c r="O69" s="384"/>
      <c r="P69" s="384"/>
    </row>
    <row r="70" spans="4:16"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</row>
    <row r="71" spans="4:16">
      <c r="D71" s="384"/>
      <c r="E71" s="384"/>
      <c r="F71" s="384"/>
      <c r="G71" s="384"/>
      <c r="H71" s="384"/>
      <c r="I71" s="384"/>
      <c r="J71" s="384"/>
      <c r="K71" s="384"/>
      <c r="L71" s="384"/>
      <c r="M71" s="384"/>
      <c r="N71" s="384"/>
      <c r="O71" s="384"/>
      <c r="P71" s="384"/>
    </row>
    <row r="72" spans="4:16">
      <c r="D72" s="384"/>
      <c r="E72" s="384"/>
      <c r="F72" s="384"/>
      <c r="G72" s="384"/>
      <c r="H72" s="384"/>
      <c r="I72" s="384"/>
      <c r="J72" s="384"/>
      <c r="K72" s="384"/>
      <c r="L72" s="384"/>
      <c r="M72" s="384"/>
      <c r="N72" s="384"/>
      <c r="O72" s="384"/>
      <c r="P72" s="384"/>
    </row>
    <row r="73" spans="4:16">
      <c r="D73" s="384"/>
      <c r="E73" s="384"/>
      <c r="F73" s="384"/>
      <c r="G73" s="384"/>
      <c r="H73" s="384"/>
      <c r="I73" s="384"/>
      <c r="J73" s="384"/>
      <c r="K73" s="384"/>
      <c r="L73" s="384"/>
      <c r="M73" s="384"/>
      <c r="N73" s="384"/>
      <c r="O73" s="384"/>
      <c r="P73" s="384"/>
    </row>
    <row r="74" spans="4:16">
      <c r="D74" s="384"/>
      <c r="E74" s="384"/>
      <c r="F74" s="384"/>
      <c r="G74" s="384"/>
      <c r="H74" s="384"/>
      <c r="I74" s="384"/>
      <c r="J74" s="384"/>
      <c r="K74" s="384"/>
      <c r="L74" s="384"/>
      <c r="M74" s="384"/>
      <c r="N74" s="384"/>
      <c r="O74" s="384"/>
      <c r="P74" s="384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598"/>
  <sheetViews>
    <sheetView zoomScale="110" zoomScaleNormal="110" workbookViewId="0">
      <pane xSplit="2" ySplit="3" topLeftCell="C547" activePane="bottomRight" state="frozen"/>
      <selection pane="topRight" activeCell="C1" sqref="C1"/>
      <selection pane="bottomLeft" activeCell="A4" sqref="A4"/>
      <selection pane="bottomRight" activeCell="J559" sqref="J559"/>
    </sheetView>
  </sheetViews>
  <sheetFormatPr defaultColWidth="8.88671875" defaultRowHeight="10.199999999999999"/>
  <cols>
    <col min="1" max="1" width="41.77734375" style="242" customWidth="1"/>
    <col min="2" max="2" width="22.77734375" style="243" customWidth="1"/>
    <col min="3" max="3" width="14.21875" style="1101" customWidth="1"/>
    <col min="4" max="4" width="14.109375" style="242" customWidth="1"/>
    <col min="5" max="5" width="3.21875" style="654" customWidth="1"/>
    <col min="6" max="6" width="14.109375" style="243" customWidth="1"/>
    <col min="7" max="7" width="13.44140625" style="242" customWidth="1"/>
    <col min="8" max="8" width="15.5546875" style="242" customWidth="1"/>
    <col min="9" max="9" width="9" style="242" customWidth="1"/>
    <col min="10" max="10" width="8.88671875" style="242" customWidth="1"/>
    <col min="11" max="11" width="23" style="242" customWidth="1"/>
    <col min="12" max="16384" width="8.88671875" style="242"/>
  </cols>
  <sheetData>
    <row r="1" spans="1:17">
      <c r="A1" s="1099"/>
      <c r="B1" s="1100"/>
      <c r="D1" s="1099"/>
      <c r="F1" s="1100"/>
    </row>
    <row r="2" spans="1:17" ht="13.8">
      <c r="B2" s="1102">
        <v>45930</v>
      </c>
      <c r="D2" s="1103" t="s">
        <v>1783</v>
      </c>
      <c r="F2" s="1102">
        <v>45657</v>
      </c>
    </row>
    <row r="3" spans="1:17" ht="15.6">
      <c r="A3" s="1104" t="s">
        <v>1008</v>
      </c>
      <c r="B3" s="1105">
        <f>B4+B106</f>
        <v>72847084.919999957</v>
      </c>
      <c r="C3" s="1106"/>
      <c r="D3" s="1107">
        <f>B3+B338</f>
        <v>0</v>
      </c>
      <c r="E3" s="1108"/>
      <c r="F3" s="1105">
        <v>71722120.709999889</v>
      </c>
      <c r="H3" s="243"/>
    </row>
    <row r="4" spans="1:17" ht="13.8">
      <c r="A4" s="1109" t="s">
        <v>1009</v>
      </c>
      <c r="B4" s="1110">
        <f>B5+B46+B62+B75+B81+B58+B69+B78</f>
        <v>33860652.019999996</v>
      </c>
      <c r="C4" s="1106"/>
      <c r="D4" s="681"/>
      <c r="E4" s="1026"/>
      <c r="F4" s="1110">
        <v>37048617.649999902</v>
      </c>
      <c r="G4" s="243"/>
    </row>
    <row r="5" spans="1:17">
      <c r="A5" s="1111" t="s">
        <v>1010</v>
      </c>
      <c r="B5" s="1112">
        <f>B6+B32</f>
        <v>22151879.409999989</v>
      </c>
      <c r="C5" s="1113"/>
      <c r="D5" s="681"/>
      <c r="E5" s="1026"/>
      <c r="F5" s="1112">
        <v>23191134.809999898</v>
      </c>
    </row>
    <row r="6" spans="1:17">
      <c r="A6" s="1114" t="s">
        <v>1011</v>
      </c>
      <c r="B6" s="1115">
        <f>B7+B14+B24+B28</f>
        <v>22073694.489999987</v>
      </c>
      <c r="D6" s="681"/>
      <c r="E6" s="1026"/>
      <c r="F6" s="1115">
        <v>22915512.129999898</v>
      </c>
    </row>
    <row r="7" spans="1:17" ht="10.8" thickBot="1">
      <c r="A7" s="1116" t="s">
        <v>1012</v>
      </c>
      <c r="B7" s="1117">
        <f>SUM(B8:B13)</f>
        <v>13239755.689999992</v>
      </c>
      <c r="D7" s="681"/>
      <c r="E7" s="1026"/>
      <c r="F7" s="1117">
        <v>13769284.749999993</v>
      </c>
    </row>
    <row r="8" spans="1:17">
      <c r="A8" s="681" t="s">
        <v>1013</v>
      </c>
      <c r="B8" s="294">
        <f>(IFERROR(VLOOKUP(D8,obrotówka!$A$3:$J$1600,10,0),0))</f>
        <v>25164873.02</v>
      </c>
      <c r="C8" s="1047"/>
      <c r="D8" s="681" t="s">
        <v>3</v>
      </c>
      <c r="E8" s="1026"/>
      <c r="F8" s="294">
        <v>25164873.02</v>
      </c>
      <c r="G8" s="243"/>
      <c r="O8" s="1118"/>
      <c r="P8" s="1119"/>
    </row>
    <row r="9" spans="1:17">
      <c r="A9" s="681" t="s">
        <v>1014</v>
      </c>
      <c r="B9" s="294">
        <f>(IFERROR(VLOOKUP(D9,obrotówka!$A$3:$J$1600,10,0),0))</f>
        <v>4069882.52999999</v>
      </c>
      <c r="C9" s="1047"/>
      <c r="D9" s="681" t="s">
        <v>7</v>
      </c>
      <c r="E9" s="1026"/>
      <c r="F9" s="294">
        <v>4069882.52999999</v>
      </c>
      <c r="O9" s="1120"/>
      <c r="P9" s="1121"/>
    </row>
    <row r="10" spans="1:17">
      <c r="A10" s="681" t="s">
        <v>1015</v>
      </c>
      <c r="B10" s="294">
        <f>(IFERROR(VLOOKUP(D10,obrotówka!$A$3:$J$1600,10,0),0))</f>
        <v>-12553072.09</v>
      </c>
      <c r="C10" s="1047"/>
      <c r="D10" s="681" t="s">
        <v>23</v>
      </c>
      <c r="E10" s="1026"/>
      <c r="F10" s="294">
        <v>-12075875.33</v>
      </c>
      <c r="O10" s="1120"/>
      <c r="P10" s="1121"/>
    </row>
    <row r="11" spans="1:17" ht="10.8" thickBot="1">
      <c r="A11" s="681" t="s">
        <v>1016</v>
      </c>
      <c r="B11" s="294">
        <f>(IFERROR(VLOOKUP(D11,obrotówka!$A$3:$J$1600,10,0),0))</f>
        <v>-1909498.53</v>
      </c>
      <c r="C11" s="1047"/>
      <c r="D11" s="681" t="s">
        <v>27</v>
      </c>
      <c r="E11" s="1026"/>
      <c r="F11" s="294">
        <v>-1857166.23</v>
      </c>
      <c r="O11" s="1120"/>
      <c r="P11" s="1121"/>
    </row>
    <row r="12" spans="1:17">
      <c r="A12" s="681" t="s">
        <v>1017</v>
      </c>
      <c r="B12" s="294">
        <f>(IFERROR(VLOOKUP(D12,obrotówka!$A$3:$J$1600,10,0),0))</f>
        <v>-672322</v>
      </c>
      <c r="C12" s="1047"/>
      <c r="D12" s="681" t="s">
        <v>41</v>
      </c>
      <c r="E12" s="1026"/>
      <c r="F12" s="294">
        <v>-672322</v>
      </c>
      <c r="O12" s="1120"/>
      <c r="P12" s="1122"/>
      <c r="Q12" s="1119"/>
    </row>
    <row r="13" spans="1:17">
      <c r="A13" s="681" t="s">
        <v>1018</v>
      </c>
      <c r="B13" s="294">
        <f>(IFERROR(VLOOKUP(D13,obrotówka!$A$3:$J$1600,10,0),0))</f>
        <v>-860107.23999999894</v>
      </c>
      <c r="C13" s="1047"/>
      <c r="D13" s="681" t="s">
        <v>43</v>
      </c>
      <c r="E13" s="1026"/>
      <c r="F13" s="294">
        <v>-860107.23999999894</v>
      </c>
      <c r="O13" s="1120"/>
      <c r="P13" s="1123"/>
      <c r="Q13" s="1121"/>
    </row>
    <row r="14" spans="1:17">
      <c r="A14" s="1116" t="s">
        <v>1019</v>
      </c>
      <c r="B14" s="1117">
        <f>SUM(B15:B23)</f>
        <v>5341608.1000000034</v>
      </c>
      <c r="D14" s="681"/>
      <c r="E14" s="1026"/>
      <c r="F14" s="1117">
        <v>5255206.7100000093</v>
      </c>
      <c r="O14" s="1120"/>
      <c r="P14" s="1123"/>
      <c r="Q14" s="1121"/>
    </row>
    <row r="15" spans="1:17" ht="10.8" thickBot="1">
      <c r="A15" s="681" t="s">
        <v>1020</v>
      </c>
      <c r="B15" s="294">
        <f>(IFERROR(VLOOKUP(D15,obrotówka!$A$3:$J$1600,10,0),0))</f>
        <v>102219</v>
      </c>
      <c r="C15" s="1047"/>
      <c r="D15" s="681" t="s">
        <v>9</v>
      </c>
      <c r="E15" s="1026"/>
      <c r="F15" s="294">
        <v>102219</v>
      </c>
      <c r="O15" s="1120"/>
      <c r="P15" s="1124"/>
      <c r="Q15" s="1121"/>
    </row>
    <row r="16" spans="1:17">
      <c r="A16" s="681" t="s">
        <v>1021</v>
      </c>
      <c r="B16" s="294">
        <f>(IFERROR(VLOOKUP(D16,obrotówka!$A$3:$J$1600,10,0),0))</f>
        <v>18921761.670000002</v>
      </c>
      <c r="C16" s="1047"/>
      <c r="D16" s="681" t="s">
        <v>11</v>
      </c>
      <c r="E16" s="1026"/>
      <c r="F16" s="294">
        <v>18605200.800000001</v>
      </c>
      <c r="N16" s="1118"/>
      <c r="O16" s="1119"/>
      <c r="P16" s="1125"/>
      <c r="Q16" s="1121"/>
    </row>
    <row r="17" spans="1:17">
      <c r="A17" s="681" t="s">
        <v>1022</v>
      </c>
      <c r="B17" s="294">
        <f>(IFERROR(VLOOKUP(D17,obrotówka!$A$3:$J$1600,10,0),0))</f>
        <v>1760612.33</v>
      </c>
      <c r="C17" s="1047"/>
      <c r="D17" s="681" t="s">
        <v>13</v>
      </c>
      <c r="E17" s="1026"/>
      <c r="F17" s="294">
        <v>1784522.33</v>
      </c>
      <c r="N17" s="1120"/>
      <c r="O17" s="1121"/>
      <c r="P17" s="1125"/>
      <c r="Q17" s="1121"/>
    </row>
    <row r="18" spans="1:17">
      <c r="A18" s="681" t="s">
        <v>1023</v>
      </c>
      <c r="B18" s="294">
        <f>(IFERROR(VLOOKUP(D18,obrotówka!$A$3:$J$1600,10,0),0))</f>
        <v>7610524.6799999904</v>
      </c>
      <c r="C18" s="1047"/>
      <c r="D18" s="681" t="s">
        <v>15</v>
      </c>
      <c r="E18" s="1026"/>
      <c r="F18" s="294">
        <v>7287944.2699999902</v>
      </c>
      <c r="N18" s="1120"/>
      <c r="O18" s="1121"/>
      <c r="P18" s="1125"/>
      <c r="Q18" s="1121"/>
    </row>
    <row r="19" spans="1:17" ht="10.8" thickBot="1">
      <c r="A19" s="681" t="s">
        <v>1024</v>
      </c>
      <c r="B19" s="294">
        <f>(IFERROR(VLOOKUP(D19,obrotówka!$A$3:$J$1600,10,0),0))</f>
        <v>-85670.83</v>
      </c>
      <c r="C19" s="1047"/>
      <c r="D19" s="681" t="s">
        <v>29</v>
      </c>
      <c r="E19" s="1026"/>
      <c r="F19" s="294">
        <v>-83760.800000000003</v>
      </c>
      <c r="N19" s="1120"/>
      <c r="O19" s="1121"/>
      <c r="P19" s="1126"/>
      <c r="Q19" s="1127"/>
    </row>
    <row r="20" spans="1:17">
      <c r="A20" s="681" t="s">
        <v>1025</v>
      </c>
      <c r="B20" s="294">
        <f>(IFERROR(VLOOKUP(D20,obrotówka!$A$3:$J$1600,10,0),0))</f>
        <v>-15695858.210000001</v>
      </c>
      <c r="C20" s="1047"/>
      <c r="D20" s="681" t="s">
        <v>31</v>
      </c>
      <c r="E20" s="1026"/>
      <c r="F20" s="294">
        <v>-15343073.98</v>
      </c>
      <c r="N20" s="1120"/>
      <c r="O20" s="1121"/>
    </row>
    <row r="21" spans="1:17">
      <c r="A21" s="681" t="s">
        <v>1026</v>
      </c>
      <c r="B21" s="294">
        <f>(IFERROR(VLOOKUP(D21,obrotówka!$A$3:$J$1600,10,0),0))</f>
        <v>-1418813.36</v>
      </c>
      <c r="C21" s="1047"/>
      <c r="D21" s="681" t="s">
        <v>33</v>
      </c>
      <c r="E21" s="1026"/>
      <c r="F21" s="294">
        <v>-1393205.9399999899</v>
      </c>
      <c r="N21" s="1120"/>
      <c r="O21" s="1121"/>
    </row>
    <row r="22" spans="1:17">
      <c r="A22" s="681" t="s">
        <v>1027</v>
      </c>
      <c r="B22" s="294">
        <f>(IFERROR(VLOOKUP(D22,obrotówka!$A$3:$J$1600,10,0),0))</f>
        <v>-5853167.1799999904</v>
      </c>
      <c r="C22" s="1047"/>
      <c r="D22" s="681" t="s">
        <v>35</v>
      </c>
      <c r="E22" s="1026"/>
      <c r="F22" s="294">
        <v>-5704638.9699999904</v>
      </c>
      <c r="N22" s="1120"/>
      <c r="O22" s="1121"/>
    </row>
    <row r="23" spans="1:17" ht="10.8" thickBot="1">
      <c r="A23" s="681" t="s">
        <v>1028</v>
      </c>
      <c r="B23" s="294">
        <f>(IFERROR(VLOOKUP(D23,obrotówka!$A$3:$J$1600,10,0),0))</f>
        <v>0</v>
      </c>
      <c r="C23" s="1047"/>
      <c r="D23" s="681" t="s">
        <v>1388</v>
      </c>
      <c r="E23" s="1026"/>
      <c r="F23" s="294">
        <v>0</v>
      </c>
      <c r="N23" s="1128"/>
      <c r="O23" s="1127"/>
    </row>
    <row r="24" spans="1:17">
      <c r="A24" s="1116" t="s">
        <v>1029</v>
      </c>
      <c r="B24" s="1117">
        <f>SUM(B25:B27)</f>
        <v>2476022.8899999904</v>
      </c>
      <c r="D24" s="681"/>
      <c r="E24" s="1026"/>
      <c r="F24" s="1117">
        <v>2726165.56</v>
      </c>
    </row>
    <row r="25" spans="1:17">
      <c r="A25" s="681" t="s">
        <v>1030</v>
      </c>
      <c r="B25" s="294">
        <f>(IFERROR(VLOOKUP(D25,obrotówka!$A$3:$J$1600,10,0),0))</f>
        <v>7026608.9699999904</v>
      </c>
      <c r="C25" s="1047"/>
      <c r="D25" s="681" t="s">
        <v>17</v>
      </c>
      <c r="E25" s="1026"/>
      <c r="F25" s="294">
        <v>7102637.1699999897</v>
      </c>
    </row>
    <row r="26" spans="1:17">
      <c r="A26" s="681" t="s">
        <v>1031</v>
      </c>
      <c r="B26" s="294">
        <f>(IFERROR(VLOOKUP(D26,obrotówka!$A$3:$J$1600,10,0),0))</f>
        <v>-4549446.95</v>
      </c>
      <c r="C26" s="1047"/>
      <c r="D26" s="681" t="s">
        <v>37</v>
      </c>
      <c r="E26" s="1026"/>
      <c r="F26" s="294">
        <v>-4370206.3799999896</v>
      </c>
    </row>
    <row r="27" spans="1:17">
      <c r="A27" s="1129" t="s">
        <v>3137</v>
      </c>
      <c r="B27" s="297">
        <f>-'środki trwałe - amortyzacja '!G59</f>
        <v>-1139.1299999999974</v>
      </c>
      <c r="C27" s="1047"/>
      <c r="D27" s="681"/>
      <c r="E27" s="1026"/>
      <c r="F27" s="297">
        <v>-6265.2300000000032</v>
      </c>
      <c r="G27" s="654"/>
      <c r="H27" s="654"/>
      <c r="I27" s="654"/>
    </row>
    <row r="28" spans="1:17">
      <c r="A28" s="1116" t="s">
        <v>1032</v>
      </c>
      <c r="B28" s="1117">
        <f>SUM(B29:B31)</f>
        <v>1016307.8100000005</v>
      </c>
      <c r="F28" s="1117">
        <v>1164855.1099999007</v>
      </c>
    </row>
    <row r="29" spans="1:17">
      <c r="A29" s="681" t="s">
        <v>1033</v>
      </c>
      <c r="B29" s="294">
        <f>(IFERROR(VLOOKUP(D29,obrotówka!$A$3:$J$1600,10,0),0))</f>
        <v>14620775.24</v>
      </c>
      <c r="C29" s="1047"/>
      <c r="D29" s="681" t="s">
        <v>19</v>
      </c>
      <c r="E29" s="1026"/>
      <c r="F29" s="294">
        <v>14631853.1199999</v>
      </c>
    </row>
    <row r="30" spans="1:17">
      <c r="A30" s="681" t="s">
        <v>1034</v>
      </c>
      <c r="B30" s="294">
        <f>(IFERROR(VLOOKUP(D30,obrotówka!$A$3:$J$1600,10,0),0))</f>
        <v>-13604467.43</v>
      </c>
      <c r="C30" s="1047"/>
      <c r="D30" s="681" t="s">
        <v>39</v>
      </c>
      <c r="E30" s="1026"/>
      <c r="F30" s="294">
        <v>-13466998.01</v>
      </c>
    </row>
    <row r="31" spans="1:17">
      <c r="A31" s="681" t="s">
        <v>1035</v>
      </c>
      <c r="B31" s="294">
        <f>(IFERROR(VLOOKUP(D31,obrotówka!$A$3:$J$1600,10,0),0))</f>
        <v>0</v>
      </c>
      <c r="C31" s="1047"/>
      <c r="D31" s="681" t="s">
        <v>45</v>
      </c>
      <c r="E31" s="1026"/>
      <c r="F31" s="294">
        <v>0</v>
      </c>
    </row>
    <row r="32" spans="1:17">
      <c r="A32" s="1114" t="s">
        <v>1036</v>
      </c>
      <c r="B32" s="1115">
        <f>SUM(B33:B45)</f>
        <v>78184.919999999925</v>
      </c>
      <c r="F32" s="1115">
        <v>275622.679999999</v>
      </c>
    </row>
    <row r="33" spans="1:6">
      <c r="A33" s="681" t="s">
        <v>1037</v>
      </c>
      <c r="B33" s="294">
        <f>(IFERROR(VLOOKUP(D33,obrotówka!$A$3:$J$1600,10,0),0))</f>
        <v>78184.919999999896</v>
      </c>
      <c r="C33" s="1047"/>
      <c r="D33" s="681" t="s">
        <v>56</v>
      </c>
      <c r="E33" s="1026"/>
      <c r="F33" s="294">
        <v>275622.679999999</v>
      </c>
    </row>
    <row r="34" spans="1:6">
      <c r="A34" s="681" t="s">
        <v>1038</v>
      </c>
      <c r="B34" s="294">
        <f>(IFERROR(VLOOKUP(D34,obrotówka!$A$3:$J$1600,10,0),0))</f>
        <v>0</v>
      </c>
      <c r="C34" s="1047"/>
      <c r="D34" s="681" t="s">
        <v>59</v>
      </c>
      <c r="E34" s="1026"/>
      <c r="F34" s="294">
        <v>0</v>
      </c>
    </row>
    <row r="35" spans="1:6">
      <c r="A35" s="681" t="s">
        <v>1039</v>
      </c>
      <c r="B35" s="294">
        <f>(IFERROR(VLOOKUP(D35,obrotówka!$A$3:$J$1600,10,0),0))</f>
        <v>641202.70999999903</v>
      </c>
      <c r="C35" s="1047"/>
      <c r="D35" s="681" t="s">
        <v>61</v>
      </c>
      <c r="E35" s="1026"/>
      <c r="F35" s="294">
        <v>1188515.0900000001</v>
      </c>
    </row>
    <row r="36" spans="1:6">
      <c r="A36" s="1129" t="s">
        <v>3184</v>
      </c>
      <c r="B36" s="297"/>
      <c r="C36" s="1047"/>
      <c r="D36" s="681"/>
      <c r="E36" s="1026"/>
      <c r="F36" s="297"/>
    </row>
    <row r="37" spans="1:6">
      <c r="A37" s="681" t="s">
        <v>1040</v>
      </c>
      <c r="B37" s="294">
        <f>(IFERROR(VLOOKUP(D37,obrotówka!$A$3:$J$1600,10,0),0))</f>
        <v>169564.98</v>
      </c>
      <c r="C37" s="1047"/>
      <c r="D37" s="681" t="s">
        <v>63</v>
      </c>
      <c r="E37" s="1026"/>
      <c r="F37" s="294">
        <v>538455.05000000005</v>
      </c>
    </row>
    <row r="38" spans="1:6">
      <c r="A38" s="681" t="s">
        <v>1041</v>
      </c>
      <c r="B38" s="294">
        <f>(IFERROR(VLOOKUP(D38,obrotówka!$A$3:$J$1600,10,0),0))</f>
        <v>10019.51</v>
      </c>
      <c r="C38" s="1047"/>
      <c r="D38" s="681" t="s">
        <v>65</v>
      </c>
      <c r="E38" s="1026"/>
      <c r="F38" s="294">
        <v>6223.6999999999898</v>
      </c>
    </row>
    <row r="39" spans="1:6">
      <c r="A39" s="681" t="s">
        <v>1042</v>
      </c>
      <c r="B39" s="294">
        <f>(IFERROR(VLOOKUP(D39,obrotówka!$A$3:$J$1600,10,0),0))</f>
        <v>-820787.19999999902</v>
      </c>
      <c r="C39" s="1047"/>
      <c r="D39" s="681" t="s">
        <v>66</v>
      </c>
      <c r="E39" s="1026"/>
      <c r="F39" s="294">
        <v>-1733193.84</v>
      </c>
    </row>
    <row r="40" spans="1:6">
      <c r="A40" s="681" t="s">
        <v>1043</v>
      </c>
      <c r="B40" s="294">
        <f>(IFERROR(VLOOKUP(D40,obrotówka!$A$3:$J$1600,10,0),0))</f>
        <v>0</v>
      </c>
      <c r="C40" s="1047"/>
      <c r="D40" s="681" t="s">
        <v>1389</v>
      </c>
      <c r="E40" s="1026"/>
      <c r="F40" s="294">
        <v>0</v>
      </c>
    </row>
    <row r="41" spans="1:6">
      <c r="A41" s="681" t="s">
        <v>1044</v>
      </c>
      <c r="B41" s="294">
        <f>(IFERROR(VLOOKUP(D41,obrotówka!$A$3:$J$1600,10,0),0))</f>
        <v>0</v>
      </c>
      <c r="C41" s="1047"/>
      <c r="D41" s="681" t="s">
        <v>1390</v>
      </c>
      <c r="E41" s="1026"/>
      <c r="F41" s="294">
        <v>0</v>
      </c>
    </row>
    <row r="42" spans="1:6">
      <c r="A42" s="681" t="s">
        <v>1045</v>
      </c>
      <c r="B42" s="294">
        <f>(IFERROR(VLOOKUP(D42,obrotówka!$A$3:$J$1600,8,0),0))</f>
        <v>0</v>
      </c>
      <c r="C42" s="1047"/>
      <c r="D42" s="681" t="s">
        <v>334</v>
      </c>
      <c r="E42" s="1026"/>
      <c r="F42" s="294">
        <v>0</v>
      </c>
    </row>
    <row r="43" spans="1:6">
      <c r="A43" s="681" t="s">
        <v>3710</v>
      </c>
      <c r="B43" s="294"/>
      <c r="C43" s="1047"/>
      <c r="D43" s="681" t="s">
        <v>3709</v>
      </c>
      <c r="E43" s="1026"/>
      <c r="F43" s="294">
        <v>0</v>
      </c>
    </row>
    <row r="44" spans="1:6">
      <c r="A44" s="681" t="s">
        <v>3712</v>
      </c>
      <c r="B44" s="294">
        <f>(IFERROR(VLOOKUP(D44,obrotówka!$A$3:$J$1600,10,0),0))</f>
        <v>0</v>
      </c>
      <c r="C44" s="1047"/>
      <c r="D44" s="681" t="s">
        <v>3711</v>
      </c>
      <c r="E44" s="1026"/>
      <c r="F44" s="294">
        <v>0</v>
      </c>
    </row>
    <row r="45" spans="1:6">
      <c r="A45" s="681" t="s">
        <v>1046</v>
      </c>
      <c r="B45" s="294">
        <f>(IFERROR(VLOOKUP(D45,obrotówka!$A$3:$J$1600,8,0),0))</f>
        <v>0</v>
      </c>
      <c r="C45" s="1047"/>
      <c r="D45" s="681" t="s">
        <v>312</v>
      </c>
      <c r="E45" s="1026"/>
      <c r="F45" s="294">
        <v>0</v>
      </c>
    </row>
    <row r="46" spans="1:6">
      <c r="A46" s="1111" t="s">
        <v>1047</v>
      </c>
      <c r="B46" s="1112">
        <f>B47</f>
        <v>6281098.8400000026</v>
      </c>
      <c r="C46" s="1113"/>
      <c r="F46" s="1112">
        <v>6586382.2600000007</v>
      </c>
    </row>
    <row r="47" spans="1:6">
      <c r="A47" s="1114" t="s">
        <v>1048</v>
      </c>
      <c r="B47" s="1115">
        <f>B48+B54+B51</f>
        <v>6281098.8400000026</v>
      </c>
      <c r="F47" s="1115">
        <v>6586382.2600000007</v>
      </c>
    </row>
    <row r="48" spans="1:6">
      <c r="A48" s="1116" t="s">
        <v>1049</v>
      </c>
      <c r="B48" s="1117">
        <f>B49+B50</f>
        <v>357750.27</v>
      </c>
      <c r="F48" s="1117">
        <v>371639.03</v>
      </c>
    </row>
    <row r="49" spans="1:6">
      <c r="A49" s="681" t="s">
        <v>1050</v>
      </c>
      <c r="B49" s="294">
        <f>(IFERROR(VLOOKUP(D49,obrotówka!$A$3:$J$1600,10,0),0))</f>
        <v>483156.19</v>
      </c>
      <c r="C49" s="1047">
        <f>B49+B55</f>
        <v>8889174.6600000001</v>
      </c>
      <c r="D49" s="681" t="s">
        <v>1</v>
      </c>
      <c r="E49" s="1026"/>
      <c r="F49" s="294">
        <v>483156.19</v>
      </c>
    </row>
    <row r="50" spans="1:6">
      <c r="A50" s="681" t="s">
        <v>1051</v>
      </c>
      <c r="B50" s="294">
        <f>(IFERROR(VLOOKUP(D50,obrotówka!$A$3:$J$1600,10,0),0))</f>
        <v>-125405.92</v>
      </c>
      <c r="C50" s="1047"/>
      <c r="D50" s="681" t="s">
        <v>21</v>
      </c>
      <c r="E50" s="1026"/>
      <c r="F50" s="294">
        <v>-111517.16</v>
      </c>
    </row>
    <row r="51" spans="1:6">
      <c r="A51" s="1130" t="s">
        <v>1060</v>
      </c>
      <c r="B51" s="1117">
        <f>B52+B53</f>
        <v>34531.570000000997</v>
      </c>
      <c r="F51" s="1117">
        <v>37210.739999999991</v>
      </c>
    </row>
    <row r="52" spans="1:6">
      <c r="A52" s="681" t="s">
        <v>49</v>
      </c>
      <c r="B52" s="294">
        <f>(IFERROR(VLOOKUP(D52,obrotówka!$A$3:$J$1600,10,0),0))</f>
        <v>589446.80000000005</v>
      </c>
      <c r="C52" s="1047"/>
      <c r="D52" s="681" t="s">
        <v>48</v>
      </c>
      <c r="E52" s="1026"/>
      <c r="F52" s="294">
        <v>589446.80000000005</v>
      </c>
    </row>
    <row r="53" spans="1:6">
      <c r="A53" s="681" t="s">
        <v>1061</v>
      </c>
      <c r="B53" s="294">
        <f>(IFERROR(VLOOKUP(D53,obrotówka!$A$3:$J$1600,10,0),0))</f>
        <v>-554915.22999999905</v>
      </c>
      <c r="C53" s="1047"/>
      <c r="D53" s="681" t="s">
        <v>52</v>
      </c>
      <c r="E53" s="1026"/>
      <c r="F53" s="294">
        <v>-552236.06000000006</v>
      </c>
    </row>
    <row r="54" spans="1:6">
      <c r="A54" s="1116" t="s">
        <v>1052</v>
      </c>
      <c r="B54" s="1117">
        <f>SUM(B55:B57)</f>
        <v>5888817.0000000009</v>
      </c>
      <c r="F54" s="1117">
        <v>6177532.4900000002</v>
      </c>
    </row>
    <row r="55" spans="1:6">
      <c r="A55" s="681" t="s">
        <v>1053</v>
      </c>
      <c r="B55" s="294">
        <f>(IFERROR(VLOOKUP(D55,obrotówka!$A$3:$J$1600,10,0),0))</f>
        <v>8406018.4700000007</v>
      </c>
      <c r="C55" s="1047"/>
      <c r="D55" s="681" t="s">
        <v>5</v>
      </c>
      <c r="E55" s="1026"/>
      <c r="F55" s="294">
        <v>8397795.0999999903</v>
      </c>
    </row>
    <row r="56" spans="1:6">
      <c r="A56" s="681" t="s">
        <v>1054</v>
      </c>
      <c r="B56" s="294">
        <f>(IFERROR(VLOOKUP(D56,obrotówka!$A$3:$J$1600,10,0),0))</f>
        <v>-2518340.6</v>
      </c>
      <c r="C56" s="1047"/>
      <c r="D56" s="681" t="s">
        <v>25</v>
      </c>
      <c r="E56" s="1026"/>
      <c r="F56" s="294">
        <v>-2226527.8399999901</v>
      </c>
    </row>
    <row r="57" spans="1:6">
      <c r="A57" s="1129" t="s">
        <v>3138</v>
      </c>
      <c r="B57" s="297">
        <f>-B27</f>
        <v>1139.1299999999974</v>
      </c>
      <c r="C57" s="1047"/>
      <c r="D57" s="681"/>
      <c r="E57" s="1026"/>
      <c r="F57" s="297">
        <v>6265.2300000000032</v>
      </c>
    </row>
    <row r="58" spans="1:6" s="654" customFormat="1">
      <c r="A58" s="1111" t="s">
        <v>1055</v>
      </c>
      <c r="B58" s="1112">
        <f>B59</f>
        <v>156655.69</v>
      </c>
      <c r="C58" s="1113"/>
      <c r="D58" s="1026"/>
      <c r="E58" s="1026"/>
      <c r="F58" s="1112">
        <v>164346.50000000102</v>
      </c>
    </row>
    <row r="59" spans="1:6" s="654" customFormat="1">
      <c r="A59" s="1130" t="s">
        <v>1392</v>
      </c>
      <c r="B59" s="1117">
        <f>B60+B61</f>
        <v>156655.69</v>
      </c>
      <c r="C59" s="1101"/>
      <c r="D59" s="1026"/>
      <c r="E59" s="1026"/>
      <c r="F59" s="1117">
        <v>164346.50000000102</v>
      </c>
    </row>
    <row r="60" spans="1:6" s="654" customFormat="1">
      <c r="A60" s="681" t="s">
        <v>1453</v>
      </c>
      <c r="B60" s="294">
        <f>(IFERROR(VLOOKUP(D60,obrotówka!$A$3:$J$1600,10,0),0))</f>
        <v>410085.33</v>
      </c>
      <c r="C60" s="1101"/>
      <c r="D60" s="681" t="s">
        <v>1804</v>
      </c>
      <c r="E60" s="1026"/>
      <c r="F60" s="294">
        <v>410085.33</v>
      </c>
    </row>
    <row r="61" spans="1:6" s="654" customFormat="1">
      <c r="A61" s="681" t="s">
        <v>2355</v>
      </c>
      <c r="B61" s="294">
        <f>(IFERROR(VLOOKUP(D61,obrotówka!$A$3:$J$1600,10,0),0))</f>
        <v>-253429.64</v>
      </c>
      <c r="C61" s="1101"/>
      <c r="D61" s="681" t="s">
        <v>1806</v>
      </c>
      <c r="E61" s="1026"/>
      <c r="F61" s="294">
        <v>-245738.829999999</v>
      </c>
    </row>
    <row r="62" spans="1:6">
      <c r="A62" s="1131" t="s">
        <v>1056</v>
      </c>
      <c r="B62" s="1112">
        <f>B63+B66</f>
        <v>100630.32000001008</v>
      </c>
      <c r="C62" s="1113"/>
      <c r="F62" s="1112">
        <v>116711.23999999999</v>
      </c>
    </row>
    <row r="63" spans="1:6">
      <c r="A63" s="1130" t="s">
        <v>1057</v>
      </c>
      <c r="B63" s="1117">
        <f>B64+B65</f>
        <v>100630.32000001008</v>
      </c>
      <c r="F63" s="1117">
        <v>116711.23999999999</v>
      </c>
    </row>
    <row r="64" spans="1:6">
      <c r="A64" s="681" t="s">
        <v>1058</v>
      </c>
      <c r="B64" s="294">
        <f>(IFERROR(VLOOKUP(D64,obrotówka!$A$3:$J$1600,10,0),0))</f>
        <v>1835382.48</v>
      </c>
      <c r="C64" s="1047"/>
      <c r="D64" s="681" t="s">
        <v>46</v>
      </c>
      <c r="E64" s="1026"/>
      <c r="F64" s="294">
        <v>1835382.48</v>
      </c>
    </row>
    <row r="65" spans="1:10">
      <c r="A65" s="681" t="s">
        <v>1059</v>
      </c>
      <c r="B65" s="294">
        <f>(IFERROR(VLOOKUP(D65,obrotówka!$A$3:$J$1600,10,0),0))</f>
        <v>-1734752.1599999899</v>
      </c>
      <c r="C65" s="1047"/>
      <c r="D65" s="681" t="s">
        <v>50</v>
      </c>
      <c r="E65" s="1026"/>
      <c r="F65" s="294">
        <v>-1718671.24</v>
      </c>
    </row>
    <row r="66" spans="1:10">
      <c r="A66" s="1130" t="s">
        <v>1062</v>
      </c>
      <c r="B66" s="1117">
        <f>B67</f>
        <v>0</v>
      </c>
      <c r="F66" s="1117">
        <v>0</v>
      </c>
    </row>
    <row r="67" spans="1:10">
      <c r="A67" s="681" t="s">
        <v>1063</v>
      </c>
      <c r="B67" s="294">
        <f>(IFERROR(VLOOKUP(D67,obrotówka!$A$3:$J$1600,10,0),0))+B68</f>
        <v>0</v>
      </c>
      <c r="C67" s="1047"/>
      <c r="D67" s="681" t="s">
        <v>58</v>
      </c>
      <c r="E67" s="1026"/>
      <c r="F67" s="294">
        <v>0</v>
      </c>
    </row>
    <row r="68" spans="1:10">
      <c r="A68" s="1129" t="s">
        <v>3184</v>
      </c>
      <c r="B68" s="297">
        <f>-B36</f>
        <v>0</v>
      </c>
      <c r="C68" s="1047"/>
      <c r="D68" s="681"/>
      <c r="E68" s="1026"/>
      <c r="F68" s="297">
        <v>0</v>
      </c>
    </row>
    <row r="69" spans="1:10" ht="14.4" customHeight="1">
      <c r="A69" s="1132" t="s">
        <v>1064</v>
      </c>
      <c r="B69" s="1133">
        <f>B70+B73</f>
        <v>0</v>
      </c>
      <c r="C69" s="1113"/>
      <c r="D69" s="681"/>
      <c r="E69" s="1026"/>
      <c r="F69" s="1133">
        <v>388324.52</v>
      </c>
    </row>
    <row r="70" spans="1:10" s="654" customFormat="1">
      <c r="A70" s="1130" t="s">
        <v>1065</v>
      </c>
      <c r="B70" s="1117">
        <f>B71+B72</f>
        <v>0</v>
      </c>
      <c r="C70" s="1101"/>
      <c r="D70" s="242"/>
      <c r="F70" s="1117">
        <v>388324.52</v>
      </c>
    </row>
    <row r="71" spans="1:10" s="654" customFormat="1">
      <c r="A71" s="1134" t="s">
        <v>122</v>
      </c>
      <c r="B71" s="294">
        <f>(IFERROR(VLOOKUP(D71,obrotówka!$A$3:$J$1600,10,0),0))</f>
        <v>0</v>
      </c>
      <c r="C71" s="1101"/>
      <c r="D71" s="1134" t="s">
        <v>2335</v>
      </c>
      <c r="E71" s="1026"/>
      <c r="F71" s="294">
        <v>388324.52</v>
      </c>
      <c r="G71" s="1695"/>
      <c r="H71" s="1695"/>
      <c r="I71" s="1695"/>
    </row>
    <row r="72" spans="1:10" s="654" customFormat="1">
      <c r="A72" s="1134" t="s">
        <v>1067</v>
      </c>
      <c r="B72" s="294">
        <f>(IFERROR(VLOOKUP(D72,obrotówka!$A$3:$J$1600,10,0),0))</f>
        <v>0</v>
      </c>
      <c r="C72" s="1101"/>
      <c r="D72" s="1134">
        <v>2008010000</v>
      </c>
      <c r="E72" s="1026"/>
      <c r="F72" s="294">
        <v>0</v>
      </c>
      <c r="G72" s="1695"/>
      <c r="H72" s="1695"/>
      <c r="I72" s="1695"/>
    </row>
    <row r="73" spans="1:10" s="654" customFormat="1">
      <c r="A73" s="1130" t="s">
        <v>1068</v>
      </c>
      <c r="B73" s="1117">
        <f>B74</f>
        <v>0</v>
      </c>
      <c r="C73" s="1101"/>
      <c r="D73" s="242"/>
      <c r="F73" s="1117">
        <v>0</v>
      </c>
    </row>
    <row r="74" spans="1:10" s="654" customFormat="1">
      <c r="A74" s="1134" t="s">
        <v>140</v>
      </c>
      <c r="B74" s="294">
        <f>(IFERROR(VLOOKUP(D74,obrotówka!$A$3:$J$1600,10,0),0))</f>
        <v>0</v>
      </c>
      <c r="C74" s="1101"/>
      <c r="D74" s="1134" t="s">
        <v>2337</v>
      </c>
      <c r="E74" s="1026"/>
      <c r="F74" s="294">
        <v>0</v>
      </c>
      <c r="G74" s="1695"/>
      <c r="H74" s="1695"/>
      <c r="I74" s="1695"/>
    </row>
    <row r="75" spans="1:10">
      <c r="A75" s="1131" t="s">
        <v>1070</v>
      </c>
      <c r="B75" s="1112">
        <f>B76</f>
        <v>200</v>
      </c>
      <c r="C75" s="1113"/>
      <c r="F75" s="1112">
        <v>200</v>
      </c>
      <c r="G75" s="654"/>
      <c r="H75" s="654"/>
      <c r="I75" s="654"/>
      <c r="J75" s="654"/>
    </row>
    <row r="76" spans="1:10">
      <c r="A76" s="1130" t="s">
        <v>1071</v>
      </c>
      <c r="B76" s="1117">
        <f>B77</f>
        <v>200</v>
      </c>
      <c r="F76" s="1117">
        <v>200</v>
      </c>
    </row>
    <row r="77" spans="1:10">
      <c r="A77" s="681" t="s">
        <v>1072</v>
      </c>
      <c r="B77" s="294">
        <f>(IFERROR(VLOOKUP(D77,obrotówka!$A$3:$J$1600,10,0),0))</f>
        <v>200</v>
      </c>
      <c r="C77" s="1047"/>
      <c r="D77" s="681" t="s">
        <v>54</v>
      </c>
      <c r="E77" s="1026"/>
      <c r="F77" s="294">
        <v>200</v>
      </c>
    </row>
    <row r="78" spans="1:10">
      <c r="A78" s="1131" t="s">
        <v>3737</v>
      </c>
      <c r="B78" s="1112">
        <f>B79</f>
        <v>0</v>
      </c>
      <c r="C78" s="1047"/>
      <c r="D78" s="681"/>
      <c r="E78" s="1026"/>
      <c r="F78" s="294">
        <v>8530.5499999999902</v>
      </c>
    </row>
    <row r="79" spans="1:10">
      <c r="A79" s="1130" t="s">
        <v>3738</v>
      </c>
      <c r="B79" s="1117">
        <f>B80</f>
        <v>0</v>
      </c>
      <c r="C79" s="1047"/>
      <c r="D79" s="681"/>
      <c r="E79" s="1026"/>
      <c r="F79" s="294">
        <v>8530.5499999999902</v>
      </c>
    </row>
    <row r="80" spans="1:10">
      <c r="A80" s="681" t="s">
        <v>3739</v>
      </c>
      <c r="B80" s="294">
        <f>(IFERROR(VLOOKUP(D80,obrotówka!$A$3:$J$1600,10,0),0))</f>
        <v>0</v>
      </c>
      <c r="C80" s="1047"/>
      <c r="D80" s="681" t="s">
        <v>2512</v>
      </c>
      <c r="E80" s="1026"/>
      <c r="F80" s="294">
        <v>8530.5499999999902</v>
      </c>
    </row>
    <row r="81" spans="1:12">
      <c r="A81" s="1131" t="s">
        <v>1073</v>
      </c>
      <c r="B81" s="1112">
        <f>B82</f>
        <v>5170187.7599999942</v>
      </c>
      <c r="F81" s="1112">
        <v>6592987.7700000033</v>
      </c>
    </row>
    <row r="82" spans="1:12" s="243" customFormat="1">
      <c r="A82" s="1130" t="s">
        <v>1074</v>
      </c>
      <c r="B82" s="1117">
        <f>SUM(B83:B105)</f>
        <v>5170187.7599999942</v>
      </c>
      <c r="C82" s="1101"/>
      <c r="D82" s="242"/>
      <c r="E82" s="654"/>
      <c r="F82" s="1117">
        <v>6592987.7700000033</v>
      </c>
      <c r="G82" s="242"/>
      <c r="H82" s="242"/>
      <c r="I82" s="242"/>
      <c r="J82" s="242"/>
      <c r="K82" s="242"/>
      <c r="L82" s="242"/>
    </row>
    <row r="83" spans="1:12" s="243" customFormat="1">
      <c r="A83" s="681" t="s">
        <v>1075</v>
      </c>
      <c r="B83" s="294">
        <f>(IFERROR(VLOOKUP(D83,obrotówka!$A$3:$J$1600,10,0),0))</f>
        <v>623065.75</v>
      </c>
      <c r="C83" s="1113"/>
      <c r="D83" s="681" t="s">
        <v>687</v>
      </c>
      <c r="E83" s="1026"/>
      <c r="F83" s="294">
        <v>613207.68999999901</v>
      </c>
      <c r="G83" s="242"/>
      <c r="H83" s="242"/>
      <c r="I83" s="242"/>
      <c r="J83" s="242"/>
      <c r="K83" s="242"/>
      <c r="L83" s="242"/>
    </row>
    <row r="84" spans="1:12" s="243" customFormat="1">
      <c r="A84" s="681" t="s">
        <v>1076</v>
      </c>
      <c r="B84" s="294">
        <f>(IFERROR(VLOOKUP(D84,obrotówka!$A$3:$J$1600,10,0),0))</f>
        <v>522089.91999999899</v>
      </c>
      <c r="C84" s="1047"/>
      <c r="D84" s="681" t="s">
        <v>689</v>
      </c>
      <c r="E84" s="1026"/>
      <c r="F84" s="294">
        <v>303701.25</v>
      </c>
      <c r="G84" s="242"/>
      <c r="H84" s="242"/>
      <c r="I84" s="242"/>
      <c r="J84" s="242"/>
      <c r="K84" s="242"/>
      <c r="L84" s="242"/>
    </row>
    <row r="85" spans="1:12" s="243" customFormat="1">
      <c r="A85" s="681" t="s">
        <v>1077</v>
      </c>
      <c r="B85" s="294">
        <f>(IFERROR(VLOOKUP(D85,obrotówka!$A$3:$J$1600,10,0),0))</f>
        <v>169453.269999999</v>
      </c>
      <c r="C85" s="1047"/>
      <c r="D85" s="681" t="s">
        <v>691</v>
      </c>
      <c r="E85" s="1026"/>
      <c r="F85" s="294">
        <v>220508.739999999</v>
      </c>
      <c r="G85" s="242"/>
      <c r="H85" s="242"/>
      <c r="I85" s="242"/>
      <c r="J85" s="242"/>
      <c r="K85" s="242"/>
      <c r="L85" s="242"/>
    </row>
    <row r="86" spans="1:12" s="243" customFormat="1">
      <c r="A86" s="681" t="s">
        <v>1078</v>
      </c>
      <c r="B86" s="294">
        <f>(IFERROR(VLOOKUP(D86,obrotówka!$A$3:$J$1600,10,0),0))</f>
        <v>0</v>
      </c>
      <c r="C86" s="1047"/>
      <c r="D86" s="681" t="s">
        <v>1391</v>
      </c>
      <c r="E86" s="1026"/>
      <c r="F86" s="294">
        <v>0</v>
      </c>
      <c r="G86" s="242"/>
      <c r="H86" s="242"/>
      <c r="I86" s="242"/>
      <c r="J86" s="242"/>
      <c r="K86" s="242"/>
      <c r="L86" s="242"/>
    </row>
    <row r="87" spans="1:12" s="243" customFormat="1">
      <c r="A87" s="681" t="s">
        <v>1079</v>
      </c>
      <c r="B87" s="294">
        <f>(IFERROR(VLOOKUP(D87,obrotówka!$A$3:$J$1600,10,0),0))</f>
        <v>2078019.3799999901</v>
      </c>
      <c r="C87" s="1047"/>
      <c r="D87" s="681" t="s">
        <v>693</v>
      </c>
      <c r="E87" s="1026"/>
      <c r="F87" s="294">
        <v>2126232.83</v>
      </c>
      <c r="G87" s="242"/>
      <c r="H87" s="242"/>
      <c r="I87" s="242"/>
      <c r="J87" s="242"/>
      <c r="K87" s="242"/>
      <c r="L87" s="242"/>
    </row>
    <row r="88" spans="1:12" s="243" customFormat="1">
      <c r="A88" s="681" t="s">
        <v>1080</v>
      </c>
      <c r="B88" s="294">
        <f>(IFERROR(VLOOKUP(D88,obrotówka!$A$3:$J$1600,10,0),0))</f>
        <v>607588.34999999905</v>
      </c>
      <c r="C88" s="1047"/>
      <c r="D88" s="681" t="s">
        <v>695</v>
      </c>
      <c r="E88" s="1026"/>
      <c r="F88" s="294">
        <v>770200.98999999894</v>
      </c>
      <c r="G88" s="242"/>
      <c r="H88" s="242"/>
      <c r="I88" s="242"/>
      <c r="J88" s="242"/>
      <c r="K88" s="242"/>
      <c r="L88" s="242"/>
    </row>
    <row r="89" spans="1:12" s="243" customFormat="1">
      <c r="A89" s="681" t="s">
        <v>1081</v>
      </c>
      <c r="B89" s="294">
        <f>(IFERROR(VLOOKUP(D89,obrotówka!$A$3:$J$1600,10,0),0))</f>
        <v>429457.53999999899</v>
      </c>
      <c r="C89" s="1047"/>
      <c r="D89" s="681" t="s">
        <v>697</v>
      </c>
      <c r="E89" s="1026"/>
      <c r="F89" s="294">
        <v>429457.53999999899</v>
      </c>
      <c r="G89" s="242"/>
      <c r="H89" s="242"/>
      <c r="I89" s="242"/>
      <c r="J89" s="242"/>
      <c r="K89" s="242"/>
      <c r="L89" s="242"/>
    </row>
    <row r="90" spans="1:12" s="243" customFormat="1">
      <c r="A90" s="681" t="s">
        <v>1082</v>
      </c>
      <c r="B90" s="294">
        <f>(IFERROR(VLOOKUP(D90,obrotówka!$A$3:$J$1600,10,0),0))</f>
        <v>3372752.43</v>
      </c>
      <c r="C90" s="1047"/>
      <c r="D90" s="681" t="s">
        <v>699</v>
      </c>
      <c r="E90" s="1026"/>
      <c r="F90" s="294">
        <v>3383597.79</v>
      </c>
      <c r="G90" s="242"/>
      <c r="H90" s="242"/>
      <c r="I90" s="242"/>
      <c r="J90" s="242"/>
      <c r="K90" s="242"/>
      <c r="L90" s="242"/>
    </row>
    <row r="91" spans="1:12" s="243" customFormat="1">
      <c r="A91" s="681" t="s">
        <v>1083</v>
      </c>
      <c r="B91" s="294">
        <f>(IFERROR(VLOOKUP(D91,obrotówka!$A$3:$J$1600,10,0),0))</f>
        <v>19181.32</v>
      </c>
      <c r="C91" s="1047"/>
      <c r="D91" s="681" t="s">
        <v>700</v>
      </c>
      <c r="E91" s="1026"/>
      <c r="F91" s="294">
        <v>28555.18</v>
      </c>
      <c r="G91" s="242"/>
      <c r="H91" s="242"/>
      <c r="I91" s="242"/>
      <c r="J91" s="242"/>
      <c r="K91" s="242"/>
      <c r="L91" s="242"/>
    </row>
    <row r="92" spans="1:12" s="243" customFormat="1">
      <c r="A92" s="681" t="s">
        <v>1084</v>
      </c>
      <c r="B92" s="294">
        <f>(IFERROR(VLOOKUP(D92,obrotówka!$A$3:$J$1600,10,0),0))</f>
        <v>185309.97</v>
      </c>
      <c r="C92" s="1047"/>
      <c r="D92" s="681" t="s">
        <v>702</v>
      </c>
      <c r="E92" s="1026"/>
      <c r="F92" s="294">
        <v>240788.7</v>
      </c>
      <c r="G92" s="242"/>
      <c r="H92" s="242"/>
      <c r="I92" s="242"/>
      <c r="J92" s="242"/>
      <c r="K92" s="242"/>
      <c r="L92" s="242"/>
    </row>
    <row r="93" spans="1:12" s="243" customFormat="1">
      <c r="A93" s="681" t="s">
        <v>1085</v>
      </c>
      <c r="B93" s="294">
        <f>(IFERROR(VLOOKUP(D93,obrotówka!$A$3:$J$1600,10,0),0))</f>
        <v>13675.08</v>
      </c>
      <c r="C93" s="1047"/>
      <c r="D93" s="681" t="s">
        <v>703</v>
      </c>
      <c r="E93" s="1026"/>
      <c r="F93" s="294">
        <v>1265498</v>
      </c>
      <c r="G93" s="242"/>
      <c r="H93" s="242"/>
      <c r="I93" s="242"/>
      <c r="J93" s="242"/>
      <c r="K93" s="242"/>
      <c r="L93" s="242"/>
    </row>
    <row r="94" spans="1:12" s="243" customFormat="1">
      <c r="A94" s="681" t="s">
        <v>3360</v>
      </c>
      <c r="B94" s="294">
        <f>(IFERROR(VLOOKUP(D94,obrotówka!$A$3:$J$1600,10,0),0))</f>
        <v>0</v>
      </c>
      <c r="C94" s="1047"/>
      <c r="D94" s="681" t="s">
        <v>3359</v>
      </c>
      <c r="E94" s="1026"/>
      <c r="F94" s="294">
        <v>0</v>
      </c>
      <c r="G94" s="242"/>
      <c r="H94" s="242"/>
      <c r="I94" s="242"/>
      <c r="J94" s="242"/>
      <c r="K94" s="242"/>
      <c r="L94" s="242"/>
    </row>
    <row r="95" spans="1:12" s="243" customFormat="1">
      <c r="A95" s="681" t="s">
        <v>1086</v>
      </c>
      <c r="B95" s="294">
        <f>(IFERROR(VLOOKUP(D95,obrotówka!$A$3:$J$1600,10,0),0))</f>
        <v>626987.56000000006</v>
      </c>
      <c r="C95" s="1047"/>
      <c r="D95" s="681" t="s">
        <v>705</v>
      </c>
      <c r="E95" s="1026"/>
      <c r="F95" s="294">
        <v>668904.46999999904</v>
      </c>
      <c r="G95" s="242"/>
      <c r="H95" s="242"/>
      <c r="I95" s="242"/>
      <c r="J95" s="242"/>
      <c r="K95" s="242"/>
      <c r="L95" s="242"/>
    </row>
    <row r="96" spans="1:12" s="243" customFormat="1">
      <c r="A96" s="681" t="s">
        <v>1087</v>
      </c>
      <c r="B96" s="294">
        <f>(IFERROR(VLOOKUP(D96,obrotówka!$A$3:$J$1600,10,0),0))</f>
        <v>80853.419999999896</v>
      </c>
      <c r="C96" s="1047"/>
      <c r="D96" s="681" t="s">
        <v>707</v>
      </c>
      <c r="E96" s="1026"/>
      <c r="F96" s="294">
        <v>80853.419999999896</v>
      </c>
      <c r="G96" s="242"/>
      <c r="H96" s="242"/>
      <c r="I96" s="242"/>
      <c r="J96" s="242"/>
      <c r="K96" s="242"/>
      <c r="L96" s="242"/>
    </row>
    <row r="97" spans="1:12" s="243" customFormat="1">
      <c r="A97" s="681" t="s">
        <v>1088</v>
      </c>
      <c r="B97" s="294">
        <f>(IFERROR(VLOOKUP(D97,obrotówka!$A$3:$J$1600,10,0),0))</f>
        <v>0</v>
      </c>
      <c r="C97" s="1047"/>
      <c r="D97" s="681" t="s">
        <v>708</v>
      </c>
      <c r="E97" s="1026"/>
      <c r="F97" s="294">
        <v>0</v>
      </c>
      <c r="G97" s="242"/>
      <c r="H97" s="242"/>
      <c r="I97" s="242"/>
      <c r="J97" s="242"/>
      <c r="K97" s="242"/>
      <c r="L97" s="242"/>
    </row>
    <row r="98" spans="1:12" s="243" customFormat="1">
      <c r="A98" s="681" t="s">
        <v>1089</v>
      </c>
      <c r="B98" s="294">
        <f>(IFERROR(VLOOKUP(D98,obrotówka!$A$3:$J$1600,10,0),0))</f>
        <v>1340486.77</v>
      </c>
      <c r="C98" s="1047"/>
      <c r="D98" s="681" t="s">
        <v>709</v>
      </c>
      <c r="E98" s="1026"/>
      <c r="F98" s="294">
        <v>1385112.9199999899</v>
      </c>
      <c r="G98" s="242"/>
      <c r="H98" s="242"/>
      <c r="I98" s="242"/>
      <c r="J98" s="242"/>
      <c r="K98" s="242"/>
      <c r="L98" s="242"/>
    </row>
    <row r="99" spans="1:12">
      <c r="A99" s="681" t="s">
        <v>1090</v>
      </c>
      <c r="B99" s="294">
        <f>(IFERROR(VLOOKUP(D99,obrotówka!$A$3:$J$1600,10,0),0))</f>
        <v>78513.149999999907</v>
      </c>
      <c r="C99" s="1047"/>
      <c r="D99" s="681" t="s">
        <v>711</v>
      </c>
      <c r="E99" s="1026"/>
      <c r="F99" s="294">
        <v>78513.149999999907</v>
      </c>
    </row>
    <row r="100" spans="1:12">
      <c r="A100" s="681" t="s">
        <v>1091</v>
      </c>
      <c r="B100" s="294">
        <f>(IFERROR(VLOOKUP(D100,obrotówka!$A$3:$J$1600,10,0),0))</f>
        <v>290314.22999999899</v>
      </c>
      <c r="C100" s="1047"/>
      <c r="D100" s="681" t="s">
        <v>713</v>
      </c>
      <c r="E100" s="1026"/>
      <c r="F100" s="294">
        <v>290314.22999999899</v>
      </c>
    </row>
    <row r="101" spans="1:12">
      <c r="A101" s="681" t="s">
        <v>1092</v>
      </c>
      <c r="B101" s="294">
        <f>(IFERROR(VLOOKUP(D101,obrotówka!$A$3:$J$1600,10,0),0))</f>
        <v>-1365278.97</v>
      </c>
      <c r="C101" s="1054"/>
      <c r="D101" s="681" t="s">
        <v>868</v>
      </c>
      <c r="E101" s="1026"/>
      <c r="F101" s="294">
        <v>-1404017.09</v>
      </c>
    </row>
    <row r="102" spans="1:12">
      <c r="A102" s="681" t="s">
        <v>1093</v>
      </c>
      <c r="B102" s="294">
        <f>(IFERROR(VLOOKUP(D102,obrotówka!$A$3:$J$1600,10,0),0))</f>
        <v>-5545.7799999999897</v>
      </c>
      <c r="C102" s="1047"/>
      <c r="D102" s="681" t="s">
        <v>870</v>
      </c>
      <c r="E102" s="1026"/>
      <c r="F102" s="294">
        <v>-712.42999999999904</v>
      </c>
    </row>
    <row r="103" spans="1:12">
      <c r="A103" s="681" t="s">
        <v>1094</v>
      </c>
      <c r="B103" s="294">
        <f>(IFERROR(VLOOKUP(D103,obrotówka!$A$3:$J$1600,10,0),0))</f>
        <v>-299889.609999999</v>
      </c>
      <c r="C103" s="1047"/>
      <c r="D103" s="681" t="s">
        <v>872</v>
      </c>
      <c r="E103" s="1026"/>
      <c r="F103" s="294">
        <v>-286853.83</v>
      </c>
    </row>
    <row r="104" spans="1:12">
      <c r="A104" s="681" t="s">
        <v>1095</v>
      </c>
      <c r="B104" s="294">
        <f>(IFERROR(VLOOKUP(D104,obrotówka!$A$3:$J$1600,10,0),0))</f>
        <v>-1186631.3500000001</v>
      </c>
      <c r="C104" s="1047"/>
      <c r="D104" s="681" t="s">
        <v>874</v>
      </c>
      <c r="E104" s="1026"/>
      <c r="F104" s="294">
        <v>-1243152.1899999899</v>
      </c>
    </row>
    <row r="105" spans="1:12">
      <c r="A105" s="681" t="s">
        <v>1096</v>
      </c>
      <c r="B105" s="294">
        <f>(IFERROR(VLOOKUP(D105,obrotówka!$A$3:$J$1600,10,0),0))</f>
        <v>-2410214.6699999901</v>
      </c>
      <c r="C105" s="1047"/>
      <c r="D105" s="681" t="s">
        <v>876</v>
      </c>
      <c r="E105" s="1026"/>
      <c r="F105" s="294">
        <v>-2357723.5899999901</v>
      </c>
    </row>
    <row r="106" spans="1:12" ht="13.8">
      <c r="A106" s="1135" t="s">
        <v>1097</v>
      </c>
      <c r="B106" s="1110">
        <f>B107+B124+B181+B229+B306+B122</f>
        <v>38986432.899999969</v>
      </c>
      <c r="C106" s="1113"/>
      <c r="F106" s="1110">
        <v>34673503.059999995</v>
      </c>
    </row>
    <row r="107" spans="1:12">
      <c r="A107" s="1131" t="s">
        <v>1098</v>
      </c>
      <c r="B107" s="1112">
        <f>B108+B120</f>
        <v>7840534.6899999911</v>
      </c>
      <c r="C107" s="1136" t="s">
        <v>3448</v>
      </c>
      <c r="F107" s="1112">
        <v>1843364.92</v>
      </c>
    </row>
    <row r="108" spans="1:12">
      <c r="A108" s="1130" t="s">
        <v>1099</v>
      </c>
      <c r="B108" s="1117">
        <f>SUM(B109:B119)</f>
        <v>1758376.8999999911</v>
      </c>
      <c r="C108" s="1101">
        <f>B108-B116</f>
        <v>2733692.5899999901</v>
      </c>
      <c r="F108" s="1117">
        <v>1837496.05</v>
      </c>
    </row>
    <row r="109" spans="1:12">
      <c r="A109" s="681" t="s">
        <v>1100</v>
      </c>
      <c r="B109" s="294">
        <f>(IFERROR(VLOOKUP(D109,obrotówka!$A$3:$J$1600,8,0),0))</f>
        <v>0</v>
      </c>
      <c r="C109" s="1047"/>
      <c r="D109" s="681" t="s">
        <v>306</v>
      </c>
      <c r="E109" s="1026"/>
      <c r="F109" s="294">
        <v>0</v>
      </c>
    </row>
    <row r="110" spans="1:12">
      <c r="A110" s="681" t="s">
        <v>1100</v>
      </c>
      <c r="B110" s="297"/>
      <c r="C110" s="1047"/>
      <c r="D110" s="1134" t="s">
        <v>308</v>
      </c>
      <c r="E110" s="1026"/>
      <c r="F110" s="294"/>
    </row>
    <row r="111" spans="1:12">
      <c r="A111" s="681" t="s">
        <v>1102</v>
      </c>
      <c r="B111" s="294">
        <f>(IFERROR(VLOOKUP(D111,obrotówka!$A$3:$J$1600,10,0),0))</f>
        <v>2710342.8399999901</v>
      </c>
      <c r="C111" s="1047"/>
      <c r="D111" s="681" t="s">
        <v>351</v>
      </c>
      <c r="E111" s="1026"/>
      <c r="F111" s="294">
        <v>3097152.93</v>
      </c>
    </row>
    <row r="112" spans="1:12">
      <c r="A112" s="681" t="s">
        <v>327</v>
      </c>
      <c r="B112" s="294">
        <f>(IFERROR(VLOOKUP(D112,obrotówka!$A$3:$J$1600,8,0),0))</f>
        <v>10264.969999999899</v>
      </c>
      <c r="C112" s="1047"/>
      <c r="D112" s="681" t="s">
        <v>326</v>
      </c>
      <c r="E112" s="1026"/>
      <c r="F112" s="294"/>
    </row>
    <row r="113" spans="1:9">
      <c r="A113" s="681" t="s">
        <v>329</v>
      </c>
      <c r="B113" s="294">
        <f>(IFERROR(VLOOKUP(D113,obrotówka!$A$3:$J$1600,9,0),0))</f>
        <v>-10264.969999999899</v>
      </c>
      <c r="C113" s="1047"/>
      <c r="D113" s="681" t="s">
        <v>328</v>
      </c>
      <c r="E113" s="1026"/>
      <c r="F113" s="294"/>
    </row>
    <row r="114" spans="1:9">
      <c r="A114" s="681" t="s">
        <v>1103</v>
      </c>
      <c r="B114" s="294">
        <f>(IFERROR(VLOOKUP(D114,obrotówka!$A$3:$J$1600,10,0),0))</f>
        <v>0</v>
      </c>
      <c r="C114" s="1047"/>
      <c r="D114" s="681" t="s">
        <v>353</v>
      </c>
      <c r="E114" s="1026"/>
      <c r="F114" s="294">
        <v>0</v>
      </c>
    </row>
    <row r="115" spans="1:9">
      <c r="A115" s="681" t="s">
        <v>1104</v>
      </c>
      <c r="B115" s="294">
        <f>(IFERROR(VLOOKUP(D115,obrotówka!$A$3:$J$1600,10,0),0))</f>
        <v>0</v>
      </c>
      <c r="C115" s="1047"/>
      <c r="D115" s="681" t="s">
        <v>355</v>
      </c>
      <c r="E115" s="1026"/>
      <c r="F115" s="294">
        <v>0</v>
      </c>
    </row>
    <row r="116" spans="1:9">
      <c r="A116" s="681" t="s">
        <v>1105</v>
      </c>
      <c r="B116" s="294">
        <f>(IFERROR(VLOOKUP(D116,obrotówka!$A$3:$J$1600,10,0),0))</f>
        <v>-975315.68999999901</v>
      </c>
      <c r="C116" s="1047"/>
      <c r="D116" s="681" t="s">
        <v>357</v>
      </c>
      <c r="E116" s="1026"/>
      <c r="F116" s="294">
        <v>-1267309</v>
      </c>
    </row>
    <row r="117" spans="1:9">
      <c r="A117" s="681" t="s">
        <v>1106</v>
      </c>
      <c r="B117" s="294">
        <f>(IFERROR(VLOOKUP(D117,obrotówka!$A$3:$J$1600,10,0),0))</f>
        <v>0</v>
      </c>
      <c r="C117" s="1047"/>
      <c r="D117" s="681" t="s">
        <v>1393</v>
      </c>
      <c r="E117" s="1026"/>
      <c r="F117" s="294">
        <v>0</v>
      </c>
    </row>
    <row r="118" spans="1:9">
      <c r="A118" s="681" t="s">
        <v>1107</v>
      </c>
      <c r="B118" s="294">
        <f>(IFERROR(VLOOKUP(D118,obrotówka!$A$3:$J$1600,8,0),0))</f>
        <v>23349.75</v>
      </c>
      <c r="C118" s="1047"/>
      <c r="D118" s="681" t="s">
        <v>364</v>
      </c>
      <c r="E118" s="1026"/>
      <c r="F118" s="294">
        <v>7652.1199999999899</v>
      </c>
    </row>
    <row r="119" spans="1:9">
      <c r="A119" s="681" t="s">
        <v>1107</v>
      </c>
      <c r="B119" s="294">
        <f>(IFERROR(VLOOKUP(D119,obrotówka!$A$3:$J$1600,9,0),0))</f>
        <v>0</v>
      </c>
      <c r="C119" s="1047"/>
      <c r="D119" s="681" t="s">
        <v>364</v>
      </c>
      <c r="E119" s="1026"/>
      <c r="F119" s="294">
        <v>0</v>
      </c>
    </row>
    <row r="120" spans="1:9">
      <c r="A120" s="1130" t="s">
        <v>1108</v>
      </c>
      <c r="B120" s="1117">
        <f>B121</f>
        <v>6082157.79</v>
      </c>
      <c r="F120" s="1117">
        <v>5868.8699999999899</v>
      </c>
    </row>
    <row r="121" spans="1:9">
      <c r="A121" s="681" t="s">
        <v>1109</v>
      </c>
      <c r="B121" s="294">
        <f>(IFERROR(VLOOKUP(D121,obrotówka!$A$3:$J$1600,10,0),0))</f>
        <v>6082157.79</v>
      </c>
      <c r="C121" s="1047"/>
      <c r="D121" s="681" t="s">
        <v>685</v>
      </c>
      <c r="E121" s="1026"/>
      <c r="F121" s="294">
        <v>5868.8699999999899</v>
      </c>
    </row>
    <row r="122" spans="1:9">
      <c r="A122" s="1111" t="s">
        <v>3698</v>
      </c>
      <c r="B122" s="1039">
        <f>B123</f>
        <v>0</v>
      </c>
      <c r="C122" s="1165"/>
      <c r="D122" s="681"/>
      <c r="E122" s="1026"/>
      <c r="F122" s="294">
        <v>53224</v>
      </c>
    </row>
    <row r="123" spans="1:9" ht="21" customHeight="1">
      <c r="A123" s="1137" t="s">
        <v>2501</v>
      </c>
      <c r="B123" s="294">
        <f>-B582</f>
        <v>0</v>
      </c>
      <c r="C123" s="1047"/>
      <c r="D123" s="681"/>
      <c r="E123" s="1026"/>
      <c r="F123" s="294">
        <v>53224</v>
      </c>
    </row>
    <row r="124" spans="1:9">
      <c r="A124" s="1131" t="s">
        <v>1110</v>
      </c>
      <c r="B124" s="1112">
        <f>B125+B176</f>
        <v>25022304.54999999</v>
      </c>
      <c r="C124" s="1113"/>
      <c r="F124" s="1112">
        <v>26085018.280000001</v>
      </c>
    </row>
    <row r="125" spans="1:9">
      <c r="A125" s="1138" t="s">
        <v>1111</v>
      </c>
      <c r="B125" s="1115">
        <f>B126+B150</f>
        <v>29074383.419999991</v>
      </c>
      <c r="F125" s="1115">
        <v>30135044.57</v>
      </c>
      <c r="H125" s="1139">
        <v>2000000</v>
      </c>
      <c r="I125" s="242" t="s">
        <v>2243</v>
      </c>
    </row>
    <row r="126" spans="1:9">
      <c r="A126" s="1130" t="s">
        <v>1112</v>
      </c>
      <c r="B126" s="1117">
        <f>SUM(B127:B145)+B147+B149+B148</f>
        <v>24942395.41</v>
      </c>
      <c r="F126" s="1117">
        <v>26073550.27</v>
      </c>
      <c r="H126" s="1139">
        <v>2000034</v>
      </c>
      <c r="I126" s="242" t="s">
        <v>2240</v>
      </c>
    </row>
    <row r="127" spans="1:9">
      <c r="A127" s="681" t="s">
        <v>1113</v>
      </c>
      <c r="B127" s="294">
        <f>(IFERROR(VLOOKUP(D127,obrotówka!$A$3:$J$1600,10,0),0))</f>
        <v>24942395.41</v>
      </c>
      <c r="C127" s="1047"/>
      <c r="D127" s="681" t="s">
        <v>117</v>
      </c>
      <c r="E127" s="1026"/>
      <c r="F127" s="294">
        <v>26009269.390000001</v>
      </c>
      <c r="H127" s="1139">
        <v>2000039</v>
      </c>
      <c r="I127" s="242" t="s">
        <v>3343</v>
      </c>
    </row>
    <row r="128" spans="1:9">
      <c r="A128" s="1134" t="s">
        <v>1114</v>
      </c>
      <c r="B128" s="294">
        <f>(IFERROR(VLOOKUP(D128,obrotówka!$A$3:$J$1600,10,0),0))</f>
        <v>0</v>
      </c>
      <c r="C128" s="1047"/>
      <c r="D128" s="1134" t="s">
        <v>1394</v>
      </c>
      <c r="E128" s="1026"/>
      <c r="F128" s="294">
        <v>0</v>
      </c>
      <c r="H128" s="1139">
        <v>2000047</v>
      </c>
      <c r="I128" s="242" t="s">
        <v>2359</v>
      </c>
    </row>
    <row r="129" spans="1:9">
      <c r="A129" s="681" t="s">
        <v>1115</v>
      </c>
      <c r="B129" s="294">
        <f>(IFERROR(VLOOKUP(D129,obrotówka!$A$3:$J$1600,8,0),0))</f>
        <v>0</v>
      </c>
      <c r="C129" s="1047"/>
      <c r="D129" s="681" t="s">
        <v>314</v>
      </c>
      <c r="E129" s="1026"/>
      <c r="F129" s="294">
        <v>0</v>
      </c>
      <c r="H129" s="1139">
        <v>2000049</v>
      </c>
      <c r="I129" s="242" t="s">
        <v>2238</v>
      </c>
    </row>
    <row r="130" spans="1:9">
      <c r="A130" s="1129" t="s">
        <v>3432</v>
      </c>
      <c r="B130" s="297"/>
      <c r="C130" s="1047"/>
      <c r="D130" s="681"/>
      <c r="E130" s="1026"/>
      <c r="F130" s="297"/>
      <c r="H130" s="1139">
        <v>2000050</v>
      </c>
      <c r="I130" s="242" t="s">
        <v>3560</v>
      </c>
    </row>
    <row r="131" spans="1:9">
      <c r="A131" s="1129" t="s">
        <v>3300</v>
      </c>
      <c r="B131" s="297"/>
      <c r="C131" s="1047"/>
      <c r="D131" s="681"/>
      <c r="E131" s="1026"/>
      <c r="F131" s="297"/>
      <c r="H131" s="1139">
        <v>2000051</v>
      </c>
      <c r="I131" s="242" t="s">
        <v>3541</v>
      </c>
    </row>
    <row r="132" spans="1:9">
      <c r="A132" s="1129" t="s">
        <v>3301</v>
      </c>
      <c r="B132" s="297"/>
      <c r="C132" s="1047"/>
      <c r="D132" s="681"/>
      <c r="E132" s="1026"/>
      <c r="F132" s="297"/>
      <c r="H132" s="1139">
        <v>2000052</v>
      </c>
      <c r="I132" s="242" t="s">
        <v>2242</v>
      </c>
    </row>
    <row r="133" spans="1:9">
      <c r="A133" s="1140"/>
      <c r="B133" s="297">
        <f>(IFERROR(VLOOKUP(D133,obrotówka!$A$3:$J$1600,10,0),0))</f>
        <v>0</v>
      </c>
      <c r="C133" s="1047"/>
      <c r="D133" s="681" t="s">
        <v>2521</v>
      </c>
      <c r="E133" s="1026"/>
      <c r="F133" s="297">
        <v>0</v>
      </c>
      <c r="H133" s="1139">
        <v>2000069</v>
      </c>
      <c r="I133" s="242" t="s">
        <v>2239</v>
      </c>
    </row>
    <row r="134" spans="1:9">
      <c r="A134" s="681" t="s">
        <v>1116</v>
      </c>
      <c r="B134" s="294">
        <f>(IFERROR(VLOOKUP(D134,obrotówka!$A$3:$J$1600,8,0),0))</f>
        <v>0</v>
      </c>
      <c r="C134" s="1047"/>
      <c r="D134" s="681">
        <v>3001700000</v>
      </c>
      <c r="E134" s="1026"/>
      <c r="F134" s="294">
        <v>0</v>
      </c>
      <c r="H134" s="1139">
        <v>2000072</v>
      </c>
      <c r="I134" s="242" t="s">
        <v>3346</v>
      </c>
    </row>
    <row r="135" spans="1:9">
      <c r="A135" s="681" t="s">
        <v>1117</v>
      </c>
      <c r="B135" s="294">
        <f>(IFERROR(VLOOKUP(D135,obrotówka!$A$3:$J$1600,8,0),0))</f>
        <v>0</v>
      </c>
      <c r="C135" s="1047"/>
      <c r="D135" s="681" t="s">
        <v>318</v>
      </c>
      <c r="E135" s="1026"/>
      <c r="F135" s="294">
        <v>0</v>
      </c>
      <c r="H135" s="1139">
        <v>2000082</v>
      </c>
      <c r="I135" s="242" t="s">
        <v>2245</v>
      </c>
    </row>
    <row r="136" spans="1:9">
      <c r="A136" s="681" t="s">
        <v>1118</v>
      </c>
      <c r="B136" s="294">
        <f>(IFERROR(VLOOKUP(D136,obrotówka!$A$3:$J$1600,8,0),0))</f>
        <v>0</v>
      </c>
      <c r="C136" s="1047"/>
      <c r="D136" s="681" t="s">
        <v>320</v>
      </c>
      <c r="E136" s="1026"/>
      <c r="F136" s="294">
        <v>0</v>
      </c>
      <c r="H136" s="1139">
        <v>2000091</v>
      </c>
      <c r="I136" s="242" t="s">
        <v>2244</v>
      </c>
    </row>
    <row r="137" spans="1:9">
      <c r="A137" s="681" t="s">
        <v>310</v>
      </c>
      <c r="B137" s="294">
        <f>(IFERROR(VLOOKUP(D137,obrotówka!$A$3:$J$1600,8,0),0))</f>
        <v>0</v>
      </c>
      <c r="C137" s="1047"/>
      <c r="D137" s="681" t="s">
        <v>309</v>
      </c>
      <c r="E137" s="1026"/>
      <c r="F137" s="294"/>
      <c r="H137" s="1139"/>
    </row>
    <row r="138" spans="1:9">
      <c r="A138" s="681" t="s">
        <v>1119</v>
      </c>
      <c r="B138" s="294">
        <f>(IFERROR(VLOOKUP(D138,obrotówka!$A$3:$J$1600,8,0),0))</f>
        <v>0</v>
      </c>
      <c r="C138" s="1047"/>
      <c r="D138" s="681" t="s">
        <v>1395</v>
      </c>
      <c r="E138" s="1026"/>
      <c r="F138" s="294">
        <v>0</v>
      </c>
      <c r="H138" s="1139">
        <v>2000099</v>
      </c>
      <c r="I138" s="242" t="s">
        <v>3347</v>
      </c>
    </row>
    <row r="139" spans="1:9">
      <c r="A139" s="681" t="s">
        <v>1120</v>
      </c>
      <c r="B139" s="294">
        <f>(IFERROR(VLOOKUP(D139,obrotówka!$A$3:$J$1600,8,0),0))</f>
        <v>0</v>
      </c>
      <c r="C139" s="1047"/>
      <c r="D139" s="681" t="s">
        <v>324</v>
      </c>
      <c r="E139" s="1026"/>
      <c r="F139" s="294">
        <v>0</v>
      </c>
      <c r="H139" s="1139">
        <v>2000099</v>
      </c>
      <c r="I139" s="242" t="s">
        <v>2360</v>
      </c>
    </row>
    <row r="140" spans="1:9">
      <c r="A140" s="1129" t="s">
        <v>2089</v>
      </c>
      <c r="B140" s="297"/>
      <c r="C140" s="1047"/>
      <c r="D140" s="1129" t="s">
        <v>324</v>
      </c>
      <c r="E140" s="1026"/>
      <c r="F140" s="297"/>
      <c r="G140" s="654"/>
      <c r="H140" s="1139">
        <v>2000262</v>
      </c>
      <c r="I140" s="242" t="s">
        <v>2241</v>
      </c>
    </row>
    <row r="141" spans="1:9">
      <c r="A141" s="1129" t="s">
        <v>3154</v>
      </c>
      <c r="B141" s="297"/>
      <c r="C141" s="1047"/>
      <c r="D141" s="1129" t="s">
        <v>324</v>
      </c>
      <c r="E141" s="1026"/>
      <c r="F141" s="297"/>
      <c r="G141" s="1141"/>
      <c r="H141" s="1139">
        <v>2000611</v>
      </c>
      <c r="I141" s="242" t="s">
        <v>3344</v>
      </c>
    </row>
    <row r="142" spans="1:9">
      <c r="A142" s="681"/>
      <c r="B142" s="294">
        <f>(IFERROR(VLOOKUP(D142,obrotówka!$A$3:$J$1600,8,0),0))</f>
        <v>0</v>
      </c>
      <c r="C142" s="1053" t="s">
        <v>309</v>
      </c>
      <c r="D142" s="681"/>
      <c r="E142" s="1026"/>
      <c r="F142" s="294">
        <v>0</v>
      </c>
      <c r="H142" s="1139">
        <v>2000612</v>
      </c>
      <c r="I142" s="242" t="s">
        <v>3344</v>
      </c>
    </row>
    <row r="143" spans="1:9">
      <c r="A143" s="1129" t="s">
        <v>3092</v>
      </c>
      <c r="B143" s="587"/>
      <c r="C143" s="1047"/>
      <c r="D143" s="681"/>
      <c r="E143" s="1026"/>
      <c r="F143" s="587"/>
      <c r="H143" s="1139">
        <v>2000650</v>
      </c>
      <c r="I143" s="242" t="s">
        <v>3542</v>
      </c>
    </row>
    <row r="144" spans="1:9">
      <c r="A144" s="1129" t="s">
        <v>3960</v>
      </c>
      <c r="B144" s="587"/>
      <c r="C144" s="1047"/>
      <c r="D144" s="681"/>
      <c r="E144" s="1026"/>
      <c r="F144" s="587"/>
      <c r="H144" s="1139">
        <v>2000660</v>
      </c>
      <c r="I144" s="242" t="s">
        <v>3345</v>
      </c>
    </row>
    <row r="145" spans="1:12" s="1144" customFormat="1">
      <c r="A145" s="1142" t="s">
        <v>3187</v>
      </c>
      <c r="B145" s="1029"/>
      <c r="C145" s="1055"/>
      <c r="D145" s="1142" t="s">
        <v>117</v>
      </c>
      <c r="E145" s="1143"/>
      <c r="F145" s="1029"/>
      <c r="H145" s="1634">
        <v>2000770</v>
      </c>
      <c r="I145" s="1144" t="s">
        <v>3947</v>
      </c>
      <c r="L145" s="1145"/>
    </row>
    <row r="146" spans="1:12">
      <c r="A146" s="1146" t="s">
        <v>3543</v>
      </c>
      <c r="B146" s="995"/>
      <c r="C146" s="1047"/>
      <c r="D146" s="1129"/>
      <c r="E146" s="1026"/>
      <c r="F146" s="995"/>
      <c r="L146" s="1139"/>
    </row>
    <row r="147" spans="1:12">
      <c r="A147" s="1137" t="s">
        <v>3528</v>
      </c>
      <c r="B147" s="587"/>
      <c r="C147" s="1047"/>
      <c r="D147" s="1129" t="s">
        <v>3544</v>
      </c>
      <c r="E147" s="1026"/>
      <c r="F147" s="587"/>
      <c r="L147" s="1139"/>
    </row>
    <row r="148" spans="1:12">
      <c r="A148" s="1137" t="s">
        <v>3907</v>
      </c>
      <c r="B148" s="587"/>
      <c r="C148" s="1047"/>
      <c r="D148" s="1129"/>
      <c r="E148" s="1026"/>
      <c r="F148" s="587"/>
      <c r="L148" s="1139"/>
    </row>
    <row r="149" spans="1:12">
      <c r="A149" s="1137" t="s">
        <v>3529</v>
      </c>
      <c r="B149" s="587"/>
      <c r="C149" s="1050" t="s">
        <v>3762</v>
      </c>
      <c r="D149" s="1129" t="s">
        <v>3544</v>
      </c>
      <c r="E149" s="1026"/>
      <c r="F149" s="587">
        <v>64280.88</v>
      </c>
      <c r="L149" s="1139"/>
    </row>
    <row r="150" spans="1:12">
      <c r="A150" s="1130" t="s">
        <v>1122</v>
      </c>
      <c r="B150" s="1117">
        <f>SUM(B151:B172)+B173+B175+B174</f>
        <v>4131988.0099999905</v>
      </c>
      <c r="C150" s="1101">
        <f>B150+B176</f>
        <v>79909.139999990351</v>
      </c>
      <c r="F150" s="1117">
        <v>4061494.3</v>
      </c>
      <c r="H150" s="1139">
        <v>2000114</v>
      </c>
      <c r="I150" s="242" t="s">
        <v>2248</v>
      </c>
      <c r="L150" s="1139"/>
    </row>
    <row r="151" spans="1:12">
      <c r="A151" s="681" t="s">
        <v>1123</v>
      </c>
      <c r="B151" s="294">
        <f>(IFERROR(VLOOKUP(D151,obrotówka!$A$3:$J$1600,10,0),0))</f>
        <v>6730151.5199999902</v>
      </c>
      <c r="C151" s="1047"/>
      <c r="D151" s="681" t="s">
        <v>128</v>
      </c>
      <c r="E151" s="1026"/>
      <c r="F151" s="294">
        <v>6649551.2000000002</v>
      </c>
      <c r="H151" s="1139">
        <v>2000592</v>
      </c>
      <c r="I151" s="242" t="s">
        <v>2251</v>
      </c>
    </row>
    <row r="152" spans="1:12">
      <c r="A152" s="1134" t="s">
        <v>1123</v>
      </c>
      <c r="B152" s="294">
        <f>(IFERROR(VLOOKUP(D152,obrotówka!$A$3:$J$1600,10,0),0))</f>
        <v>0</v>
      </c>
      <c r="C152" s="1047"/>
      <c r="D152" s="1134" t="s">
        <v>131</v>
      </c>
      <c r="E152" s="1026"/>
      <c r="F152" s="294">
        <v>0</v>
      </c>
      <c r="H152" s="1139">
        <v>2000572</v>
      </c>
      <c r="I152" s="242" t="s">
        <v>3186</v>
      </c>
    </row>
    <row r="153" spans="1:12">
      <c r="A153" s="1134" t="s">
        <v>1124</v>
      </c>
      <c r="B153" s="294">
        <f>(IFERROR(VLOOKUP(D153,obrotówka!$A$3:$J$1600,10,0),0))</f>
        <v>0</v>
      </c>
      <c r="C153" s="1047"/>
      <c r="D153" s="1134" t="s">
        <v>132</v>
      </c>
      <c r="E153" s="1026"/>
      <c r="F153" s="294">
        <v>0</v>
      </c>
    </row>
    <row r="154" spans="1:12">
      <c r="A154" s="1134" t="s">
        <v>1125</v>
      </c>
      <c r="B154" s="294">
        <f>(IFERROR(VLOOKUP(D154,obrotówka!$A$3:$J$1600,10,0),0))</f>
        <v>0</v>
      </c>
      <c r="C154" s="1047"/>
      <c r="D154" s="1134" t="s">
        <v>147</v>
      </c>
      <c r="E154" s="1026"/>
      <c r="F154" s="294">
        <v>705.77999999999895</v>
      </c>
    </row>
    <row r="155" spans="1:12">
      <c r="A155" s="1134" t="s">
        <v>1126</v>
      </c>
      <c r="B155" s="294">
        <f>(IFERROR(VLOOKUP(D155,obrotówka!$A$3:$J$1600,10,0),0))</f>
        <v>71436.55</v>
      </c>
      <c r="C155" s="1047"/>
      <c r="D155" s="1134" t="s">
        <v>192</v>
      </c>
      <c r="E155" s="1026"/>
      <c r="F155" s="294">
        <v>135717.429999999</v>
      </c>
    </row>
    <row r="156" spans="1:12">
      <c r="A156" s="1146" t="s">
        <v>3543</v>
      </c>
      <c r="B156" s="995"/>
      <c r="C156" s="1047"/>
      <c r="D156" s="1134"/>
      <c r="E156" s="1026"/>
      <c r="F156" s="995"/>
    </row>
    <row r="157" spans="1:12">
      <c r="A157" s="1137" t="s">
        <v>3528</v>
      </c>
      <c r="B157" s="587">
        <f t="shared" ref="B157:B158" si="0">-B147</f>
        <v>0</v>
      </c>
      <c r="C157" s="1047"/>
      <c r="D157" s="1129" t="s">
        <v>3544</v>
      </c>
      <c r="E157" s="1026"/>
      <c r="F157" s="587">
        <v>0</v>
      </c>
    </row>
    <row r="158" spans="1:12">
      <c r="A158" s="1137" t="s">
        <v>3907</v>
      </c>
      <c r="B158" s="587">
        <f t="shared" si="0"/>
        <v>0</v>
      </c>
      <c r="C158" s="1047"/>
      <c r="D158" s="1129"/>
      <c r="E158" s="1026"/>
      <c r="F158" s="587"/>
    </row>
    <row r="159" spans="1:12">
      <c r="A159" s="1137" t="s">
        <v>3529</v>
      </c>
      <c r="B159" s="587">
        <f>-B149</f>
        <v>0</v>
      </c>
      <c r="C159" s="1047"/>
      <c r="D159" s="1129" t="s">
        <v>3544</v>
      </c>
      <c r="E159" s="1026"/>
      <c r="F159" s="587">
        <v>-64280.88</v>
      </c>
    </row>
    <row r="160" spans="1:12">
      <c r="A160" s="1134" t="s">
        <v>1127</v>
      </c>
      <c r="B160" s="294">
        <f>(IFERROR(VLOOKUP(D160,obrotówka!$A$3:$J$1600,10,0),0))</f>
        <v>0</v>
      </c>
      <c r="C160" s="1047"/>
      <c r="D160" s="1134" t="s">
        <v>229</v>
      </c>
      <c r="E160" s="1026"/>
      <c r="F160" s="294">
        <v>0</v>
      </c>
    </row>
    <row r="161" spans="1:12">
      <c r="A161" s="681" t="s">
        <v>1128</v>
      </c>
      <c r="B161" s="294">
        <f>(IFERROR(VLOOKUP(D161,obrotówka!$A$3:$J$1600,8,0),0))</f>
        <v>0</v>
      </c>
      <c r="C161" s="1047"/>
      <c r="D161" s="1134" t="s">
        <v>336</v>
      </c>
      <c r="E161" s="1026"/>
      <c r="F161" s="294">
        <v>0</v>
      </c>
      <c r="K161" s="243"/>
      <c r="L161" s="1147"/>
    </row>
    <row r="162" spans="1:12">
      <c r="A162" s="681" t="s">
        <v>1129</v>
      </c>
      <c r="B162" s="294">
        <f>(IFERROR(VLOOKUP(D162,obrotówka!$A$3:$J$1600,8,0),0))</f>
        <v>0</v>
      </c>
      <c r="C162" s="1047"/>
      <c r="D162" s="681" t="s">
        <v>339</v>
      </c>
      <c r="E162" s="1026"/>
      <c r="F162" s="294">
        <v>0</v>
      </c>
      <c r="L162" s="1147"/>
    </row>
    <row r="163" spans="1:12">
      <c r="A163" s="681" t="s">
        <v>1130</v>
      </c>
      <c r="B163" s="294">
        <f>(IFERROR(VLOOKUP(D163,obrotówka!$A$3:$J$1600,8,0),0))</f>
        <v>0</v>
      </c>
      <c r="C163" s="1047"/>
      <c r="D163" s="681" t="s">
        <v>341</v>
      </c>
      <c r="E163" s="1026"/>
      <c r="F163" s="294">
        <v>0</v>
      </c>
      <c r="K163" s="243"/>
      <c r="L163" s="1147"/>
    </row>
    <row r="164" spans="1:12">
      <c r="A164" s="681" t="s">
        <v>1131</v>
      </c>
      <c r="B164" s="294">
        <f>(IFERROR(VLOOKUP(D164,obrotówka!$A$3:$J$1600,8,0),0))</f>
        <v>0</v>
      </c>
      <c r="C164" s="1047"/>
      <c r="D164" s="681" t="s">
        <v>343</v>
      </c>
      <c r="E164" s="1026"/>
      <c r="F164" s="294">
        <v>0</v>
      </c>
      <c r="K164" s="243"/>
      <c r="L164" s="1147"/>
    </row>
    <row r="165" spans="1:12">
      <c r="A165" s="681" t="s">
        <v>1132</v>
      </c>
      <c r="B165" s="294">
        <f>(IFERROR(VLOOKUP(D165,obrotówka!$A$3:$J$1600,8,0),0))</f>
        <v>0</v>
      </c>
      <c r="C165" s="1047"/>
      <c r="D165" s="681" t="s">
        <v>347</v>
      </c>
      <c r="E165" s="1026"/>
      <c r="F165" s="294">
        <v>0</v>
      </c>
      <c r="H165" s="1139">
        <v>1049011</v>
      </c>
      <c r="K165" s="243"/>
      <c r="L165" s="1147"/>
    </row>
    <row r="166" spans="1:12">
      <c r="A166" s="1129" t="s">
        <v>2841</v>
      </c>
      <c r="B166" s="587">
        <f>H170</f>
        <v>-11858263.439999999</v>
      </c>
      <c r="C166" s="1047"/>
      <c r="D166" s="1129" t="s">
        <v>190</v>
      </c>
      <c r="E166" s="1026"/>
      <c r="F166" s="587">
        <v>-11858263.439999999</v>
      </c>
      <c r="G166" s="1141"/>
      <c r="H166" s="242" t="s">
        <v>3763</v>
      </c>
      <c r="I166" s="242" t="s">
        <v>2249</v>
      </c>
    </row>
    <row r="167" spans="1:12">
      <c r="A167" s="1129" t="str">
        <f>A130</f>
        <v>Elektrownia Opole 2000082 - błędnie wystawiona f-ra do maja</v>
      </c>
      <c r="B167" s="587">
        <f>-B130</f>
        <v>0</v>
      </c>
      <c r="C167" s="1047"/>
      <c r="D167" s="1129"/>
      <c r="E167" s="1026"/>
      <c r="F167" s="587">
        <v>0</v>
      </c>
      <c r="G167" s="654"/>
      <c r="H167" s="243">
        <v>6646942.8799999999</v>
      </c>
      <c r="I167" s="1147" t="s">
        <v>2234</v>
      </c>
    </row>
    <row r="168" spans="1:12">
      <c r="A168" s="1129"/>
      <c r="B168" s="297"/>
      <c r="C168" s="1047"/>
      <c r="D168" s="1129"/>
      <c r="E168" s="1026"/>
      <c r="F168" s="297"/>
      <c r="G168" s="654"/>
      <c r="H168" s="243"/>
      <c r="I168" s="1147"/>
    </row>
    <row r="169" spans="1:12">
      <c r="A169" s="1134" t="s">
        <v>3086</v>
      </c>
      <c r="B169" s="294"/>
      <c r="C169" s="1047"/>
      <c r="D169" s="1148" t="s">
        <v>349</v>
      </c>
      <c r="E169" s="1026"/>
      <c r="F169" s="294"/>
      <c r="G169" s="654"/>
      <c r="H169" s="252">
        <v>9188069.0899999999</v>
      </c>
      <c r="I169" s="1149" t="s">
        <v>2461</v>
      </c>
    </row>
    <row r="170" spans="1:12">
      <c r="A170" s="1149" t="s">
        <v>3292</v>
      </c>
      <c r="B170" s="301">
        <v>9188069.0899999999</v>
      </c>
      <c r="C170" s="1047"/>
      <c r="D170" s="1148" t="s">
        <v>349</v>
      </c>
      <c r="E170" s="1026"/>
      <c r="F170" s="301">
        <v>9188069.0899999999</v>
      </c>
      <c r="G170" s="1141"/>
      <c r="H170" s="243">
        <v>-11858263.439999999</v>
      </c>
      <c r="I170" s="1147" t="s">
        <v>2405</v>
      </c>
    </row>
    <row r="171" spans="1:12">
      <c r="A171" s="1129"/>
      <c r="B171" s="297"/>
      <c r="C171" s="1047"/>
      <c r="D171" s="1148" t="s">
        <v>349</v>
      </c>
      <c r="E171" s="1026"/>
      <c r="F171" s="297"/>
      <c r="G171" s="1141"/>
      <c r="H171" s="1141"/>
      <c r="I171" s="1141"/>
      <c r="K171" s="243"/>
      <c r="L171" s="1147"/>
    </row>
    <row r="172" spans="1:12">
      <c r="A172" s="681" t="s">
        <v>1133</v>
      </c>
      <c r="B172" s="294">
        <f>(IFERROR(VLOOKUP(D172,obrotówka!$A$3:$J$1600,8,0),0))</f>
        <v>594.28999999999905</v>
      </c>
      <c r="C172" s="1150">
        <v>3050300000</v>
      </c>
      <c r="D172" s="681" t="s">
        <v>366</v>
      </c>
      <c r="E172" s="1026"/>
      <c r="F172" s="294">
        <v>9995.1200000000008</v>
      </c>
      <c r="H172" s="654"/>
      <c r="I172" s="654"/>
    </row>
    <row r="173" spans="1:12">
      <c r="A173" s="1129" t="s">
        <v>3093</v>
      </c>
      <c r="B173" s="587">
        <f>-B143</f>
        <v>0</v>
      </c>
      <c r="C173" s="1047"/>
      <c r="D173" s="681"/>
      <c r="E173" s="1026"/>
      <c r="F173" s="587">
        <v>0</v>
      </c>
      <c r="G173" s="654"/>
      <c r="H173" s="654"/>
      <c r="I173" s="654"/>
    </row>
    <row r="174" spans="1:12">
      <c r="A174" s="1129" t="str">
        <f>A144</f>
        <v>minus błędny PZ PGE - usł. ADP</v>
      </c>
      <c r="B174" s="587">
        <f>-B144</f>
        <v>0</v>
      </c>
      <c r="C174" s="1047"/>
      <c r="D174" s="681"/>
      <c r="E174" s="1026"/>
      <c r="F174" s="587">
        <v>0</v>
      </c>
      <c r="G174" s="654"/>
      <c r="H174" s="654"/>
      <c r="I174" s="654"/>
    </row>
    <row r="175" spans="1:12">
      <c r="A175" s="1129" t="s">
        <v>3188</v>
      </c>
      <c r="B175" s="587">
        <f>-B145</f>
        <v>0</v>
      </c>
      <c r="C175" s="1047"/>
      <c r="D175" s="681"/>
      <c r="E175" s="1026"/>
      <c r="F175" s="587">
        <v>0</v>
      </c>
      <c r="G175" s="654"/>
      <c r="H175" s="654"/>
      <c r="I175" s="654"/>
    </row>
    <row r="176" spans="1:12">
      <c r="A176" s="1138" t="s">
        <v>1134</v>
      </c>
      <c r="B176" s="1115">
        <f>B177+B179</f>
        <v>-4052078.87</v>
      </c>
      <c r="F176" s="1115">
        <v>-4050026.29</v>
      </c>
      <c r="G176" s="654"/>
      <c r="H176" s="654"/>
      <c r="I176" s="654"/>
    </row>
    <row r="177" spans="1:6">
      <c r="A177" s="1130" t="s">
        <v>1135</v>
      </c>
      <c r="B177" s="1117">
        <f>B178</f>
        <v>0</v>
      </c>
      <c r="F177" s="1117">
        <v>0</v>
      </c>
    </row>
    <row r="178" spans="1:6">
      <c r="A178" s="681" t="s">
        <v>1136</v>
      </c>
      <c r="B178" s="294">
        <f>(IFERROR(VLOOKUP(D178,obrotówka!$A$3:$J$1600,10,0),0))</f>
        <v>0</v>
      </c>
      <c r="C178" s="1047"/>
      <c r="D178" s="681" t="s">
        <v>127</v>
      </c>
      <c r="E178" s="1026"/>
      <c r="F178" s="294">
        <v>0</v>
      </c>
    </row>
    <row r="179" spans="1:6">
      <c r="A179" s="1130" t="s">
        <v>1137</v>
      </c>
      <c r="B179" s="1117">
        <f>B180</f>
        <v>-4052078.87</v>
      </c>
      <c r="F179" s="1117">
        <v>-4050026.29</v>
      </c>
    </row>
    <row r="180" spans="1:6">
      <c r="A180" s="681" t="s">
        <v>1138</v>
      </c>
      <c r="B180" s="294">
        <f>(IFERROR(VLOOKUP(D180,obrotówka!$A$3:$J$1600,10,0),0))</f>
        <v>-4052078.87</v>
      </c>
      <c r="C180" s="1047"/>
      <c r="D180" s="681" t="s">
        <v>150</v>
      </c>
      <c r="E180" s="1026"/>
      <c r="F180" s="294">
        <v>-4050026.29</v>
      </c>
    </row>
    <row r="181" spans="1:6">
      <c r="A181" s="1131" t="s">
        <v>1139</v>
      </c>
      <c r="B181" s="1112">
        <f>B182+B185+B188+B194+B203+B207</f>
        <v>2986485.3999999873</v>
      </c>
      <c r="C181" s="1113"/>
      <c r="F181" s="1112">
        <v>3564608.2899999963</v>
      </c>
    </row>
    <row r="182" spans="1:6">
      <c r="A182" s="1138" t="s">
        <v>1140</v>
      </c>
      <c r="B182" s="1115">
        <f>B183</f>
        <v>2501383.25999999</v>
      </c>
      <c r="F182" s="1115">
        <v>3363244.02</v>
      </c>
    </row>
    <row r="183" spans="1:6">
      <c r="A183" s="1130" t="s">
        <v>1141</v>
      </c>
      <c r="B183" s="1117">
        <f>B184</f>
        <v>2501383.25999999</v>
      </c>
      <c r="F183" s="1117">
        <v>3363244.02</v>
      </c>
    </row>
    <row r="184" spans="1:6">
      <c r="A184" s="681" t="s">
        <v>1142</v>
      </c>
      <c r="B184" s="294">
        <f>(IFERROR(VLOOKUP(D184,obrotówka!$A$3:$J$1600,10,0),0))</f>
        <v>2501383.25999999</v>
      </c>
      <c r="C184" s="1047"/>
      <c r="D184" s="1134" t="s">
        <v>171</v>
      </c>
      <c r="E184" s="1026"/>
      <c r="F184" s="294">
        <v>3363244.02</v>
      </c>
    </row>
    <row r="185" spans="1:6">
      <c r="A185" s="1138" t="s">
        <v>1143</v>
      </c>
      <c r="B185" s="1115">
        <f>B186+B187</f>
        <v>0</v>
      </c>
      <c r="F185" s="1115">
        <v>0</v>
      </c>
    </row>
    <row r="186" spans="1:6">
      <c r="A186" s="681" t="s">
        <v>1144</v>
      </c>
      <c r="B186" s="294">
        <f>(IFERROR(VLOOKUP(D186,obrotówka!$A$3:$J$1600,8,0),0))</f>
        <v>0</v>
      </c>
      <c r="C186" s="1047"/>
      <c r="D186" s="681" t="s">
        <v>92</v>
      </c>
      <c r="E186" s="1026"/>
      <c r="F186" s="294">
        <v>0</v>
      </c>
    </row>
    <row r="187" spans="1:6">
      <c r="A187" s="681" t="s">
        <v>111</v>
      </c>
      <c r="B187" s="294">
        <f>(IFERROR(VLOOKUP(D187,obrotówka!$A$3:$J$1600,8,0),0))</f>
        <v>0</v>
      </c>
      <c r="C187" s="1047"/>
      <c r="D187" s="681" t="s">
        <v>110</v>
      </c>
      <c r="E187" s="1026"/>
      <c r="F187" s="294">
        <v>0</v>
      </c>
    </row>
    <row r="188" spans="1:6">
      <c r="A188" s="1138" t="s">
        <v>1145</v>
      </c>
      <c r="B188" s="1115">
        <f>B189+B191</f>
        <v>0</v>
      </c>
      <c r="F188" s="1115">
        <v>0</v>
      </c>
    </row>
    <row r="189" spans="1:6">
      <c r="A189" s="1130" t="s">
        <v>1146</v>
      </c>
      <c r="B189" s="1117">
        <f>B190</f>
        <v>0</v>
      </c>
      <c r="F189" s="1117">
        <v>0</v>
      </c>
    </row>
    <row r="190" spans="1:6">
      <c r="A190" s="681" t="s">
        <v>1147</v>
      </c>
      <c r="B190" s="294">
        <f>(IFERROR(VLOOKUP(D190,obrotówka!$A$3:$J$1600,8,0),0))</f>
        <v>0</v>
      </c>
      <c r="C190" s="1047"/>
      <c r="D190" s="681" t="s">
        <v>119</v>
      </c>
      <c r="E190" s="1026"/>
      <c r="F190" s="294">
        <v>0</v>
      </c>
    </row>
    <row r="191" spans="1:6">
      <c r="A191" s="1130" t="s">
        <v>1148</v>
      </c>
      <c r="B191" s="1117">
        <f>B192+B193</f>
        <v>0</v>
      </c>
      <c r="F191" s="1117">
        <v>0</v>
      </c>
    </row>
    <row r="192" spans="1:6">
      <c r="A192" s="681" t="s">
        <v>1149</v>
      </c>
      <c r="B192" s="294">
        <f>(IFERROR(VLOOKUP(D192,obrotówka!$A$3:$J$1600,8,0),0))</f>
        <v>0</v>
      </c>
      <c r="C192" s="1047"/>
      <c r="D192" s="681" t="s">
        <v>135</v>
      </c>
      <c r="E192" s="1026"/>
      <c r="F192" s="294">
        <v>0</v>
      </c>
    </row>
    <row r="193" spans="1:12">
      <c r="A193" s="681" t="s">
        <v>1149</v>
      </c>
      <c r="B193" s="294">
        <f>(IFERROR(VLOOKUP(D193,obrotówka!$A$3:$J$1600,8,0),0))</f>
        <v>0</v>
      </c>
      <c r="D193" s="681" t="s">
        <v>138</v>
      </c>
      <c r="E193" s="1026"/>
      <c r="F193" s="294">
        <v>0</v>
      </c>
    </row>
    <row r="194" spans="1:12">
      <c r="A194" s="1138" t="s">
        <v>1150</v>
      </c>
      <c r="B194" s="1115">
        <f>B195+B199</f>
        <v>470653.89</v>
      </c>
      <c r="F194" s="1115">
        <v>201011.96999999892</v>
      </c>
    </row>
    <row r="195" spans="1:12">
      <c r="A195" s="1130" t="s">
        <v>1065</v>
      </c>
      <c r="B195" s="1117">
        <f>SUM(B196:B198)</f>
        <v>470653.89</v>
      </c>
      <c r="F195" s="1117">
        <v>201011.96999999892</v>
      </c>
    </row>
    <row r="196" spans="1:12">
      <c r="A196" s="681" t="s">
        <v>1066</v>
      </c>
      <c r="B196" s="294">
        <f>(IFERROR(VLOOKUP(D196,obrotówka!$A$3:$J$1600,8,0),0))</f>
        <v>400653.89</v>
      </c>
      <c r="C196" s="1101">
        <f>B196+B210</f>
        <v>415102.14</v>
      </c>
      <c r="D196" s="681" t="s">
        <v>121</v>
      </c>
      <c r="E196" s="1026"/>
      <c r="F196" s="294">
        <v>589336.48999999894</v>
      </c>
      <c r="G196" s="654"/>
      <c r="H196" s="654"/>
      <c r="I196" s="654"/>
    </row>
    <row r="197" spans="1:12">
      <c r="A197" s="1134" t="s">
        <v>2356</v>
      </c>
      <c r="B197" s="294">
        <f>(IFERROR(VLOOKUP(D197,obrotówka!$A$3:$J$1600,10,0),0))</f>
        <v>0</v>
      </c>
      <c r="D197" s="681" t="s">
        <v>2336</v>
      </c>
      <c r="E197" s="1026"/>
      <c r="F197" s="294">
        <v>-388324.52</v>
      </c>
      <c r="G197" s="1695"/>
      <c r="H197" s="1695"/>
      <c r="I197" s="1695"/>
    </row>
    <row r="198" spans="1:12">
      <c r="A198" s="681" t="s">
        <v>1067</v>
      </c>
      <c r="B198" s="294">
        <f>(IFERROR(VLOOKUP(D198,obrotówka!$A$3:$J$1600,8,0),0))</f>
        <v>70000</v>
      </c>
      <c r="C198" s="1047"/>
      <c r="D198" s="681" t="s">
        <v>123</v>
      </c>
      <c r="E198" s="1026"/>
      <c r="F198" s="294">
        <v>0</v>
      </c>
      <c r="G198" s="654"/>
      <c r="H198" s="1082"/>
      <c r="I198" s="654"/>
    </row>
    <row r="199" spans="1:12">
      <c r="A199" s="1130" t="s">
        <v>1068</v>
      </c>
      <c r="B199" s="1117">
        <f>SUM(B200:B202)</f>
        <v>0</v>
      </c>
      <c r="F199" s="1117">
        <v>0</v>
      </c>
      <c r="G199" s="654"/>
      <c r="H199" s="295"/>
      <c r="I199" s="654"/>
    </row>
    <row r="200" spans="1:12">
      <c r="A200" s="681" t="s">
        <v>1069</v>
      </c>
      <c r="B200" s="294">
        <f>(IFERROR(VLOOKUP(D200,obrotówka!$A$3:$J$1600,8,0),0))</f>
        <v>0</v>
      </c>
      <c r="C200" s="1047"/>
      <c r="D200" s="681" t="s">
        <v>139</v>
      </c>
      <c r="E200" s="1026"/>
      <c r="F200" s="294">
        <v>0</v>
      </c>
      <c r="G200" s="654"/>
      <c r="H200" s="654"/>
      <c r="I200" s="654"/>
    </row>
    <row r="201" spans="1:12">
      <c r="A201" s="1134" t="s">
        <v>2357</v>
      </c>
      <c r="B201" s="294">
        <f>(IFERROR(VLOOKUP(D201,obrotówka!$A$3:$J$1600,10,0),0))</f>
        <v>0</v>
      </c>
      <c r="C201" s="1047"/>
      <c r="D201" s="681" t="s">
        <v>2338</v>
      </c>
      <c r="E201" s="1026"/>
      <c r="F201" s="294">
        <v>0</v>
      </c>
      <c r="G201" s="1695"/>
      <c r="H201" s="1695"/>
      <c r="I201" s="1695"/>
    </row>
    <row r="202" spans="1:12">
      <c r="A202" s="681" t="s">
        <v>1151</v>
      </c>
      <c r="B202" s="294">
        <f>(IFERROR(VLOOKUP(D202,obrotówka!$A$3:$J$1600,8,0),0))</f>
        <v>0</v>
      </c>
      <c r="C202" s="1047"/>
      <c r="D202" s="681" t="s">
        <v>1397</v>
      </c>
      <c r="E202" s="1026"/>
      <c r="F202" s="294">
        <v>0</v>
      </c>
      <c r="G202" s="654"/>
      <c r="H202" s="654"/>
      <c r="I202" s="654"/>
    </row>
    <row r="203" spans="1:12">
      <c r="A203" s="1138" t="s">
        <v>1152</v>
      </c>
      <c r="B203" s="1115">
        <f>B204</f>
        <v>0</v>
      </c>
      <c r="F203" s="1115">
        <v>0</v>
      </c>
    </row>
    <row r="204" spans="1:12">
      <c r="A204" s="1130" t="s">
        <v>1153</v>
      </c>
      <c r="B204" s="1117">
        <f>B205+B206</f>
        <v>0</v>
      </c>
      <c r="F204" s="1117">
        <v>0</v>
      </c>
    </row>
    <row r="205" spans="1:12">
      <c r="A205" s="1140" t="s">
        <v>1154</v>
      </c>
      <c r="B205" s="294">
        <f>(IFERROR(VLOOKUP(D205,obrotówka!$A$3:$J$1600,10,0),0))</f>
        <v>285631.66999999899</v>
      </c>
      <c r="C205" s="1051" t="s">
        <v>2867</v>
      </c>
      <c r="D205" s="681" t="s">
        <v>2339</v>
      </c>
      <c r="E205" s="1026"/>
      <c r="F205" s="294">
        <v>285631.66999999899</v>
      </c>
      <c r="G205" s="1695"/>
      <c r="H205" s="1695"/>
      <c r="I205" s="1695"/>
      <c r="J205" s="1695"/>
      <c r="K205" s="1695"/>
      <c r="L205" s="1695"/>
    </row>
    <row r="206" spans="1:12">
      <c r="A206" s="681" t="s">
        <v>1155</v>
      </c>
      <c r="B206" s="294">
        <f>(IFERROR(VLOOKUP(D206,obrotówka!$A$3:$J$1600,9,0),0))</f>
        <v>-285631.66999999899</v>
      </c>
      <c r="C206" s="1052">
        <f>B206+B215+B216+B227</f>
        <v>-37110762.169999897</v>
      </c>
      <c r="D206" s="681" t="s">
        <v>152</v>
      </c>
      <c r="E206" s="1026"/>
      <c r="F206" s="294">
        <v>-285631.66999999899</v>
      </c>
    </row>
    <row r="207" spans="1:12">
      <c r="A207" s="1138" t="s">
        <v>1156</v>
      </c>
      <c r="B207" s="1115">
        <f>B208+B211</f>
        <v>14448.249999997319</v>
      </c>
      <c r="F207" s="1115">
        <v>352.29999999731808</v>
      </c>
    </row>
    <row r="208" spans="1:12">
      <c r="A208" s="1130" t="s">
        <v>1157</v>
      </c>
      <c r="B208" s="1117">
        <f>B209+B210</f>
        <v>14448.25</v>
      </c>
      <c r="F208" s="1117">
        <v>0</v>
      </c>
      <c r="H208" s="243"/>
    </row>
    <row r="209" spans="1:12">
      <c r="A209" s="681" t="s">
        <v>1158</v>
      </c>
      <c r="B209" s="294">
        <f>(IFERROR(VLOOKUP(D209,obrotówka!$A$3:$J$1600,8,0),0))</f>
        <v>0</v>
      </c>
      <c r="C209" s="1047"/>
      <c r="D209" s="681" t="s">
        <v>125</v>
      </c>
      <c r="E209" s="1026"/>
      <c r="F209" s="294">
        <v>0</v>
      </c>
    </row>
    <row r="210" spans="1:12" ht="9.6" customHeight="1">
      <c r="A210" s="681" t="s">
        <v>1159</v>
      </c>
      <c r="B210" s="294">
        <f>(IFERROR(VLOOKUP(D210,obrotówka!$A$3:$J$1600,8,0),0))</f>
        <v>14448.25</v>
      </c>
      <c r="C210" s="1047"/>
      <c r="D210" s="1134" t="s">
        <v>185</v>
      </c>
      <c r="E210" s="1026"/>
      <c r="F210" s="294">
        <v>0</v>
      </c>
      <c r="G210" s="242" t="s">
        <v>3972</v>
      </c>
    </row>
    <row r="211" spans="1:12">
      <c r="A211" s="1130" t="s">
        <v>1160</v>
      </c>
      <c r="B211" s="1117">
        <f>SUM(B212:B228)</f>
        <v>-2.6811903808265924E-9</v>
      </c>
      <c r="F211" s="1117">
        <v>352.29999999731808</v>
      </c>
    </row>
    <row r="212" spans="1:12">
      <c r="A212" s="681" t="s">
        <v>1161</v>
      </c>
      <c r="B212" s="294">
        <f>(IFERROR(VLOOKUP(D212,obrotówka!$A$3:$J$1600,8,0),0))</f>
        <v>36775116.259999901</v>
      </c>
      <c r="C212" s="1047"/>
      <c r="D212" s="681" t="s">
        <v>141</v>
      </c>
      <c r="E212" s="1026"/>
      <c r="F212" s="294">
        <v>37129401.590000004</v>
      </c>
      <c r="G212" s="1082">
        <f>B212+B205+B226+B225</f>
        <v>37110762.169999905</v>
      </c>
      <c r="H212" s="654"/>
      <c r="I212" s="654"/>
      <c r="J212" s="654"/>
      <c r="K212" s="654"/>
      <c r="L212" s="654"/>
    </row>
    <row r="213" spans="1:12">
      <c r="A213" s="1140"/>
      <c r="B213" s="294"/>
      <c r="D213" s="681"/>
      <c r="E213" s="1026"/>
      <c r="F213" s="294"/>
      <c r="G213" s="243">
        <f>B215+B216+B227+B206</f>
        <v>-37110762.169999905</v>
      </c>
    </row>
    <row r="214" spans="1:12">
      <c r="A214" s="681" t="s">
        <v>1162</v>
      </c>
      <c r="B214" s="294">
        <f>(IFERROR(VLOOKUP(D214,obrotówka!$A$3:$J$1600,8,0),0))</f>
        <v>0</v>
      </c>
      <c r="C214" s="1047"/>
      <c r="D214" s="681" t="s">
        <v>149</v>
      </c>
      <c r="E214" s="1026"/>
      <c r="F214" s="294">
        <v>0</v>
      </c>
      <c r="G214" s="252">
        <f>G213+G212</f>
        <v>0</v>
      </c>
    </row>
    <row r="215" spans="1:12">
      <c r="A215" s="681" t="s">
        <v>2836</v>
      </c>
      <c r="B215" s="294">
        <f>(IFERROR(VLOOKUP(D215,obrotówka!$A$3:$J$1600,9,0),0))</f>
        <v>-28881.63</v>
      </c>
      <c r="C215" s="1047"/>
      <c r="D215" s="681" t="s">
        <v>2838</v>
      </c>
      <c r="E215" s="1026"/>
      <c r="F215" s="294">
        <v>-28881.63</v>
      </c>
    </row>
    <row r="216" spans="1:12">
      <c r="A216" s="681" t="s">
        <v>1163</v>
      </c>
      <c r="B216" s="294">
        <f>(IFERROR(VLOOKUP(D216,obrotówka!$A$3:$J$1600,9,0),0))</f>
        <v>-36775116.259999901</v>
      </c>
      <c r="C216" s="1047"/>
      <c r="D216" s="681" t="s">
        <v>154</v>
      </c>
      <c r="E216" s="1026"/>
      <c r="F216" s="294">
        <v>-37129401.590000004</v>
      </c>
    </row>
    <row r="217" spans="1:12">
      <c r="A217" s="681" t="s">
        <v>1164</v>
      </c>
      <c r="B217" s="294">
        <f>(IFERROR(VLOOKUP(D217,obrotówka!$A$3:$J$1600,9,0),0))</f>
        <v>0</v>
      </c>
      <c r="C217" s="1047"/>
      <c r="D217" s="681" t="s">
        <v>156</v>
      </c>
      <c r="E217" s="1026"/>
      <c r="F217" s="294">
        <v>0</v>
      </c>
    </row>
    <row r="218" spans="1:12">
      <c r="A218" s="681" t="s">
        <v>1165</v>
      </c>
      <c r="B218" s="294">
        <f>(IFERROR(VLOOKUP(D218,obrotówka!$A$3:$J$1600,8,0),0))</f>
        <v>0</v>
      </c>
      <c r="C218" s="1047"/>
      <c r="D218" s="681" t="s">
        <v>220</v>
      </c>
      <c r="E218" s="1026"/>
      <c r="F218" s="294">
        <v>0</v>
      </c>
    </row>
    <row r="219" spans="1:12">
      <c r="A219" s="681"/>
      <c r="B219" s="294"/>
      <c r="C219" s="1047"/>
      <c r="D219" s="681"/>
      <c r="E219" s="1026"/>
      <c r="F219" s="294"/>
    </row>
    <row r="220" spans="1:12">
      <c r="A220" s="1161" t="s">
        <v>3789</v>
      </c>
      <c r="B220" s="297"/>
      <c r="C220" s="1047"/>
      <c r="D220" s="681" t="s">
        <v>280</v>
      </c>
      <c r="E220" s="1026"/>
      <c r="F220" s="294">
        <v>120</v>
      </c>
    </row>
    <row r="221" spans="1:12">
      <c r="A221" s="681" t="s">
        <v>1166</v>
      </c>
      <c r="B221" s="294">
        <f>(IFERROR(VLOOKUP(D221,obrotówka!$A$3:$J$1600,8,0),0))</f>
        <v>0</v>
      </c>
      <c r="C221" s="1047"/>
      <c r="D221" s="681" t="s">
        <v>282</v>
      </c>
      <c r="E221" s="1026"/>
      <c r="F221" s="294">
        <v>232.3</v>
      </c>
    </row>
    <row r="222" spans="1:12">
      <c r="A222" s="681" t="s">
        <v>1167</v>
      </c>
      <c r="B222" s="294">
        <f>(IFERROR(VLOOKUP(D222,obrotówka!$A$3:$J$1600,8,0),0))</f>
        <v>0</v>
      </c>
      <c r="C222" s="1047"/>
      <c r="D222" s="681" t="s">
        <v>283</v>
      </c>
      <c r="E222" s="1026"/>
      <c r="F222" s="294">
        <v>0</v>
      </c>
    </row>
    <row r="223" spans="1:12">
      <c r="A223" s="681" t="s">
        <v>1168</v>
      </c>
      <c r="B223" s="294">
        <f>(IFERROR(VLOOKUP(D223,obrotówka!$A$3:$J$1600,8,0),0))</f>
        <v>0</v>
      </c>
      <c r="C223" s="1047"/>
      <c r="D223" s="681" t="s">
        <v>284</v>
      </c>
      <c r="E223" s="1026"/>
      <c r="F223" s="294">
        <v>0</v>
      </c>
    </row>
    <row r="224" spans="1:12">
      <c r="A224" s="681" t="s">
        <v>1169</v>
      </c>
      <c r="B224" s="294">
        <f>(IFERROR(VLOOKUP(D224,obrotówka!$A$3:$J$1600,8,0),0))</f>
        <v>0</v>
      </c>
      <c r="C224" s="1047"/>
      <c r="D224" s="681" t="s">
        <v>288</v>
      </c>
      <c r="E224" s="1026"/>
      <c r="F224" s="294">
        <v>0</v>
      </c>
    </row>
    <row r="225" spans="1:6">
      <c r="A225" s="681" t="s">
        <v>1170</v>
      </c>
      <c r="B225" s="294">
        <f>(IFERROR(VLOOKUP(D225,obrotówka!$A$3:$J$1600,8,0),0))</f>
        <v>21132.61</v>
      </c>
      <c r="C225" s="1047"/>
      <c r="D225" s="681" t="s">
        <v>290</v>
      </c>
      <c r="E225" s="1026"/>
      <c r="F225" s="294">
        <v>21132.61</v>
      </c>
    </row>
    <row r="226" spans="1:6">
      <c r="A226" s="681" t="s">
        <v>1171</v>
      </c>
      <c r="B226" s="294">
        <f>(IFERROR(VLOOKUP(D226,obrotówka!$A$3:$J$1600,8,0),0))</f>
        <v>28881.63</v>
      </c>
      <c r="C226" s="1047"/>
      <c r="D226" s="681" t="s">
        <v>292</v>
      </c>
      <c r="E226" s="1026"/>
      <c r="F226" s="294">
        <v>28881.63</v>
      </c>
    </row>
    <row r="227" spans="1:6">
      <c r="A227" s="681" t="s">
        <v>1172</v>
      </c>
      <c r="B227" s="294">
        <f>(IFERROR(VLOOKUP(D227,obrotówka!$A$3:$J$1600,9,0),0))</f>
        <v>-21132.61</v>
      </c>
      <c r="C227" s="1047"/>
      <c r="D227" s="681" t="s">
        <v>294</v>
      </c>
      <c r="E227" s="1026"/>
      <c r="F227" s="294">
        <v>-21132.61</v>
      </c>
    </row>
    <row r="228" spans="1:6">
      <c r="A228" s="681" t="s">
        <v>1173</v>
      </c>
      <c r="B228" s="294">
        <f>(IFERROR(VLOOKUP(D228,obrotówka!$A$3:$J$1600,9,0),0))</f>
        <v>0</v>
      </c>
      <c r="C228" s="1047"/>
      <c r="D228" s="681" t="s">
        <v>296</v>
      </c>
      <c r="E228" s="1026"/>
      <c r="F228" s="294">
        <v>0</v>
      </c>
    </row>
    <row r="229" spans="1:6">
      <c r="A229" s="1131" t="s">
        <v>1174</v>
      </c>
      <c r="B229" s="1112">
        <f>B230+B281</f>
        <v>2606199.5899999985</v>
      </c>
      <c r="C229" s="1113"/>
      <c r="F229" s="1112">
        <v>1776090.8399999999</v>
      </c>
    </row>
    <row r="230" spans="1:6">
      <c r="A230" s="1138" t="s">
        <v>1175</v>
      </c>
      <c r="B230" s="1115">
        <f>B231+B236+B238+B240+B242+B244+B276</f>
        <v>1001788.8900000082</v>
      </c>
      <c r="F230" s="1115">
        <v>156472.20000001005</v>
      </c>
    </row>
    <row r="231" spans="1:6">
      <c r="A231" s="1130" t="s">
        <v>1176</v>
      </c>
      <c r="B231" s="1117">
        <f>SUM(B232:B235)</f>
        <v>83106.159999999785</v>
      </c>
      <c r="C231" s="1160" t="s">
        <v>3788</v>
      </c>
      <c r="F231" s="1117">
        <v>61437.270000000004</v>
      </c>
    </row>
    <row r="232" spans="1:6">
      <c r="A232" s="681" t="s">
        <v>1177</v>
      </c>
      <c r="B232" s="294">
        <f>(IFERROR(VLOOKUP(D232,obrotówka!$A$3:$J$1600,8,0),0))</f>
        <v>9547.2299999999905</v>
      </c>
      <c r="C232" s="1047"/>
      <c r="D232" s="681" t="s">
        <v>715</v>
      </c>
      <c r="E232" s="1026"/>
      <c r="F232" s="294">
        <v>0</v>
      </c>
    </row>
    <row r="233" spans="1:6">
      <c r="A233" s="681" t="s">
        <v>1178</v>
      </c>
      <c r="B233" s="294">
        <f>(IFERROR(VLOOKUP(D233,obrotówka!$A$3:$J$1600,8,0),0))</f>
        <v>47350.279999999897</v>
      </c>
      <c r="C233" s="1047"/>
      <c r="D233" s="681" t="s">
        <v>717</v>
      </c>
      <c r="E233" s="1026"/>
      <c r="F233" s="294">
        <v>49998.32</v>
      </c>
    </row>
    <row r="234" spans="1:6">
      <c r="A234" s="681" t="s">
        <v>1179</v>
      </c>
      <c r="B234" s="294">
        <f>(IFERROR(VLOOKUP(D234,obrotówka!$A$3:$J$1600,8,0),0))</f>
        <v>10026.44</v>
      </c>
      <c r="C234" s="1047"/>
      <c r="D234" s="681" t="s">
        <v>719</v>
      </c>
      <c r="E234" s="1026"/>
      <c r="F234" s="294">
        <v>0</v>
      </c>
    </row>
    <row r="235" spans="1:6">
      <c r="A235" s="681" t="s">
        <v>1180</v>
      </c>
      <c r="B235" s="294">
        <f>(IFERROR(VLOOKUP(D235,obrotówka!$A$3:$J$1600,8,0),0))</f>
        <v>16182.209999999901</v>
      </c>
      <c r="C235" s="1047"/>
      <c r="D235" s="681" t="s">
        <v>721</v>
      </c>
      <c r="E235" s="1026"/>
      <c r="F235" s="294">
        <v>11438.95</v>
      </c>
    </row>
    <row r="236" spans="1:6">
      <c r="A236" s="1130" t="s">
        <v>1181</v>
      </c>
      <c r="B236" s="1117">
        <f>B237</f>
        <v>49342.18</v>
      </c>
      <c r="C236" s="1159"/>
      <c r="F236" s="1117">
        <v>65996.399999999907</v>
      </c>
    </row>
    <row r="237" spans="1:6">
      <c r="A237" s="681" t="s">
        <v>1182</v>
      </c>
      <c r="B237" s="294">
        <f>(IFERROR(VLOOKUP(D237,obrotówka!$A$3:$J$1600,8,0),0))</f>
        <v>49342.18</v>
      </c>
      <c r="C237" s="1047"/>
      <c r="D237" s="681" t="s">
        <v>722</v>
      </c>
      <c r="E237" s="1026"/>
      <c r="F237" s="294">
        <v>65996.399999999907</v>
      </c>
    </row>
    <row r="238" spans="1:6">
      <c r="A238" s="1130" t="s">
        <v>1183</v>
      </c>
      <c r="B238" s="1117">
        <f>B239</f>
        <v>6252.9799999999896</v>
      </c>
      <c r="C238" s="1159"/>
      <c r="F238" s="1117">
        <v>7789.17</v>
      </c>
    </row>
    <row r="239" spans="1:6">
      <c r="A239" s="681" t="s">
        <v>1184</v>
      </c>
      <c r="B239" s="294">
        <f>(IFERROR(VLOOKUP(D239,obrotówka!$A$3:$J$1600,8,0),0))</f>
        <v>6252.9799999999896</v>
      </c>
      <c r="C239" s="1047"/>
      <c r="D239" s="681" t="s">
        <v>726</v>
      </c>
      <c r="E239" s="1026"/>
      <c r="F239" s="294">
        <v>7789.17</v>
      </c>
    </row>
    <row r="240" spans="1:6">
      <c r="A240" s="1130" t="s">
        <v>1185</v>
      </c>
      <c r="B240" s="1117">
        <f>B241</f>
        <v>0</v>
      </c>
      <c r="F240" s="1117">
        <v>0</v>
      </c>
    </row>
    <row r="241" spans="1:6">
      <c r="A241" s="681" t="s">
        <v>1186</v>
      </c>
      <c r="B241" s="294">
        <f>(IFERROR(VLOOKUP(D241,obrotówka!$A$3:$J$1600,8,0),0))</f>
        <v>0</v>
      </c>
      <c r="C241" s="1052"/>
      <c r="D241" s="681" t="s">
        <v>728</v>
      </c>
      <c r="E241" s="1026"/>
      <c r="F241" s="294">
        <v>0</v>
      </c>
    </row>
    <row r="242" spans="1:6">
      <c r="A242" s="1130" t="s">
        <v>1187</v>
      </c>
      <c r="B242" s="1117">
        <f>B243</f>
        <v>0</v>
      </c>
      <c r="F242" s="1117">
        <v>0</v>
      </c>
    </row>
    <row r="243" spans="1:6">
      <c r="A243" s="681" t="s">
        <v>1188</v>
      </c>
      <c r="B243" s="294">
        <f>(IFERROR(VLOOKUP(D243,obrotówka!$A$3:$J$1600,8,0),0))</f>
        <v>0</v>
      </c>
      <c r="C243" s="1047"/>
      <c r="D243" s="681" t="s">
        <v>1398</v>
      </c>
      <c r="E243" s="1026"/>
      <c r="F243" s="294">
        <v>0</v>
      </c>
    </row>
    <row r="244" spans="1:6">
      <c r="A244" s="1130" t="s">
        <v>1189</v>
      </c>
      <c r="B244" s="1117">
        <f>IF(SUM(B245:B275)&gt;0,SUM(B245:B275),0)</f>
        <v>830563.31000000855</v>
      </c>
      <c r="F244" s="1117">
        <v>13484.880000010162</v>
      </c>
    </row>
    <row r="245" spans="1:6">
      <c r="A245" s="681" t="s">
        <v>95</v>
      </c>
      <c r="B245" s="294">
        <f>(IFERROR(VLOOKUP(D245,obrotówka!$A$3:$J$1600,10,0),0))</f>
        <v>0</v>
      </c>
      <c r="C245" s="1047"/>
      <c r="D245" s="681" t="s">
        <v>94</v>
      </c>
      <c r="E245" s="1026"/>
      <c r="F245" s="294">
        <v>0</v>
      </c>
    </row>
    <row r="246" spans="1:6">
      <c r="A246" s="681" t="s">
        <v>1190</v>
      </c>
      <c r="B246" s="294">
        <f>(IFERROR(VLOOKUP(D246,obrotówka!$A$3:$J$1600,10,0),0))</f>
        <v>384891.38</v>
      </c>
      <c r="C246" s="1047"/>
      <c r="D246" s="681" t="s">
        <v>96</v>
      </c>
      <c r="E246" s="1026"/>
      <c r="F246" s="294">
        <v>23676.5999999999</v>
      </c>
    </row>
    <row r="247" spans="1:6">
      <c r="A247" s="681" t="s">
        <v>1190</v>
      </c>
      <c r="B247" s="294">
        <f>(IFERROR(VLOOKUP(D247,obrotówka!$A$3:$J$1600,10,0),0))</f>
        <v>240238.609999999</v>
      </c>
      <c r="C247" s="1047"/>
      <c r="D247" s="681" t="s">
        <v>98</v>
      </c>
      <c r="E247" s="1026"/>
      <c r="F247" s="294">
        <v>2049.8099999999899</v>
      </c>
    </row>
    <row r="248" spans="1:6">
      <c r="A248" s="681" t="s">
        <v>1191</v>
      </c>
      <c r="B248" s="294">
        <f>(IFERROR(VLOOKUP(D248,obrotówka!$A$3:$J$1600,10,0),0))</f>
        <v>0</v>
      </c>
      <c r="C248" s="1047"/>
      <c r="D248" s="681" t="s">
        <v>99</v>
      </c>
      <c r="E248" s="1026"/>
      <c r="F248" s="294">
        <v>0</v>
      </c>
    </row>
    <row r="249" spans="1:6">
      <c r="A249" s="681" t="s">
        <v>1190</v>
      </c>
      <c r="B249" s="294">
        <f>(IFERROR(VLOOKUP(D249,obrotówka!$A$3:$J$1600,10,0),0))</f>
        <v>2450751.4500000002</v>
      </c>
      <c r="C249" s="1047"/>
      <c r="D249" s="681" t="s">
        <v>2842</v>
      </c>
      <c r="E249" s="1026"/>
      <c r="F249" s="294">
        <v>1178873.21</v>
      </c>
    </row>
    <row r="250" spans="1:6">
      <c r="A250" s="681" t="s">
        <v>264</v>
      </c>
      <c r="B250" s="294">
        <f>(IFERROR(VLOOKUP(D250,obrotówka!$A$3:$J$1600,10,0),0))</f>
        <v>0</v>
      </c>
      <c r="C250" s="1047"/>
      <c r="D250" s="681" t="s">
        <v>263</v>
      </c>
      <c r="E250" s="1026"/>
      <c r="F250" s="294">
        <v>12335</v>
      </c>
    </row>
    <row r="251" spans="1:6">
      <c r="A251" s="681" t="s">
        <v>1193</v>
      </c>
      <c r="B251" s="294">
        <f>(IFERROR(VLOOKUP(D251,obrotówka!$A$3:$J$1600,10,0),0))</f>
        <v>0</v>
      </c>
      <c r="C251" s="1047"/>
      <c r="D251" s="681" t="s">
        <v>1399</v>
      </c>
      <c r="E251" s="1026"/>
      <c r="F251" s="294">
        <v>0</v>
      </c>
    </row>
    <row r="252" spans="1:6">
      <c r="A252" s="681" t="s">
        <v>1194</v>
      </c>
      <c r="B252" s="294">
        <f>(IFERROR(VLOOKUP(D252,obrotówka!$A$3:$J$1600,10,0),0))</f>
        <v>259301.87</v>
      </c>
      <c r="C252" s="1047"/>
      <c r="D252" s="681" t="s">
        <v>265</v>
      </c>
      <c r="E252" s="1026"/>
      <c r="F252" s="294">
        <v>291252.90000000002</v>
      </c>
    </row>
    <row r="253" spans="1:6">
      <c r="A253" s="681" t="s">
        <v>1195</v>
      </c>
      <c r="B253" s="294">
        <f>(IFERROR(VLOOKUP(D253,obrotówka!$A$3:$J$1600,10,0),0))</f>
        <v>0</v>
      </c>
      <c r="C253" s="1047"/>
      <c r="D253" s="681" t="s">
        <v>267</v>
      </c>
      <c r="E253" s="1026"/>
      <c r="F253" s="294">
        <v>0</v>
      </c>
    </row>
    <row r="254" spans="1:6">
      <c r="A254" s="681" t="s">
        <v>1196</v>
      </c>
      <c r="B254" s="294">
        <f>(IFERROR(VLOOKUP(D254,obrotówka!$A$3:$J$1600,10,0),0))</f>
        <v>0</v>
      </c>
      <c r="C254" s="1047"/>
      <c r="D254" s="681" t="s">
        <v>269</v>
      </c>
      <c r="E254" s="1026"/>
      <c r="F254" s="294">
        <v>0</v>
      </c>
    </row>
    <row r="255" spans="1:6">
      <c r="A255" s="681" t="s">
        <v>1197</v>
      </c>
      <c r="B255" s="294">
        <f>(IFERROR(VLOOKUP(D255,obrotówka!$A$3:$J$1600,10,0),0))</f>
        <v>0</v>
      </c>
      <c r="C255" s="1047"/>
      <c r="D255" s="681" t="s">
        <v>271</v>
      </c>
      <c r="E255" s="1026"/>
      <c r="F255" s="294">
        <v>0</v>
      </c>
    </row>
    <row r="256" spans="1:6">
      <c r="A256" s="681" t="s">
        <v>1198</v>
      </c>
      <c r="B256" s="294">
        <f>(IFERROR(VLOOKUP(D256,obrotówka!$A$3:$J$1600,10,0),0))</f>
        <v>0</v>
      </c>
      <c r="C256" s="1047"/>
      <c r="D256" s="681" t="s">
        <v>338</v>
      </c>
      <c r="E256" s="1026"/>
      <c r="F256" s="294">
        <v>970</v>
      </c>
    </row>
    <row r="257" spans="1:6">
      <c r="A257" s="681" t="s">
        <v>1199</v>
      </c>
      <c r="B257" s="294">
        <f>(IFERROR(VLOOKUP(D257,obrotówka!$A$3:$J$1600,10,0),0))</f>
        <v>828682.94999999902</v>
      </c>
      <c r="C257" s="1047"/>
      <c r="D257" s="681" t="s">
        <v>732</v>
      </c>
      <c r="E257" s="1026"/>
      <c r="F257" s="294">
        <v>0</v>
      </c>
    </row>
    <row r="258" spans="1:6">
      <c r="A258" s="681" t="s">
        <v>1200</v>
      </c>
      <c r="B258" s="294">
        <f>(IFERROR(VLOOKUP(D258,obrotówka!$A$3:$J$1600,10,0),0))</f>
        <v>-1495672.6399999899</v>
      </c>
      <c r="C258" s="1047"/>
      <c r="D258" s="681" t="s">
        <v>897</v>
      </c>
      <c r="E258" s="1026"/>
      <c r="F258" s="294">
        <v>-1048898.4399999899</v>
      </c>
    </row>
    <row r="259" spans="1:6">
      <c r="A259" s="681" t="s">
        <v>1201</v>
      </c>
      <c r="B259" s="294">
        <f>(IFERROR(VLOOKUP(D259,obrotówka!$A$3:$J$1600,10,0),0))</f>
        <v>-3314732.24</v>
      </c>
      <c r="C259" s="1047"/>
      <c r="D259" s="681" t="s">
        <v>899</v>
      </c>
      <c r="E259" s="1026"/>
      <c r="F259" s="294">
        <v>-3084622.33</v>
      </c>
    </row>
    <row r="260" spans="1:6">
      <c r="A260" s="681" t="s">
        <v>1202</v>
      </c>
      <c r="B260" s="294">
        <f>(IFERROR(VLOOKUP(D260,obrotówka!$A$3:$J$1600,10,0),0))</f>
        <v>-34537.15</v>
      </c>
      <c r="C260" s="1047"/>
      <c r="D260" s="681" t="s">
        <v>901</v>
      </c>
      <c r="E260" s="1026"/>
      <c r="F260" s="294">
        <v>-43438.339999999902</v>
      </c>
    </row>
    <row r="261" spans="1:6">
      <c r="A261" s="681" t="s">
        <v>1203</v>
      </c>
      <c r="B261" s="294">
        <f>(IFERROR(VLOOKUP(D261,obrotówka!$A$3:$J$1600,10,0),0))</f>
        <v>-2688.4</v>
      </c>
      <c r="C261" s="1047"/>
      <c r="D261" s="681" t="s">
        <v>1400</v>
      </c>
      <c r="E261" s="1026"/>
      <c r="F261" s="294">
        <v>-2484</v>
      </c>
    </row>
    <row r="262" spans="1:6">
      <c r="A262" s="681" t="s">
        <v>1204</v>
      </c>
      <c r="B262" s="294">
        <f>(IFERROR(VLOOKUP(D262,obrotówka!$A$3:$J$1600,10,0),0))</f>
        <v>-9610.3199999999906</v>
      </c>
      <c r="C262" s="1047"/>
      <c r="D262" s="681" t="s">
        <v>902</v>
      </c>
      <c r="E262" s="1026"/>
      <c r="F262" s="294">
        <v>-4807.13</v>
      </c>
    </row>
    <row r="263" spans="1:6">
      <c r="A263" s="1134" t="s">
        <v>1231</v>
      </c>
      <c r="B263" s="294">
        <f>(IFERROR(VLOOKUP(D263,obrotówka!$A$3:$J$1600,10,0),0))</f>
        <v>0</v>
      </c>
      <c r="C263" s="1047"/>
      <c r="D263" s="1134" t="s">
        <v>302</v>
      </c>
      <c r="E263" s="1026"/>
      <c r="F263" s="294">
        <v>0</v>
      </c>
    </row>
    <row r="264" spans="1:6">
      <c r="A264" s="681" t="s">
        <v>1205</v>
      </c>
      <c r="B264" s="294">
        <f>(IFERROR(VLOOKUP(D264,obrotówka!$A$3:$J$1600,10,0),0))</f>
        <v>63724.44</v>
      </c>
      <c r="C264" s="1047"/>
      <c r="D264" s="681" t="s">
        <v>904</v>
      </c>
      <c r="E264" s="1026"/>
      <c r="F264" s="294">
        <v>50157.8</v>
      </c>
    </row>
    <row r="265" spans="1:6">
      <c r="A265" s="681" t="s">
        <v>1206</v>
      </c>
      <c r="B265" s="294">
        <f>(IFERROR(VLOOKUP(D265,obrotówka!$A$3:$J$1600,10,0),0))</f>
        <v>63288.489999999903</v>
      </c>
      <c r="C265" s="1047"/>
      <c r="D265" s="681" t="s">
        <v>905</v>
      </c>
      <c r="E265" s="1026"/>
      <c r="F265" s="294">
        <v>57184.51</v>
      </c>
    </row>
    <row r="266" spans="1:6">
      <c r="A266" s="681" t="s">
        <v>1207</v>
      </c>
      <c r="B266" s="294">
        <f>(IFERROR(VLOOKUP(D266,obrotówka!$A$3:$J$1600,10,0),0))</f>
        <v>39920.33</v>
      </c>
      <c r="C266" s="1047"/>
      <c r="D266" s="681" t="s">
        <v>906</v>
      </c>
      <c r="E266" s="1026"/>
      <c r="F266" s="294">
        <v>47600.79</v>
      </c>
    </row>
    <row r="267" spans="1:6">
      <c r="A267" s="681" t="s">
        <v>1208</v>
      </c>
      <c r="B267" s="294">
        <f>(IFERROR(VLOOKUP(D267,obrotówka!$A$3:$J$1600,10,0),0))</f>
        <v>1288500</v>
      </c>
      <c r="C267" s="1047"/>
      <c r="D267" s="681" t="s">
        <v>907</v>
      </c>
      <c r="E267" s="1026"/>
      <c r="F267" s="294">
        <v>1166500</v>
      </c>
    </row>
    <row r="268" spans="1:6">
      <c r="A268" s="681" t="s">
        <v>3455</v>
      </c>
      <c r="B268" s="294">
        <f>(IFERROR(VLOOKUP(D268,obrotówka!$A$3:$J$1600,10,0),0))</f>
        <v>0</v>
      </c>
      <c r="C268" s="1047"/>
      <c r="D268" s="681" t="s">
        <v>1796</v>
      </c>
      <c r="E268" s="1026"/>
      <c r="F268" s="294">
        <v>3705.28</v>
      </c>
    </row>
    <row r="269" spans="1:6">
      <c r="A269" s="681" t="s">
        <v>1209</v>
      </c>
      <c r="B269" s="294">
        <f>(IFERROR(VLOOKUP(D269,obrotówka!$A$3:$J$1600,10,0),0))</f>
        <v>12471.74</v>
      </c>
      <c r="C269" s="1047"/>
      <c r="D269" s="681" t="s">
        <v>1401</v>
      </c>
      <c r="E269" s="1026"/>
      <c r="F269" s="294">
        <v>12060</v>
      </c>
    </row>
    <row r="270" spans="1:6">
      <c r="A270" s="681" t="s">
        <v>1210</v>
      </c>
      <c r="B270" s="294">
        <f>(IFERROR(VLOOKUP(D270,obrotówka!$A$3:$J$1600,10,0),0))</f>
        <v>20100</v>
      </c>
      <c r="C270" s="1047"/>
      <c r="D270" s="681" t="s">
        <v>909</v>
      </c>
      <c r="E270" s="1026"/>
      <c r="F270" s="294">
        <v>1299848</v>
      </c>
    </row>
    <row r="271" spans="1:6">
      <c r="A271" s="681" t="s">
        <v>1211</v>
      </c>
      <c r="B271" s="294">
        <f>(IFERROR(VLOOKUP(D271,obrotówka!$A$3:$J$1600,10,0),0))</f>
        <v>0</v>
      </c>
      <c r="C271" s="1047"/>
      <c r="D271" s="681" t="s">
        <v>1402</v>
      </c>
      <c r="E271" s="1026"/>
      <c r="F271" s="294">
        <v>0</v>
      </c>
    </row>
    <row r="272" spans="1:6">
      <c r="A272" s="681" t="s">
        <v>1212</v>
      </c>
      <c r="B272" s="294">
        <f>(IFERROR(VLOOKUP(D272,obrotówka!$A$3:$J$1600,10,0),0))</f>
        <v>31432.799999999901</v>
      </c>
      <c r="C272" s="1047"/>
      <c r="D272" s="681" t="s">
        <v>911</v>
      </c>
      <c r="E272" s="1026"/>
      <c r="F272" s="294">
        <v>28721.22</v>
      </c>
    </row>
    <row r="273" spans="1:6">
      <c r="A273" s="681" t="s">
        <v>1213</v>
      </c>
      <c r="B273" s="294">
        <f>(IFERROR(VLOOKUP(D273,obrotówka!$A$3:$J$1600,10,0),0))</f>
        <v>4500</v>
      </c>
      <c r="C273" s="1047"/>
      <c r="D273" s="681" t="s">
        <v>912</v>
      </c>
      <c r="E273" s="1026"/>
      <c r="F273" s="294">
        <v>22800</v>
      </c>
    </row>
    <row r="274" spans="1:6">
      <c r="A274" s="681" t="s">
        <v>3456</v>
      </c>
      <c r="B274" s="294">
        <f>(IFERROR(VLOOKUP(D274,obrotówka!$A$3:$J$1600,10,0),0))</f>
        <v>0</v>
      </c>
      <c r="C274" s="1047"/>
      <c r="D274" s="681" t="s">
        <v>3454</v>
      </c>
      <c r="E274" s="1026"/>
      <c r="F274" s="294">
        <v>0</v>
      </c>
    </row>
    <row r="275" spans="1:6">
      <c r="A275" s="681" t="s">
        <v>1214</v>
      </c>
      <c r="B275" s="294">
        <f>(IFERROR(VLOOKUP(D275,obrotówka!$A$3:$J$1600,10,0),0))</f>
        <v>0</v>
      </c>
      <c r="C275" s="1047"/>
      <c r="D275" s="681" t="s">
        <v>1403</v>
      </c>
      <c r="E275" s="1026"/>
      <c r="F275" s="294">
        <v>0</v>
      </c>
    </row>
    <row r="276" spans="1:6">
      <c r="A276" s="1130" t="s">
        <v>1215</v>
      </c>
      <c r="B276" s="1117">
        <f>SUM(B277:B280)</f>
        <v>32524.2599999999</v>
      </c>
      <c r="C276" s="1159"/>
      <c r="F276" s="1117">
        <v>7764.4799999999896</v>
      </c>
    </row>
    <row r="277" spans="1:6">
      <c r="A277" s="681" t="s">
        <v>1216</v>
      </c>
      <c r="B277" s="294">
        <f>(IFERROR(VLOOKUP(D277,obrotówka!$A$3:$J$1600,10,0),0))</f>
        <v>0</v>
      </c>
      <c r="C277" s="1047"/>
      <c r="D277" s="681" t="s">
        <v>724</v>
      </c>
      <c r="E277" s="1026"/>
      <c r="F277" s="294">
        <v>0</v>
      </c>
    </row>
    <row r="278" spans="1:6">
      <c r="A278" s="681" t="s">
        <v>1217</v>
      </c>
      <c r="B278" s="294">
        <f>(IFERROR(VLOOKUP(D278,obrotówka!$A$3:$J$1600,10,0),0))</f>
        <v>7749.75</v>
      </c>
      <c r="C278" s="1047"/>
      <c r="D278" s="681" t="s">
        <v>730</v>
      </c>
      <c r="E278" s="1026"/>
      <c r="F278" s="294">
        <v>0</v>
      </c>
    </row>
    <row r="279" spans="1:6">
      <c r="A279" s="681" t="s">
        <v>2515</v>
      </c>
      <c r="B279" s="294">
        <f>(IFERROR(VLOOKUP(D279,obrotówka!$A$3:$J$1600,10,0),0))</f>
        <v>0</v>
      </c>
      <c r="C279" s="1047"/>
      <c r="D279" s="681" t="s">
        <v>2514</v>
      </c>
      <c r="E279" s="1026"/>
      <c r="F279" s="294">
        <v>0</v>
      </c>
    </row>
    <row r="280" spans="1:6">
      <c r="A280" s="681" t="s">
        <v>1218</v>
      </c>
      <c r="B280" s="294">
        <f>(IFERROR(VLOOKUP(D280,obrotówka!$A$3:$J$1600,10,0),0))</f>
        <v>24774.5099999999</v>
      </c>
      <c r="C280" s="1047"/>
      <c r="D280" s="681" t="s">
        <v>734</v>
      </c>
      <c r="E280" s="1026"/>
      <c r="F280" s="294">
        <v>7764.4799999999896</v>
      </c>
    </row>
    <row r="281" spans="1:6">
      <c r="A281" s="1138" t="s">
        <v>1219</v>
      </c>
      <c r="B281" s="1115">
        <f>B282+B288+B292+B284+B286</f>
        <v>1604410.6999999902</v>
      </c>
      <c r="F281" s="1115">
        <v>1619618.6399999899</v>
      </c>
    </row>
    <row r="282" spans="1:6">
      <c r="A282" s="1116" t="s">
        <v>1220</v>
      </c>
      <c r="B282" s="1117">
        <f>B283</f>
        <v>0</v>
      </c>
      <c r="F282" s="1117">
        <v>0</v>
      </c>
    </row>
    <row r="283" spans="1:6">
      <c r="A283" s="681" t="s">
        <v>1221</v>
      </c>
      <c r="B283" s="294">
        <f>(IFERROR(VLOOKUP(D283,obrotówka!$A$3:$J$1600,8,0),0))</f>
        <v>0</v>
      </c>
      <c r="C283" s="1047"/>
      <c r="D283" s="681" t="s">
        <v>2460</v>
      </c>
      <c r="E283" s="1026"/>
      <c r="F283" s="294">
        <v>0</v>
      </c>
    </row>
    <row r="284" spans="1:6">
      <c r="A284" s="1116" t="s">
        <v>3757</v>
      </c>
      <c r="B284" s="1117">
        <f>B285</f>
        <v>0</v>
      </c>
      <c r="C284" s="1047"/>
      <c r="D284" s="681"/>
      <c r="E284" s="1026"/>
      <c r="F284" s="1117">
        <v>0</v>
      </c>
    </row>
    <row r="285" spans="1:6">
      <c r="A285" s="1134" t="s">
        <v>2496</v>
      </c>
      <c r="B285" s="1060"/>
      <c r="C285" s="1047"/>
      <c r="D285" s="681"/>
      <c r="E285" s="1026"/>
      <c r="F285" s="1060"/>
    </row>
    <row r="286" spans="1:6">
      <c r="A286" s="1116" t="s">
        <v>3094</v>
      </c>
      <c r="B286" s="1117">
        <f>B287</f>
        <v>0</v>
      </c>
      <c r="C286" s="1047"/>
      <c r="D286" s="681"/>
      <c r="E286" s="1026"/>
      <c r="F286" s="1117">
        <v>0</v>
      </c>
    </row>
    <row r="287" spans="1:6">
      <c r="A287" s="681" t="s">
        <v>1351</v>
      </c>
      <c r="B287" s="294">
        <f>(IFERROR(VLOOKUP(D287,obrotówka!$A$3:$J$1600,8,0),0))</f>
        <v>0</v>
      </c>
      <c r="C287" s="1056"/>
      <c r="D287" s="681" t="s">
        <v>3089</v>
      </c>
      <c r="E287" s="1026"/>
      <c r="F287" s="294">
        <v>0</v>
      </c>
    </row>
    <row r="288" spans="1:6">
      <c r="A288" s="1116" t="s">
        <v>1222</v>
      </c>
      <c r="B288" s="1117">
        <f>B289+B291+B290</f>
        <v>24872.209999999901</v>
      </c>
      <c r="C288" s="1056" t="s">
        <v>3133</v>
      </c>
      <c r="F288" s="1117">
        <v>11426.48</v>
      </c>
    </row>
    <row r="289" spans="1:8">
      <c r="A289" s="1129" t="s">
        <v>1223</v>
      </c>
      <c r="B289" s="294">
        <f>(IFERROR(VLOOKUP(D289,obrotówka!$A$3:$J$1600,8,0),0))</f>
        <v>21599.1899999999</v>
      </c>
      <c r="D289" s="681" t="s">
        <v>133</v>
      </c>
      <c r="E289" s="1026"/>
      <c r="F289" s="294">
        <v>8153.46</v>
      </c>
    </row>
    <row r="290" spans="1:8">
      <c r="A290" s="1146" t="s">
        <v>3767</v>
      </c>
      <c r="B290" s="294">
        <f>(IFERROR(VLOOKUP(D290,obrotówka!$A$3:$J$1600,8,0),0))</f>
        <v>0</v>
      </c>
      <c r="D290" s="681" t="s">
        <v>3766</v>
      </c>
      <c r="E290" s="1026"/>
      <c r="F290" s="294">
        <v>0</v>
      </c>
    </row>
    <row r="291" spans="1:8">
      <c r="A291" s="1151" t="s">
        <v>3756</v>
      </c>
      <c r="B291" s="294">
        <f>(IFERROR(VLOOKUP(D291,obrotówka!$A$3:$J$1600,8,0),0))</f>
        <v>3273.02</v>
      </c>
      <c r="D291" s="681" t="s">
        <v>3751</v>
      </c>
      <c r="E291" s="1026"/>
      <c r="F291" s="294">
        <v>3273.02</v>
      </c>
    </row>
    <row r="292" spans="1:8">
      <c r="A292" s="1116" t="s">
        <v>1224</v>
      </c>
      <c r="B292" s="1117">
        <f>SUM(B293:B305)</f>
        <v>1579538.4899999902</v>
      </c>
      <c r="F292" s="1117">
        <v>1608192.1599999899</v>
      </c>
    </row>
    <row r="293" spans="1:8">
      <c r="A293" s="681" t="s">
        <v>1225</v>
      </c>
      <c r="B293" s="294">
        <f>(IFERROR(VLOOKUP(D293,obrotówka!$A$3:$J$1600,8,0),0))</f>
        <v>0</v>
      </c>
      <c r="C293" s="1047"/>
      <c r="D293" s="681" t="s">
        <v>143</v>
      </c>
      <c r="E293" s="1026"/>
      <c r="F293" s="294">
        <v>0</v>
      </c>
    </row>
    <row r="294" spans="1:8">
      <c r="A294" s="681" t="s">
        <v>1225</v>
      </c>
      <c r="B294" s="294">
        <f>(IFERROR(VLOOKUP(D294,obrotówka!$A$3:$J$1600,8,0),0))</f>
        <v>0</v>
      </c>
      <c r="C294" s="1047"/>
      <c r="D294" s="681" t="s">
        <v>146</v>
      </c>
      <c r="E294" s="1026"/>
      <c r="F294" s="294">
        <v>0</v>
      </c>
    </row>
    <row r="295" spans="1:8">
      <c r="A295" s="1134" t="s">
        <v>3563</v>
      </c>
      <c r="B295" s="294">
        <f>(IFERROR(VLOOKUP(D295,obrotówka!$A$3:$J$1600,10,0),0))</f>
        <v>0</v>
      </c>
      <c r="C295" s="1047"/>
      <c r="D295" s="681" t="s">
        <v>2522</v>
      </c>
      <c r="E295" s="1026"/>
      <c r="F295" s="294">
        <v>0</v>
      </c>
      <c r="G295" s="654"/>
    </row>
    <row r="296" spans="1:8">
      <c r="A296" s="681" t="s">
        <v>1226</v>
      </c>
      <c r="B296" s="294">
        <f>(IFERROR(VLOOKUP(D296,obrotówka!$A$3:$J$1600,8,0),0))</f>
        <v>0</v>
      </c>
      <c r="C296" s="1057"/>
      <c r="D296" s="681" t="s">
        <v>189</v>
      </c>
      <c r="E296" s="1026"/>
      <c r="F296" s="294">
        <v>0</v>
      </c>
      <c r="G296" s="654"/>
      <c r="H296" s="243"/>
    </row>
    <row r="297" spans="1:8">
      <c r="A297" s="681" t="s">
        <v>1227</v>
      </c>
      <c r="B297" s="294">
        <f>(IFERROR(VLOOKUP(D297,obrotówka!$A$3:$J$1600,8,0),0))</f>
        <v>0</v>
      </c>
      <c r="C297" s="1047"/>
      <c r="D297" s="681" t="s">
        <v>222</v>
      </c>
      <c r="E297" s="1026"/>
      <c r="F297" s="294">
        <v>0</v>
      </c>
      <c r="G297" s="654"/>
    </row>
    <row r="298" spans="1:8">
      <c r="A298" s="681" t="s">
        <v>1228</v>
      </c>
      <c r="B298" s="294">
        <f>(IFERROR(VLOOKUP(D298,obrotówka!$A$3:$J$1600,8,0),0))</f>
        <v>0</v>
      </c>
      <c r="C298" s="1047"/>
      <c r="D298" s="681" t="s">
        <v>224</v>
      </c>
      <c r="E298" s="1026"/>
      <c r="F298" s="294">
        <v>0</v>
      </c>
    </row>
    <row r="299" spans="1:8">
      <c r="A299" s="681" t="s">
        <v>1229</v>
      </c>
      <c r="B299" s="294">
        <f>(IFERROR(VLOOKUP(D299,obrotówka!$A$3:$J$1600,10,0),0))</f>
        <v>1172.1099999999899</v>
      </c>
      <c r="C299" s="1047"/>
      <c r="D299" s="681" t="s">
        <v>254</v>
      </c>
      <c r="E299" s="1026"/>
      <c r="F299" s="294">
        <v>0</v>
      </c>
    </row>
    <row r="300" spans="1:8">
      <c r="A300" s="681" t="s">
        <v>1230</v>
      </c>
      <c r="B300" s="294">
        <f>(IFERROR(VLOOKUP(D300,obrotówka!$A$3:$J$1600,8,0),0))</f>
        <v>0</v>
      </c>
      <c r="C300" s="1047"/>
      <c r="D300" s="681" t="s">
        <v>300</v>
      </c>
      <c r="E300" s="1026"/>
      <c r="F300" s="294">
        <v>0</v>
      </c>
    </row>
    <row r="301" spans="1:8">
      <c r="A301" s="681" t="s">
        <v>1231</v>
      </c>
      <c r="B301" s="294">
        <f>(IFERROR(VLOOKUP(D301,obrotówka!$A$3:$J$1600,8,0),0))</f>
        <v>0</v>
      </c>
      <c r="C301" s="1047"/>
      <c r="D301" s="681" t="s">
        <v>302</v>
      </c>
      <c r="E301" s="1026"/>
      <c r="F301" s="294">
        <v>0</v>
      </c>
    </row>
    <row r="302" spans="1:8">
      <c r="A302" s="681" t="s">
        <v>1232</v>
      </c>
      <c r="B302" s="294">
        <f>(IFERROR(VLOOKUP(D302,obrotówka!$A$3:$J$1600,10,0),0))</f>
        <v>-140.49</v>
      </c>
      <c r="C302" s="1047"/>
      <c r="D302" s="681" t="s">
        <v>359</v>
      </c>
      <c r="E302" s="1026"/>
      <c r="F302" s="294">
        <v>0</v>
      </c>
    </row>
    <row r="303" spans="1:8">
      <c r="A303" s="1129" t="s">
        <v>4067</v>
      </c>
      <c r="B303" s="297">
        <v>140.49</v>
      </c>
      <c r="C303" s="1047"/>
      <c r="D303" s="681"/>
      <c r="E303" s="1026"/>
      <c r="F303" s="294"/>
    </row>
    <row r="304" spans="1:8">
      <c r="A304" s="681" t="s">
        <v>1233</v>
      </c>
      <c r="B304" s="294">
        <f>(IFERROR(VLOOKUP(D304,obrotówka!$A$3:$J$1600,10,0),0))</f>
        <v>0</v>
      </c>
      <c r="C304" s="1047"/>
      <c r="D304" s="681" t="s">
        <v>361</v>
      </c>
      <c r="E304" s="1026"/>
      <c r="F304" s="294">
        <v>0</v>
      </c>
    </row>
    <row r="305" spans="1:9">
      <c r="A305" s="681" t="s">
        <v>1234</v>
      </c>
      <c r="B305" s="294">
        <f>(IFERROR(VLOOKUP(D305,obrotówka!$A$3:$J$1600,8,0),0))</f>
        <v>1578366.3799999901</v>
      </c>
      <c r="C305" s="1050" t="s">
        <v>3760</v>
      </c>
      <c r="D305" s="681" t="s">
        <v>736</v>
      </c>
      <c r="E305" s="1026"/>
      <c r="F305" s="294">
        <v>1608192.1599999899</v>
      </c>
    </row>
    <row r="306" spans="1:9">
      <c r="A306" s="1131" t="s">
        <v>1235</v>
      </c>
      <c r="B306" s="1112">
        <f>B307+B335</f>
        <v>530908.67000000016</v>
      </c>
      <c r="C306" s="1113">
        <f>B306-B318</f>
        <v>14712.420000000158</v>
      </c>
      <c r="F306" s="1112">
        <v>1351196.7300000002</v>
      </c>
    </row>
    <row r="307" spans="1:9">
      <c r="A307" s="1130" t="s">
        <v>1236</v>
      </c>
      <c r="B307" s="1117">
        <f>SUM(B308:B334)</f>
        <v>530908.67000000016</v>
      </c>
      <c r="F307" s="1117">
        <v>1351196.7300000002</v>
      </c>
    </row>
    <row r="308" spans="1:9">
      <c r="A308" s="681" t="s">
        <v>1237</v>
      </c>
      <c r="B308" s="294">
        <f>(IFERROR(VLOOKUP(D308,obrotówka!$A$3:$J$1600,8,0),0))</f>
        <v>13407.99</v>
      </c>
      <c r="C308" s="1047"/>
      <c r="D308" s="681" t="s">
        <v>68</v>
      </c>
      <c r="E308" s="1026"/>
      <c r="F308" s="294">
        <v>25189.549999999901</v>
      </c>
      <c r="H308" s="242" t="s">
        <v>3583</v>
      </c>
      <c r="I308" s="243">
        <f>B310+B312+B318+B325+B326+B327+B311+B320</f>
        <v>516208.91</v>
      </c>
    </row>
    <row r="309" spans="1:9">
      <c r="A309" s="681" t="s">
        <v>1238</v>
      </c>
      <c r="B309" s="294">
        <f>(IFERROR(VLOOKUP(D309,obrotówka!$A$3:$J$1600,8,0),0))</f>
        <v>0</v>
      </c>
      <c r="C309" s="1047"/>
      <c r="D309" s="681" t="s">
        <v>70</v>
      </c>
      <c r="E309" s="1026"/>
      <c r="F309" s="294">
        <v>0</v>
      </c>
      <c r="H309" s="242" t="s">
        <v>3584</v>
      </c>
      <c r="I309" s="243">
        <f>B316</f>
        <v>1291.77</v>
      </c>
    </row>
    <row r="310" spans="1:9">
      <c r="A310" s="681" t="s">
        <v>1239</v>
      </c>
      <c r="B310" s="294">
        <f>(IFERROR(VLOOKUP(D310,obrotówka!$A$3:$J$1600,8,0),0))</f>
        <v>0</v>
      </c>
      <c r="C310" s="1047"/>
      <c r="D310" s="681" t="s">
        <v>72</v>
      </c>
      <c r="E310" s="1026"/>
      <c r="F310" s="294">
        <v>0</v>
      </c>
      <c r="H310" s="242" t="s">
        <v>3761</v>
      </c>
      <c r="I310" s="243">
        <f>B308+B333</f>
        <v>13407.99</v>
      </c>
    </row>
    <row r="311" spans="1:9">
      <c r="A311" s="1137" t="s">
        <v>3708</v>
      </c>
      <c r="B311" s="1040">
        <f>(IFERROR(VLOOKUP(D311,obrotówka!$A$3:$J$1600,9,0),0))</f>
        <v>-0.04</v>
      </c>
      <c r="C311" s="1047"/>
      <c r="D311" s="681" t="s">
        <v>72</v>
      </c>
      <c r="E311" s="1026"/>
      <c r="F311" s="294">
        <v>0</v>
      </c>
      <c r="H311" s="242" t="s">
        <v>3961</v>
      </c>
      <c r="I311" s="243">
        <f>B321</f>
        <v>0</v>
      </c>
    </row>
    <row r="312" spans="1:9">
      <c r="A312" s="681" t="s">
        <v>1239</v>
      </c>
      <c r="B312" s="294">
        <f>(IFERROR(VLOOKUP(D312,obrotówka!$A$3:$J$1600,8,0),0))</f>
        <v>0.04</v>
      </c>
      <c r="C312" s="1047"/>
      <c r="D312" s="681" t="s">
        <v>74</v>
      </c>
      <c r="E312" s="1026"/>
      <c r="F312" s="294">
        <v>0</v>
      </c>
      <c r="I312" s="243">
        <f>I310+I309+I308+I311</f>
        <v>530908.66999999993</v>
      </c>
    </row>
    <row r="313" spans="1:9">
      <c r="A313" s="681" t="s">
        <v>1240</v>
      </c>
      <c r="B313" s="294">
        <f>(IFERROR(VLOOKUP(D313,obrotówka!$A$3:$J$1600,8,0),0))</f>
        <v>0</v>
      </c>
      <c r="C313" s="1047"/>
      <c r="D313" s="681" t="s">
        <v>75</v>
      </c>
      <c r="E313" s="1026"/>
      <c r="F313" s="294">
        <v>0</v>
      </c>
      <c r="I313" s="252">
        <f>I312-B307</f>
        <v>0</v>
      </c>
    </row>
    <row r="314" spans="1:9">
      <c r="A314" s="681" t="s">
        <v>1240</v>
      </c>
      <c r="B314" s="294">
        <f>(IFERROR(VLOOKUP(D314,obrotówka!$A$3:$J$1600,8,0),0))</f>
        <v>0</v>
      </c>
      <c r="C314" s="1047"/>
      <c r="D314" s="681" t="s">
        <v>77</v>
      </c>
      <c r="E314" s="1026"/>
      <c r="F314" s="294">
        <v>0</v>
      </c>
    </row>
    <row r="315" spans="1:9">
      <c r="A315" s="681" t="s">
        <v>1241</v>
      </c>
      <c r="B315" s="294">
        <f>(IFERROR(VLOOKUP(D315,obrotówka!$A$3:$J$1600,8,0),0))</f>
        <v>0</v>
      </c>
      <c r="C315" s="1047"/>
      <c r="D315" s="681" t="s">
        <v>78</v>
      </c>
      <c r="E315" s="1026"/>
      <c r="F315" s="294">
        <v>0</v>
      </c>
    </row>
    <row r="316" spans="1:9">
      <c r="A316" s="681" t="s">
        <v>1242</v>
      </c>
      <c r="B316" s="294">
        <f>(IFERROR(VLOOKUP(D316,obrotówka!$A$3:$J$1600,8,0),0))</f>
        <v>1291.77</v>
      </c>
      <c r="C316" s="1047"/>
      <c r="D316" s="681" t="s">
        <v>80</v>
      </c>
      <c r="E316" s="1026"/>
      <c r="F316" s="294">
        <v>2841.1999999999898</v>
      </c>
    </row>
    <row r="317" spans="1:9">
      <c r="A317" s="681" t="s">
        <v>1243</v>
      </c>
      <c r="B317" s="294">
        <f>(IFERROR(VLOOKUP(D317,obrotówka!$A$3:$J$1600,8,0),0))</f>
        <v>0</v>
      </c>
      <c r="C317" s="1047"/>
      <c r="D317" s="681" t="s">
        <v>82</v>
      </c>
      <c r="E317" s="1026"/>
      <c r="F317" s="294">
        <v>0</v>
      </c>
    </row>
    <row r="318" spans="1:9">
      <c r="A318" s="681" t="s">
        <v>1244</v>
      </c>
      <c r="B318" s="294">
        <f>(IFERROR(VLOOKUP(D318,obrotówka!$A$3:$J$1600,8,0),0))</f>
        <v>516196.25</v>
      </c>
      <c r="C318" s="1047"/>
      <c r="D318" s="681" t="s">
        <v>84</v>
      </c>
      <c r="E318" s="1026"/>
      <c r="F318" s="294">
        <v>1281527.82</v>
      </c>
    </row>
    <row r="319" spans="1:9">
      <c r="A319" s="681" t="s">
        <v>1245</v>
      </c>
      <c r="B319" s="294">
        <f>(IFERROR(VLOOKUP(D319,obrotówka!$A$3:$J$1600,8,0),0))</f>
        <v>0</v>
      </c>
      <c r="C319" s="1047"/>
      <c r="D319" s="681" t="s">
        <v>1404</v>
      </c>
      <c r="E319" s="1026"/>
      <c r="F319" s="294">
        <v>0</v>
      </c>
    </row>
    <row r="320" spans="1:9">
      <c r="A320" s="681" t="s">
        <v>1246</v>
      </c>
      <c r="B320" s="294">
        <f>(IFERROR(VLOOKUP(D320,obrotówka!$A$3:$J$1600,8,0),0))</f>
        <v>1.77</v>
      </c>
      <c r="C320" s="1047"/>
      <c r="D320" s="681" t="s">
        <v>86</v>
      </c>
      <c r="E320" s="1026"/>
      <c r="F320" s="294">
        <v>0</v>
      </c>
    </row>
    <row r="321" spans="1:6">
      <c r="A321" s="681" t="s">
        <v>1246</v>
      </c>
      <c r="B321" s="294">
        <f>(IFERROR(VLOOKUP(D321,obrotówka!$A$3:$J$1600,8,0),0))</f>
        <v>0</v>
      </c>
      <c r="C321" s="1047"/>
      <c r="D321" s="681" t="s">
        <v>3951</v>
      </c>
      <c r="E321" s="1026"/>
      <c r="F321" s="294"/>
    </row>
    <row r="322" spans="1:6">
      <c r="A322" s="681" t="s">
        <v>1192</v>
      </c>
      <c r="B322" s="294">
        <f>(IFERROR(VLOOKUP(D322,obrotówka!$A$3:$J$1600,10,0),0))</f>
        <v>0</v>
      </c>
      <c r="C322" s="1047"/>
      <c r="D322" s="681" t="s">
        <v>101</v>
      </c>
      <c r="E322" s="1026"/>
      <c r="F322" s="294">
        <v>0</v>
      </c>
    </row>
    <row r="323" spans="1:6">
      <c r="A323" s="681" t="s">
        <v>1192</v>
      </c>
      <c r="B323" s="294">
        <f>(IFERROR(VLOOKUP(D323,obrotówka!$A$3:$J$1600,10,0),0))</f>
        <v>0</v>
      </c>
      <c r="C323" s="1047"/>
      <c r="D323" s="681" t="s">
        <v>103</v>
      </c>
      <c r="E323" s="1026"/>
      <c r="F323" s="294">
        <v>0</v>
      </c>
    </row>
    <row r="324" spans="1:6">
      <c r="A324" s="681" t="s">
        <v>1247</v>
      </c>
      <c r="B324" s="294">
        <f>(IFERROR(VLOOKUP(D324,obrotówka!$A$3:$J$1600,8,0),0))</f>
        <v>0</v>
      </c>
      <c r="C324" s="1050" t="s">
        <v>3759</v>
      </c>
      <c r="D324" s="681" t="s">
        <v>88</v>
      </c>
      <c r="E324" s="1026"/>
      <c r="F324" s="294">
        <v>0</v>
      </c>
    </row>
    <row r="325" spans="1:6">
      <c r="A325" s="681" t="s">
        <v>3324</v>
      </c>
      <c r="B325" s="1640">
        <f>(IFERROR(VLOOKUP(D325,obrotówka!$A$3:$J$1600,10,0),0))</f>
        <v>15.55</v>
      </c>
      <c r="C325" s="1047">
        <f>B325+B326+B327</f>
        <v>10.89</v>
      </c>
      <c r="D325" s="681" t="s">
        <v>3323</v>
      </c>
      <c r="E325" s="1026"/>
      <c r="F325" s="294">
        <v>100349.55</v>
      </c>
    </row>
    <row r="326" spans="1:6">
      <c r="A326" s="681" t="s">
        <v>3364</v>
      </c>
      <c r="B326" s="1640">
        <f>(IFERROR(VLOOKUP(D326,obrotówka!$A$3:$J$1600,10,0),0))</f>
        <v>-4.7</v>
      </c>
      <c r="C326" s="1050" t="s">
        <v>3758</v>
      </c>
      <c r="D326" s="681" t="s">
        <v>3363</v>
      </c>
      <c r="E326" s="1026"/>
      <c r="F326" s="294">
        <v>-56470.16</v>
      </c>
    </row>
    <row r="327" spans="1:6">
      <c r="A327" s="681" t="s">
        <v>3366</v>
      </c>
      <c r="B327" s="1640">
        <f>(IFERROR(VLOOKUP(D327,obrotówka!$A$3:$J$1600,10,0),0))</f>
        <v>0.04</v>
      </c>
      <c r="C327" s="1048">
        <v>4.2691999999999997</v>
      </c>
      <c r="D327" s="681" t="s">
        <v>3365</v>
      </c>
      <c r="E327" s="1026"/>
      <c r="F327" s="294">
        <v>-2241.23</v>
      </c>
    </row>
    <row r="328" spans="1:6">
      <c r="A328" s="681" t="s">
        <v>1248</v>
      </c>
      <c r="B328" s="294">
        <f>(IFERROR(VLOOKUP(D328,obrotówka!$A$3:$J$1600,8,0),0))</f>
        <v>0</v>
      </c>
      <c r="C328" s="1050" t="s">
        <v>2756</v>
      </c>
      <c r="D328" s="681" t="s">
        <v>104</v>
      </c>
      <c r="E328" s="1026"/>
      <c r="F328" s="294">
        <v>0</v>
      </c>
    </row>
    <row r="329" spans="1:6">
      <c r="A329" s="681" t="s">
        <v>1249</v>
      </c>
      <c r="B329" s="294">
        <f>(IFERROR(VLOOKUP(D329,obrotówka!$A$3:$J$1600,8,0),0))</f>
        <v>0</v>
      </c>
      <c r="C329" s="1047">
        <f>C325/C327</f>
        <v>2.5508291951653708</v>
      </c>
      <c r="D329" s="681" t="s">
        <v>106</v>
      </c>
      <c r="E329" s="1026"/>
      <c r="F329" s="294">
        <v>0</v>
      </c>
    </row>
    <row r="330" spans="1:6">
      <c r="A330" s="681" t="s">
        <v>1250</v>
      </c>
      <c r="B330" s="294">
        <f>(IFERROR(VLOOKUP(D330,obrotówka!$A$3:$J$1600,8,0),0))</f>
        <v>0</v>
      </c>
      <c r="C330" s="1047"/>
      <c r="D330" s="681" t="s">
        <v>108</v>
      </c>
      <c r="E330" s="1026"/>
      <c r="F330" s="294">
        <v>0</v>
      </c>
    </row>
    <row r="331" spans="1:6">
      <c r="A331" s="681" t="s">
        <v>1251</v>
      </c>
      <c r="B331" s="294">
        <f>(IFERROR(VLOOKUP(D331,obrotówka!$A$3:$J$1600,8,0),0))</f>
        <v>0</v>
      </c>
      <c r="C331" s="1047"/>
      <c r="D331" s="681" t="s">
        <v>1405</v>
      </c>
      <c r="E331" s="1026"/>
      <c r="F331" s="294">
        <v>0</v>
      </c>
    </row>
    <row r="332" spans="1:6">
      <c r="A332" s="681" t="s">
        <v>1252</v>
      </c>
      <c r="B332" s="294">
        <f>(IFERROR(VLOOKUP(D332,obrotówka!$A$3:$J$1600,10,0),0))</f>
        <v>0</v>
      </c>
      <c r="C332" s="1047"/>
      <c r="D332" s="681" t="s">
        <v>112</v>
      </c>
      <c r="E332" s="1026"/>
      <c r="F332" s="294">
        <v>0</v>
      </c>
    </row>
    <row r="333" spans="1:6">
      <c r="A333" s="681" t="s">
        <v>1253</v>
      </c>
      <c r="B333" s="294">
        <f>(IFERROR(VLOOKUP(D333,obrotówka!$A$3:$J$1600,10,0),0))</f>
        <v>0</v>
      </c>
      <c r="C333" s="1047"/>
      <c r="D333" s="681" t="s">
        <v>114</v>
      </c>
      <c r="E333" s="1026"/>
      <c r="F333" s="294">
        <v>0</v>
      </c>
    </row>
    <row r="334" spans="1:6">
      <c r="A334" s="681" t="s">
        <v>1254</v>
      </c>
      <c r="B334" s="294">
        <f>(IFERROR(VLOOKUP(D334,obrotówka!$A$3:$J$1600,8,0),0))</f>
        <v>0</v>
      </c>
      <c r="C334" s="1047"/>
      <c r="D334" s="681" t="s">
        <v>115</v>
      </c>
      <c r="E334" s="1026"/>
      <c r="F334" s="294">
        <v>0</v>
      </c>
    </row>
    <row r="335" spans="1:6" s="654" customFormat="1">
      <c r="A335" s="1116" t="s">
        <v>1255</v>
      </c>
      <c r="B335" s="1117">
        <f>B336</f>
        <v>0</v>
      </c>
      <c r="C335" s="1101"/>
      <c r="D335" s="1026"/>
      <c r="E335" s="1026"/>
      <c r="F335" s="1117">
        <v>0</v>
      </c>
    </row>
    <row r="336" spans="1:6">
      <c r="A336" s="681" t="s">
        <v>1256</v>
      </c>
      <c r="B336" s="294">
        <f>(IFERROR(VLOOKUP(D336,obrotówka!$A$3:$J$1600,8,0),0))</f>
        <v>0</v>
      </c>
      <c r="C336" s="1047"/>
      <c r="D336" s="681" t="s">
        <v>90</v>
      </c>
      <c r="E336" s="1026"/>
      <c r="F336" s="294">
        <v>0</v>
      </c>
    </row>
    <row r="338" spans="1:8" ht="15.6">
      <c r="A338" s="1104" t="s">
        <v>1257</v>
      </c>
      <c r="B338" s="1105">
        <f>B339+B354+B382</f>
        <v>-72847084.919999853</v>
      </c>
      <c r="C338" s="1113"/>
      <c r="F338" s="1105">
        <v>-71722120.710000902</v>
      </c>
    </row>
    <row r="339" spans="1:8" ht="13.8">
      <c r="A339" s="1135" t="s">
        <v>1258</v>
      </c>
      <c r="B339" s="1110">
        <f>B340+B342+B344+B351</f>
        <v>-19058412.740000002</v>
      </c>
      <c r="C339" s="1113"/>
      <c r="F339" s="1110">
        <v>-11139179.950001076</v>
      </c>
    </row>
    <row r="340" spans="1:8">
      <c r="A340" s="1138" t="s">
        <v>1259</v>
      </c>
      <c r="B340" s="1115">
        <f>B341</f>
        <v>-34874500</v>
      </c>
      <c r="F340" s="1115">
        <v>-34874500</v>
      </c>
    </row>
    <row r="341" spans="1:8">
      <c r="A341" s="681" t="s">
        <v>1260</v>
      </c>
      <c r="B341" s="294">
        <f>(IFERROR(VLOOKUP(D341,obrotówka!$A$3:$J$1600,10,0),0))</f>
        <v>-34874500</v>
      </c>
      <c r="C341" s="1047"/>
      <c r="D341" s="681" t="s">
        <v>853</v>
      </c>
      <c r="E341" s="1026"/>
      <c r="F341" s="294">
        <v>-34874500</v>
      </c>
    </row>
    <row r="342" spans="1:8">
      <c r="A342" s="1138" t="s">
        <v>1261</v>
      </c>
      <c r="B342" s="1115">
        <f>B343</f>
        <v>0</v>
      </c>
      <c r="F342" s="1115">
        <v>0</v>
      </c>
    </row>
    <row r="343" spans="1:8">
      <c r="A343" s="681" t="s">
        <v>1262</v>
      </c>
      <c r="B343" s="294">
        <f>(IFERROR(VLOOKUP(D343,obrotówka!$A$3:$J$1600,10,0),0))</f>
        <v>0</v>
      </c>
      <c r="C343" s="1047"/>
      <c r="D343" s="681" t="s">
        <v>855</v>
      </c>
      <c r="E343" s="1026"/>
      <c r="F343" s="294">
        <v>0</v>
      </c>
    </row>
    <row r="344" spans="1:8">
      <c r="A344" s="1138" t="s">
        <v>1263</v>
      </c>
      <c r="B344" s="1115">
        <f>SUM(B345:B350)</f>
        <v>23735320.049999993</v>
      </c>
      <c r="F344" s="1115">
        <v>23974462.109999891</v>
      </c>
      <c r="H344" s="243"/>
    </row>
    <row r="345" spans="1:8">
      <c r="A345" s="681" t="s">
        <v>1264</v>
      </c>
      <c r="B345" s="294">
        <f>(IFERROR(VLOOKUP(D345,obrotówka!$A$3:$J$1600,10,0),0))</f>
        <v>0</v>
      </c>
      <c r="C345" s="1047"/>
      <c r="D345" s="681" t="s">
        <v>857</v>
      </c>
      <c r="E345" s="1026"/>
      <c r="F345" s="294">
        <v>0</v>
      </c>
    </row>
    <row r="346" spans="1:8">
      <c r="A346" s="681" t="s">
        <v>1265</v>
      </c>
      <c r="B346" s="294">
        <f>(IFERROR(VLOOKUP(D346,obrotówka!$A$3:$J$1600,10,0),0))</f>
        <v>22152423.800000001</v>
      </c>
      <c r="C346" s="1047"/>
      <c r="D346" s="681" t="s">
        <v>859</v>
      </c>
      <c r="E346" s="1026"/>
      <c r="F346" s="294">
        <v>22391565.859999899</v>
      </c>
    </row>
    <row r="347" spans="1:8">
      <c r="A347" s="681" t="s">
        <v>1266</v>
      </c>
      <c r="B347" s="294">
        <f>(IFERROR(VLOOKUP(D347,obrotówka!$A$3:$J$1600,10,0),0))</f>
        <v>0</v>
      </c>
      <c r="C347" s="1047"/>
      <c r="D347" s="681" t="s">
        <v>861</v>
      </c>
      <c r="E347" s="1026"/>
      <c r="F347" s="294">
        <v>0</v>
      </c>
    </row>
    <row r="348" spans="1:8">
      <c r="A348" s="681" t="s">
        <v>1267</v>
      </c>
      <c r="B348" s="294">
        <f>(IFERROR(VLOOKUP(D348,obrotówka!$A$3:$J$1600,10,0),0))</f>
        <v>2379160.1499999901</v>
      </c>
      <c r="C348" s="1047"/>
      <c r="D348" s="681" t="s">
        <v>863</v>
      </c>
      <c r="E348" s="1026"/>
      <c r="F348" s="294">
        <v>2379160.1499999901</v>
      </c>
      <c r="H348" s="243"/>
    </row>
    <row r="349" spans="1:8">
      <c r="A349" s="681" t="s">
        <v>1268</v>
      </c>
      <c r="B349" s="294">
        <f>(IFERROR(VLOOKUP(D349,obrotówka!$A$3:$J$1600,10,0),0))</f>
        <v>-371296.65999999898</v>
      </c>
      <c r="C349" s="1047"/>
      <c r="D349" s="681" t="s">
        <v>865</v>
      </c>
      <c r="E349" s="1026"/>
      <c r="F349" s="294">
        <v>-371296.65999999898</v>
      </c>
      <c r="H349" s="243"/>
    </row>
    <row r="350" spans="1:8">
      <c r="A350" s="681" t="s">
        <v>1269</v>
      </c>
      <c r="B350" s="294">
        <f>(IFERROR(VLOOKUP(D350,obrotówka!$A$3:$J$1600,10,0),0))</f>
        <v>-424967.239999999</v>
      </c>
      <c r="C350" s="1047"/>
      <c r="D350" s="681" t="s">
        <v>867</v>
      </c>
      <c r="E350" s="1026"/>
      <c r="F350" s="294">
        <v>-424967.239999999</v>
      </c>
      <c r="H350" s="243"/>
    </row>
    <row r="351" spans="1:8">
      <c r="A351" s="1138" t="s">
        <v>1270</v>
      </c>
      <c r="B351" s="1115">
        <f>B352</f>
        <v>-7919232.7899999972</v>
      </c>
      <c r="D351" s="681"/>
      <c r="E351" s="1026"/>
      <c r="F351" s="1115">
        <v>-239142.0600009663</v>
      </c>
      <c r="H351" s="243"/>
    </row>
    <row r="352" spans="1:8">
      <c r="A352" s="1116" t="s">
        <v>1271</v>
      </c>
      <c r="B352" s="1117">
        <f>B353</f>
        <v>-7919232.7899999972</v>
      </c>
      <c r="F352" s="1117">
        <v>-239142.0600009663</v>
      </c>
    </row>
    <row r="353" spans="1:12">
      <c r="B353" s="1152">
        <f>-'RZiS, koszty rodz.'!B184</f>
        <v>-7919232.7899999972</v>
      </c>
      <c r="F353" s="1152">
        <v>-239142.0600009663</v>
      </c>
    </row>
    <row r="354" spans="1:12" ht="13.8">
      <c r="A354" s="1135" t="s">
        <v>1272</v>
      </c>
      <c r="B354" s="1110">
        <f>B355+B369+B377</f>
        <v>-22080419.389999989</v>
      </c>
      <c r="C354" s="1113"/>
      <c r="F354" s="1110">
        <v>-23239843.749999981</v>
      </c>
    </row>
    <row r="355" spans="1:12">
      <c r="A355" s="1138" t="s">
        <v>1273</v>
      </c>
      <c r="B355" s="1115">
        <f>B357</f>
        <v>-6728383.5299999993</v>
      </c>
      <c r="F355" s="1115">
        <v>-6976735.3299999889</v>
      </c>
    </row>
    <row r="356" spans="1:12">
      <c r="A356" s="1153" t="s">
        <v>1999</v>
      </c>
      <c r="B356" s="1154">
        <f>B355-B357</f>
        <v>0</v>
      </c>
      <c r="F356" s="1154">
        <v>0</v>
      </c>
      <c r="G356" s="654"/>
      <c r="H356" s="654"/>
      <c r="I356" s="654"/>
      <c r="J356" s="654"/>
      <c r="K356" s="654"/>
      <c r="L356" s="654"/>
    </row>
    <row r="357" spans="1:12">
      <c r="A357" s="1130" t="s">
        <v>1274</v>
      </c>
      <c r="B357" s="1117">
        <f>B358+B365</f>
        <v>-6728383.5299999993</v>
      </c>
      <c r="C357" s="1159"/>
      <c r="F357" s="1117">
        <v>-6976735.3299999889</v>
      </c>
    </row>
    <row r="358" spans="1:12">
      <c r="A358" s="1130" t="s">
        <v>1275</v>
      </c>
      <c r="B358" s="1117">
        <f>B359+B361+B364+B360+B362+B363</f>
        <v>-6344629.3799999999</v>
      </c>
      <c r="F358" s="1117">
        <v>-6574888.6199999899</v>
      </c>
    </row>
    <row r="359" spans="1:12">
      <c r="A359" s="681" t="s">
        <v>1276</v>
      </c>
      <c r="B359" s="294">
        <f>(IFERROR(VLOOKUP(D359,obrotówka!$A$3:$J$1600,9,0),0))</f>
        <v>0</v>
      </c>
      <c r="C359" s="1047"/>
      <c r="D359" s="681" t="s">
        <v>167</v>
      </c>
      <c r="E359" s="1026"/>
      <c r="F359" s="294">
        <v>0</v>
      </c>
    </row>
    <row r="360" spans="1:12">
      <c r="A360" s="1129" t="s">
        <v>3183</v>
      </c>
      <c r="B360" s="297"/>
      <c r="C360" s="1047"/>
      <c r="D360" s="681"/>
      <c r="E360" s="1026"/>
      <c r="F360" s="297"/>
    </row>
    <row r="361" spans="1:12">
      <c r="A361" s="681" t="s">
        <v>1277</v>
      </c>
      <c r="B361" s="294">
        <f>(IFERROR(VLOOKUP(D361,obrotówka!$A$3:$J$1600,9,0),0))</f>
        <v>-6657750.1600000001</v>
      </c>
      <c r="C361" s="1047"/>
      <c r="D361" s="681" t="s">
        <v>177</v>
      </c>
      <c r="E361" s="1026"/>
      <c r="F361" s="294">
        <v>-6874975.8799999896</v>
      </c>
    </row>
    <row r="362" spans="1:12">
      <c r="A362" s="1129" t="s">
        <v>3319</v>
      </c>
      <c r="B362" s="297">
        <f>-B470</f>
        <v>0</v>
      </c>
      <c r="C362" s="1047"/>
      <c r="D362" s="681"/>
      <c r="E362" s="1026"/>
      <c r="F362" s="297">
        <v>0</v>
      </c>
    </row>
    <row r="363" spans="1:12">
      <c r="A363" s="1129" t="s">
        <v>3320</v>
      </c>
      <c r="B363" s="297">
        <f>-B471</f>
        <v>0</v>
      </c>
      <c r="C363" s="1047"/>
      <c r="D363" s="681"/>
      <c r="E363" s="1026"/>
      <c r="F363" s="297">
        <v>0</v>
      </c>
    </row>
    <row r="364" spans="1:12">
      <c r="A364" s="681" t="s">
        <v>1278</v>
      </c>
      <c r="B364" s="294">
        <f>(IFERROR(VLOOKUP(D364,obrotówka!$A$3:$J$1600,8,0),0))</f>
        <v>313120.78000000003</v>
      </c>
      <c r="C364" s="1047"/>
      <c r="D364" s="681" t="s">
        <v>179</v>
      </c>
      <c r="E364" s="1026"/>
      <c r="F364" s="294">
        <v>300087.26</v>
      </c>
    </row>
    <row r="365" spans="1:12">
      <c r="A365" s="1130" t="s">
        <v>1279</v>
      </c>
      <c r="B365" s="1117">
        <f>B366+B367+B368</f>
        <v>-383754.14999999898</v>
      </c>
      <c r="F365" s="1117">
        <v>-401846.70999999897</v>
      </c>
    </row>
    <row r="366" spans="1:12">
      <c r="A366" s="681" t="s">
        <v>1280</v>
      </c>
      <c r="B366" s="294">
        <f>(IFERROR(VLOOKUP(D366,obrotówka!$A$3:$J$1600,9,0),0))</f>
        <v>0</v>
      </c>
      <c r="C366" s="1047"/>
      <c r="D366" s="681" t="s">
        <v>208</v>
      </c>
      <c r="E366" s="1026"/>
      <c r="F366" s="294">
        <v>0</v>
      </c>
      <c r="G366" s="654"/>
      <c r="H366" s="654"/>
      <c r="I366" s="654"/>
      <c r="J366" s="654"/>
      <c r="K366" s="654"/>
      <c r="L366" s="654"/>
    </row>
    <row r="367" spans="1:12">
      <c r="A367" s="681" t="s">
        <v>1281</v>
      </c>
      <c r="B367" s="294">
        <f>(IFERROR(VLOOKUP(D367,obrotówka!$A$3:$J$1600,9,0),0))</f>
        <v>-397443.489999999</v>
      </c>
      <c r="C367" s="1047"/>
      <c r="D367" s="681" t="s">
        <v>213</v>
      </c>
      <c r="E367" s="1026"/>
      <c r="F367" s="294">
        <v>-415092.239999999</v>
      </c>
    </row>
    <row r="368" spans="1:12">
      <c r="A368" s="681" t="s">
        <v>1282</v>
      </c>
      <c r="B368" s="294">
        <f>(IFERROR(VLOOKUP(D368,obrotówka!$A$3:$J$1600,8,0),0))</f>
        <v>13689.34</v>
      </c>
      <c r="C368" s="1047"/>
      <c r="D368" s="681" t="s">
        <v>215</v>
      </c>
      <c r="E368" s="1026"/>
      <c r="F368" s="294">
        <v>13245.53</v>
      </c>
    </row>
    <row r="369" spans="1:9">
      <c r="A369" s="1138" t="s">
        <v>1283</v>
      </c>
      <c r="B369" s="1115">
        <f>B370+B372+B374</f>
        <v>-14821394.29999999</v>
      </c>
      <c r="F369" s="1115">
        <v>-15437371.29999999</v>
      </c>
    </row>
    <row r="370" spans="1:9">
      <c r="A370" s="1130" t="s">
        <v>1284</v>
      </c>
      <c r="B370" s="1117">
        <f>B371</f>
        <v>-2384733</v>
      </c>
      <c r="F370" s="1117">
        <v>-2538576</v>
      </c>
    </row>
    <row r="371" spans="1:9">
      <c r="A371" s="681" t="s">
        <v>1285</v>
      </c>
      <c r="B371" s="294">
        <f>(IFERROR(VLOOKUP(D371,obrotówka!$A$3:$J$1600,9,0),0))</f>
        <v>-2384733</v>
      </c>
      <c r="C371" s="1047"/>
      <c r="D371" s="681" t="s">
        <v>884</v>
      </c>
      <c r="E371" s="1026"/>
      <c r="F371" s="294">
        <v>-2538576</v>
      </c>
    </row>
    <row r="372" spans="1:9">
      <c r="A372" s="1130" t="s">
        <v>1286</v>
      </c>
      <c r="B372" s="1117">
        <f>B373</f>
        <v>-9434203</v>
      </c>
      <c r="F372" s="1117">
        <v>-9896337</v>
      </c>
    </row>
    <row r="373" spans="1:9" ht="12" customHeight="1">
      <c r="A373" s="681" t="s">
        <v>1287</v>
      </c>
      <c r="B373" s="294">
        <f>(IFERROR(VLOOKUP(D373,obrotówka!$A$3:$J$1600,9,0),0))</f>
        <v>-9434203</v>
      </c>
      <c r="C373" s="1047"/>
      <c r="D373" s="681" t="s">
        <v>886</v>
      </c>
      <c r="E373" s="1026"/>
      <c r="F373" s="294">
        <v>-9896337</v>
      </c>
    </row>
    <row r="374" spans="1:9" ht="12" customHeight="1">
      <c r="A374" s="1130" t="s">
        <v>2481</v>
      </c>
      <c r="B374" s="1117">
        <f>B375+B376</f>
        <v>-3002458.29999999</v>
      </c>
      <c r="C374" s="1047"/>
      <c r="D374" s="681"/>
      <c r="E374" s="1026"/>
      <c r="F374" s="1117">
        <v>-3002458.29999999</v>
      </c>
    </row>
    <row r="375" spans="1:9" ht="12" customHeight="1">
      <c r="A375" s="681" t="s">
        <v>2480</v>
      </c>
      <c r="B375" s="294">
        <f>(IFERROR(VLOOKUP(D375,obrotówka!$A$3:$J$1600,9,0),0))</f>
        <v>-2384191.29999999</v>
      </c>
      <c r="C375" s="1047"/>
      <c r="D375" s="681" t="s">
        <v>2479</v>
      </c>
      <c r="E375" s="1026"/>
      <c r="F375" s="294">
        <v>-2384191.29999999</v>
      </c>
    </row>
    <row r="376" spans="1:9" ht="12" customHeight="1">
      <c r="A376" s="681" t="s">
        <v>3782</v>
      </c>
      <c r="B376" s="294">
        <f>(IFERROR(VLOOKUP(D376,obrotówka!$A$3:$J$1600,9,0),0))</f>
        <v>-618267</v>
      </c>
      <c r="C376" s="1047"/>
      <c r="D376" s="681" t="s">
        <v>3781</v>
      </c>
      <c r="E376" s="1026"/>
      <c r="F376" s="294">
        <v>-618267</v>
      </c>
    </row>
    <row r="377" spans="1:9" s="654" customFormat="1" ht="9" customHeight="1">
      <c r="A377" s="1114" t="s">
        <v>1407</v>
      </c>
      <c r="B377" s="1115">
        <f>B378+B380</f>
        <v>-530641.56000000006</v>
      </c>
      <c r="C377" s="1101"/>
      <c r="D377" s="1026"/>
      <c r="E377" s="1026"/>
      <c r="F377" s="1115">
        <v>-825737.12</v>
      </c>
      <c r="H377" s="1139">
        <v>2000000</v>
      </c>
      <c r="I377" s="242" t="s">
        <v>2243</v>
      </c>
    </row>
    <row r="378" spans="1:9" s="654" customFormat="1">
      <c r="A378" s="1116" t="s">
        <v>2280</v>
      </c>
      <c r="B378" s="1117">
        <f>B379</f>
        <v>0</v>
      </c>
      <c r="C378" s="1101"/>
      <c r="D378" s="1026"/>
      <c r="E378" s="1026"/>
      <c r="F378" s="1117">
        <v>0</v>
      </c>
      <c r="H378" s="1139">
        <v>2000034</v>
      </c>
      <c r="I378" s="242" t="s">
        <v>2240</v>
      </c>
    </row>
    <row r="379" spans="1:9" s="654" customFormat="1">
      <c r="A379" s="1129" t="s">
        <v>1406</v>
      </c>
      <c r="B379" s="1154"/>
      <c r="C379" s="1101"/>
      <c r="D379" s="1129" t="s">
        <v>161</v>
      </c>
      <c r="E379" s="1026"/>
      <c r="F379" s="1154"/>
      <c r="H379" s="1139">
        <v>2000035</v>
      </c>
      <c r="I379" s="242" t="s">
        <v>3548</v>
      </c>
    </row>
    <row r="380" spans="1:9" s="654" customFormat="1">
      <c r="A380" s="1116" t="s">
        <v>2279</v>
      </c>
      <c r="B380" s="1117">
        <f>B381</f>
        <v>-530641.56000000006</v>
      </c>
      <c r="C380" s="1101"/>
      <c r="D380" s="1026"/>
      <c r="E380" s="1026"/>
      <c r="F380" s="1117">
        <v>-825737.12</v>
      </c>
      <c r="G380" s="1141"/>
      <c r="H380" s="1139">
        <v>2000039</v>
      </c>
      <c r="I380" s="242" t="s">
        <v>3343</v>
      </c>
    </row>
    <row r="381" spans="1:9" s="654" customFormat="1">
      <c r="A381" s="1134" t="s">
        <v>202</v>
      </c>
      <c r="B381" s="294">
        <f>-(IFERROR(VLOOKUP(D381,obrotówka!$A$3:$J$1600,10,0),0))</f>
        <v>-530641.56000000006</v>
      </c>
      <c r="C381" s="1101"/>
      <c r="D381" s="1134" t="s">
        <v>2343</v>
      </c>
      <c r="E381" s="1026"/>
      <c r="F381" s="294">
        <v>-825737.12</v>
      </c>
      <c r="H381" s="1139">
        <v>2000047</v>
      </c>
      <c r="I381" s="242" t="s">
        <v>2359</v>
      </c>
    </row>
    <row r="382" spans="1:9" ht="13.8">
      <c r="A382" s="1135" t="s">
        <v>1288</v>
      </c>
      <c r="B382" s="1110">
        <f>B383+B456+B481+B513+B583+B588+B579</f>
        <v>-31708252.789999858</v>
      </c>
      <c r="C382" s="1113"/>
      <c r="F382" s="1110">
        <v>-37343097.009999841</v>
      </c>
      <c r="H382" s="1139">
        <v>2000049</v>
      </c>
      <c r="I382" s="242" t="s">
        <v>2238</v>
      </c>
    </row>
    <row r="383" spans="1:9">
      <c r="A383" s="1138" t="s">
        <v>1289</v>
      </c>
      <c r="B383" s="1115">
        <f>B384+B417</f>
        <v>-12409750.059999898</v>
      </c>
      <c r="C383" s="1155"/>
      <c r="F383" s="1115">
        <v>-8582281.2699998897</v>
      </c>
      <c r="H383" s="1139">
        <v>2000051</v>
      </c>
      <c r="I383" s="242" t="s">
        <v>3541</v>
      </c>
    </row>
    <row r="384" spans="1:9">
      <c r="A384" s="1130" t="s">
        <v>1290</v>
      </c>
      <c r="B384" s="1117">
        <f>SUM(B385:B416)</f>
        <v>-2228935.96</v>
      </c>
      <c r="F384" s="1117">
        <v>-2391823.23999999</v>
      </c>
      <c r="H384" s="1139">
        <v>2000052</v>
      </c>
      <c r="I384" s="242" t="s">
        <v>2242</v>
      </c>
    </row>
    <row r="385" spans="1:12">
      <c r="A385" s="681" t="s">
        <v>1291</v>
      </c>
      <c r="B385" s="294">
        <f>(IFERROR(VLOOKUP(D385,obrotówka!$A$3:$J$1600,9,0),0))</f>
        <v>-2118839.6</v>
      </c>
      <c r="C385" s="1047"/>
      <c r="D385" s="681" t="s">
        <v>157</v>
      </c>
      <c r="E385" s="1026"/>
      <c r="F385" s="294">
        <v>-2383432.4399999902</v>
      </c>
      <c r="H385" s="1139">
        <v>2000069</v>
      </c>
      <c r="I385" s="242" t="s">
        <v>2239</v>
      </c>
    </row>
    <row r="386" spans="1:12" ht="10.199999999999999" customHeight="1">
      <c r="A386" s="1129" t="s">
        <v>1409</v>
      </c>
      <c r="B386" s="297">
        <v>0</v>
      </c>
      <c r="C386" s="1047"/>
      <c r="D386" s="681"/>
      <c r="E386" s="1026"/>
      <c r="F386" s="297">
        <v>0</v>
      </c>
      <c r="G386" s="971"/>
      <c r="H386" s="1139">
        <v>2000072</v>
      </c>
      <c r="I386" s="242" t="s">
        <v>3346</v>
      </c>
    </row>
    <row r="387" spans="1:12">
      <c r="A387" s="1129" t="s">
        <v>1410</v>
      </c>
      <c r="B387" s="297"/>
      <c r="C387" s="1047"/>
      <c r="D387" s="681"/>
      <c r="E387" s="1026"/>
      <c r="F387" s="297">
        <v>0</v>
      </c>
      <c r="G387" s="971"/>
      <c r="H387" s="1139">
        <v>2000082</v>
      </c>
      <c r="I387" s="242" t="s">
        <v>2245</v>
      </c>
    </row>
    <row r="388" spans="1:12">
      <c r="A388" s="1129" t="s">
        <v>1411</v>
      </c>
      <c r="B388" s="297">
        <f>-B140</f>
        <v>0</v>
      </c>
      <c r="C388" s="1047"/>
      <c r="D388" s="681"/>
      <c r="E388" s="1026"/>
      <c r="F388" s="297">
        <v>0</v>
      </c>
      <c r="H388" s="1139">
        <v>2000091</v>
      </c>
      <c r="I388" s="242" t="s">
        <v>2244</v>
      </c>
    </row>
    <row r="389" spans="1:12">
      <c r="A389" s="1129" t="s">
        <v>3155</v>
      </c>
      <c r="B389" s="297">
        <f>-B141</f>
        <v>0</v>
      </c>
      <c r="C389" s="1047"/>
      <c r="D389" s="681"/>
      <c r="E389" s="1026"/>
      <c r="F389" s="297">
        <v>0</v>
      </c>
      <c r="H389" s="1139">
        <v>2000099</v>
      </c>
      <c r="I389" s="242" t="s">
        <v>3347</v>
      </c>
    </row>
    <row r="390" spans="1:12">
      <c r="A390" s="1129" t="s">
        <v>3095</v>
      </c>
      <c r="B390" s="297">
        <v>0</v>
      </c>
      <c r="C390" s="1047"/>
      <c r="D390" s="681"/>
      <c r="E390" s="1026"/>
      <c r="F390" s="297">
        <v>0</v>
      </c>
      <c r="H390" s="1139">
        <v>2000262</v>
      </c>
      <c r="I390" s="242" t="s">
        <v>2241</v>
      </c>
    </row>
    <row r="391" spans="1:12">
      <c r="A391" s="681" t="s">
        <v>1291</v>
      </c>
      <c r="B391" s="294">
        <f>(IFERROR(VLOOKUP(D391,obrotówka!$A$3:$J$1600,9,0),0))</f>
        <v>0</v>
      </c>
      <c r="C391" s="1047"/>
      <c r="D391" s="681" t="s">
        <v>1408</v>
      </c>
      <c r="E391" s="1026"/>
      <c r="F391" s="294">
        <v>0</v>
      </c>
      <c r="H391" s="1139">
        <v>2000611</v>
      </c>
      <c r="I391" s="242" t="s">
        <v>3344</v>
      </c>
    </row>
    <row r="392" spans="1:12">
      <c r="A392" s="681" t="s">
        <v>1100</v>
      </c>
      <c r="B392" s="294">
        <f>(IFERROR(VLOOKUP(D392,obrotówka!$A$3:$J$1600,9,0),0))</f>
        <v>0</v>
      </c>
      <c r="C392" s="1047"/>
      <c r="D392" s="681" t="s">
        <v>306</v>
      </c>
      <c r="E392" s="1026"/>
      <c r="F392" s="294">
        <v>0</v>
      </c>
      <c r="H392" s="1139">
        <v>2000612</v>
      </c>
      <c r="I392" s="242" t="s">
        <v>3344</v>
      </c>
    </row>
    <row r="393" spans="1:12">
      <c r="A393" s="681" t="s">
        <v>1101</v>
      </c>
      <c r="B393" s="294">
        <f>(IFERROR(VLOOKUP(D393,obrotówka!$A$3:$J$1600,8,0),0))</f>
        <v>0</v>
      </c>
      <c r="C393" s="1047"/>
      <c r="D393" s="681" t="s">
        <v>308</v>
      </c>
      <c r="E393" s="1026"/>
      <c r="F393" s="294">
        <v>0</v>
      </c>
      <c r="H393" s="1139">
        <v>2000660</v>
      </c>
      <c r="I393" s="242" t="s">
        <v>3345</v>
      </c>
    </row>
    <row r="394" spans="1:12">
      <c r="A394" s="681" t="s">
        <v>1292</v>
      </c>
      <c r="B394" s="294">
        <f>(IFERROR(VLOOKUP(D394,obrotówka!$A$3:$J$1600,9,0),0))</f>
        <v>0</v>
      </c>
      <c r="C394" s="1047"/>
      <c r="D394" s="681" t="s">
        <v>309</v>
      </c>
      <c r="E394" s="1026"/>
      <c r="F394" s="294">
        <v>0</v>
      </c>
    </row>
    <row r="395" spans="1:12">
      <c r="A395" s="1129" t="s">
        <v>1409</v>
      </c>
      <c r="B395" s="297"/>
      <c r="C395" s="1047"/>
      <c r="D395" s="681"/>
      <c r="E395" s="1026"/>
      <c r="F395" s="297"/>
      <c r="G395" s="654"/>
      <c r="H395" s="654"/>
      <c r="I395" s="654"/>
      <c r="J395" s="654"/>
    </row>
    <row r="396" spans="1:12">
      <c r="A396" s="681" t="s">
        <v>1293</v>
      </c>
      <c r="B396" s="294">
        <f>(IFERROR(VLOOKUP(D396,obrotówka!$A$3:$J$1600,8,0),0))</f>
        <v>0</v>
      </c>
      <c r="C396" s="1047"/>
      <c r="D396" s="681" t="s">
        <v>311</v>
      </c>
      <c r="E396" s="1026"/>
      <c r="F396" s="294">
        <v>0</v>
      </c>
    </row>
    <row r="397" spans="1:12">
      <c r="A397" s="681" t="s">
        <v>1295</v>
      </c>
      <c r="B397" s="294">
        <f>(IFERROR(VLOOKUP(D397,obrotówka!$A$3:$J$1600,9,0),0))</f>
        <v>0</v>
      </c>
      <c r="C397" s="1053">
        <v>3000300000</v>
      </c>
      <c r="D397" s="681" t="s">
        <v>368</v>
      </c>
      <c r="E397" s="1026"/>
      <c r="F397" s="294">
        <v>0</v>
      </c>
      <c r="G397" s="654"/>
      <c r="H397" s="654"/>
      <c r="I397" s="654"/>
      <c r="J397" s="654"/>
    </row>
    <row r="398" spans="1:12">
      <c r="A398" s="1129" t="s">
        <v>3741</v>
      </c>
      <c r="B398" s="297"/>
      <c r="C398" s="1053"/>
      <c r="D398" s="681"/>
      <c r="E398" s="1026"/>
      <c r="F398" s="294"/>
      <c r="G398" s="654"/>
      <c r="H398" s="654"/>
      <c r="I398" s="654"/>
      <c r="J398" s="654"/>
      <c r="L398" s="1139"/>
    </row>
    <row r="399" spans="1:12">
      <c r="A399" s="681" t="s">
        <v>3540</v>
      </c>
      <c r="B399" s="294">
        <f>(IFERROR(VLOOKUP(D399,obrotówka!$A$3:$J$1600,9,0),0))</f>
        <v>0</v>
      </c>
      <c r="C399" s="1058" t="s">
        <v>3610</v>
      </c>
      <c r="D399" s="681" t="s">
        <v>3538</v>
      </c>
      <c r="E399" s="1026"/>
      <c r="F399" s="294">
        <v>0</v>
      </c>
      <c r="G399" s="242" t="s">
        <v>3561</v>
      </c>
    </row>
    <row r="400" spans="1:12">
      <c r="A400" s="681" t="s">
        <v>1115</v>
      </c>
      <c r="B400" s="294">
        <f>(IFERROR(VLOOKUP(D400,obrotówka!$A$3:$J$1600,9,0),0))</f>
        <v>0</v>
      </c>
      <c r="C400" s="1047"/>
      <c r="D400" s="681" t="s">
        <v>314</v>
      </c>
      <c r="E400" s="1026"/>
      <c r="F400" s="294">
        <v>0</v>
      </c>
    </row>
    <row r="401" spans="1:12">
      <c r="A401" s="681" t="s">
        <v>1116</v>
      </c>
      <c r="B401" s="294">
        <f>(IFERROR(VLOOKUP(D401,obrotówka!$A$3:$J$1600,9,0),0))</f>
        <v>0</v>
      </c>
      <c r="C401" s="1047"/>
      <c r="D401" s="681" t="s">
        <v>316</v>
      </c>
      <c r="E401" s="1026"/>
      <c r="F401" s="294">
        <v>0</v>
      </c>
      <c r="H401" s="1139">
        <v>2000114</v>
      </c>
      <c r="I401" s="242" t="s">
        <v>2248</v>
      </c>
    </row>
    <row r="402" spans="1:12">
      <c r="A402" s="681" t="s">
        <v>1117</v>
      </c>
      <c r="B402" s="294">
        <f>(IFERROR(VLOOKUP(D402,obrotówka!$A$3:$J$1600,9,0),0))</f>
        <v>0</v>
      </c>
      <c r="C402" s="1047"/>
      <c r="D402" s="681" t="s">
        <v>318</v>
      </c>
      <c r="E402" s="1026"/>
      <c r="F402" s="294">
        <v>0</v>
      </c>
      <c r="H402" s="1139">
        <v>2000592</v>
      </c>
      <c r="I402" s="242" t="s">
        <v>2251</v>
      </c>
    </row>
    <row r="403" spans="1:12">
      <c r="A403" s="681" t="s">
        <v>1118</v>
      </c>
      <c r="B403" s="294">
        <f>(IFERROR(VLOOKUP(D403,obrotówka!$A$3:$J$1600,9,0),0))</f>
        <v>0</v>
      </c>
      <c r="C403" s="1047"/>
      <c r="D403" s="681" t="s">
        <v>320</v>
      </c>
      <c r="E403" s="1026"/>
      <c r="F403" s="294">
        <v>0</v>
      </c>
      <c r="H403" s="1139">
        <v>2000572</v>
      </c>
      <c r="I403" s="242" t="s">
        <v>3186</v>
      </c>
    </row>
    <row r="404" spans="1:12">
      <c r="A404" s="681" t="s">
        <v>1120</v>
      </c>
      <c r="B404" s="294">
        <f>(IFERROR(VLOOKUP(D404,obrotówka!$A$3:$J$1600,9,0),0))</f>
        <v>0</v>
      </c>
      <c r="C404" s="1047"/>
      <c r="D404" s="681" t="s">
        <v>324</v>
      </c>
      <c r="E404" s="1026"/>
      <c r="F404" s="294">
        <v>0</v>
      </c>
      <c r="H404" s="1139">
        <v>2000066</v>
      </c>
      <c r="I404" s="242" t="s">
        <v>3435</v>
      </c>
    </row>
    <row r="405" spans="1:12">
      <c r="A405" s="1129" t="s">
        <v>3442</v>
      </c>
      <c r="B405" s="297"/>
      <c r="C405" s="1047"/>
      <c r="D405" s="681"/>
      <c r="E405" s="1026"/>
      <c r="F405" s="297"/>
      <c r="L405" s="1139"/>
    </row>
    <row r="406" spans="1:12">
      <c r="A406" s="681"/>
      <c r="B406" s="294">
        <f>(IFERROR(VLOOKUP(D406,obrotówka!$A$3:$J$1600,9,0),0))</f>
        <v>0</v>
      </c>
      <c r="C406" s="1047"/>
      <c r="D406" s="681"/>
      <c r="E406" s="1026"/>
      <c r="F406" s="297">
        <v>0</v>
      </c>
      <c r="L406" s="1139"/>
    </row>
    <row r="407" spans="1:12">
      <c r="A407" s="681" t="s">
        <v>1294</v>
      </c>
      <c r="B407" s="294">
        <f>(IFERROR(VLOOKUP(D407,obrotówka!$A$3:$J$1600,9,0),0))</f>
        <v>0</v>
      </c>
      <c r="C407" s="1156">
        <v>3000100000</v>
      </c>
      <c r="D407" s="681" t="s">
        <v>367</v>
      </c>
      <c r="E407" s="1026"/>
      <c r="F407" s="294">
        <v>0</v>
      </c>
      <c r="L407" s="1139"/>
    </row>
    <row r="408" spans="1:12">
      <c r="A408" s="1129" t="s">
        <v>3962</v>
      </c>
      <c r="B408" s="297"/>
      <c r="C408" s="1047"/>
      <c r="D408" s="681"/>
      <c r="E408" s="1026"/>
      <c r="F408" s="294"/>
      <c r="G408" s="654"/>
      <c r="L408" s="1139"/>
    </row>
    <row r="409" spans="1:12">
      <c r="A409" s="1129" t="s">
        <v>3434</v>
      </c>
      <c r="B409" s="297"/>
      <c r="C409" s="1047"/>
      <c r="D409" s="681"/>
      <c r="E409" s="1026"/>
      <c r="F409" s="297"/>
      <c r="L409" s="1139"/>
    </row>
    <row r="410" spans="1:12">
      <c r="A410" s="1146" t="s">
        <v>3527</v>
      </c>
      <c r="B410" s="294"/>
      <c r="C410" s="1047"/>
      <c r="D410" s="681"/>
      <c r="E410" s="1026"/>
      <c r="F410" s="294"/>
      <c r="G410" s="654"/>
      <c r="H410" s="654"/>
      <c r="I410" s="654"/>
      <c r="J410" s="654"/>
      <c r="L410" s="1139"/>
    </row>
    <row r="411" spans="1:12">
      <c r="A411" s="1137" t="s">
        <v>3528</v>
      </c>
      <c r="B411" s="297"/>
      <c r="C411" s="1047"/>
      <c r="D411" s="1137" t="s">
        <v>2405</v>
      </c>
      <c r="E411" s="1026"/>
      <c r="F411" s="297">
        <v>0</v>
      </c>
      <c r="G411" s="654"/>
      <c r="H411" s="654"/>
      <c r="I411" s="654"/>
      <c r="J411" s="654"/>
      <c r="L411" s="1139"/>
    </row>
    <row r="412" spans="1:12">
      <c r="A412" s="1137" t="s">
        <v>3568</v>
      </c>
      <c r="B412" s="297">
        <v>-5525.71</v>
      </c>
      <c r="C412" s="1047"/>
      <c r="D412" s="1137"/>
      <c r="E412" s="1026"/>
      <c r="F412" s="297">
        <v>-5120.8</v>
      </c>
      <c r="G412" s="654"/>
      <c r="H412" s="654"/>
      <c r="I412" s="654"/>
      <c r="J412" s="654"/>
      <c r="L412" s="1139"/>
    </row>
    <row r="413" spans="1:12">
      <c r="A413" s="1137" t="s">
        <v>3798</v>
      </c>
      <c r="B413" s="297">
        <v>-3431.14</v>
      </c>
      <c r="C413" s="1047"/>
      <c r="D413" s="1137"/>
      <c r="E413" s="1026"/>
      <c r="F413" s="297">
        <v>-3270</v>
      </c>
      <c r="G413" s="654"/>
      <c r="H413" s="654"/>
      <c r="I413" s="654"/>
      <c r="J413" s="654"/>
      <c r="L413" s="1139"/>
    </row>
    <row r="414" spans="1:12">
      <c r="A414" s="1137" t="s">
        <v>3798</v>
      </c>
      <c r="B414" s="297">
        <v>256.93</v>
      </c>
      <c r="C414" s="1047"/>
      <c r="D414" s="1137" t="s">
        <v>4068</v>
      </c>
      <c r="E414" s="1026"/>
      <c r="F414" s="297"/>
      <c r="G414" s="654"/>
      <c r="H414" s="654"/>
      <c r="I414" s="654"/>
      <c r="J414" s="654"/>
      <c r="L414" s="1139"/>
    </row>
    <row r="415" spans="1:12">
      <c r="A415" s="1137" t="s">
        <v>3529</v>
      </c>
      <c r="B415" s="297">
        <v>-853.15</v>
      </c>
      <c r="C415" s="1047"/>
      <c r="D415" s="1137" t="s">
        <v>4068</v>
      </c>
      <c r="E415" s="1026"/>
      <c r="F415" s="297"/>
      <c r="G415" s="654"/>
      <c r="H415" s="654"/>
      <c r="I415" s="654"/>
      <c r="J415" s="654"/>
      <c r="L415" s="1139"/>
    </row>
    <row r="416" spans="1:12">
      <c r="A416" s="1137" t="s">
        <v>3529</v>
      </c>
      <c r="B416" s="297">
        <v>-100543.29</v>
      </c>
      <c r="C416" s="1047"/>
      <c r="D416" s="1137" t="s">
        <v>2405</v>
      </c>
      <c r="E416" s="1026"/>
      <c r="F416" s="297"/>
      <c r="G416" s="654"/>
      <c r="H416" s="654"/>
      <c r="I416" s="654"/>
      <c r="J416" s="654"/>
      <c r="L416" s="1139"/>
    </row>
    <row r="417" spans="1:12">
      <c r="A417" s="1130" t="s">
        <v>1296</v>
      </c>
      <c r="B417" s="1117">
        <f>SUM(B418:B455)</f>
        <v>-10180814.099999897</v>
      </c>
      <c r="F417" s="1117">
        <v>-6190458.0299998997</v>
      </c>
      <c r="L417" s="1139"/>
    </row>
    <row r="418" spans="1:12">
      <c r="A418" s="681" t="s">
        <v>1123</v>
      </c>
      <c r="B418" s="294">
        <f>(IFERROR(VLOOKUP(D418,obrotówka!$A$3:$J$1600,9,0),0))</f>
        <v>0</v>
      </c>
      <c r="C418" s="1047"/>
      <c r="D418" s="681" t="s">
        <v>130</v>
      </c>
      <c r="E418" s="1026"/>
      <c r="F418" s="294">
        <v>0</v>
      </c>
    </row>
    <row r="419" spans="1:12">
      <c r="A419" s="1129" t="s">
        <v>1412</v>
      </c>
      <c r="B419" s="587">
        <f>-B166</f>
        <v>11858263.439999999</v>
      </c>
      <c r="C419" s="1047"/>
      <c r="D419" s="681"/>
      <c r="E419" s="1026"/>
      <c r="F419" s="587">
        <v>11858263.439999999</v>
      </c>
      <c r="G419" s="654"/>
      <c r="H419" s="654"/>
      <c r="I419" s="654"/>
    </row>
    <row r="420" spans="1:12" ht="8.4" customHeight="1">
      <c r="A420" s="1129" t="s">
        <v>3185</v>
      </c>
      <c r="B420" s="587">
        <f>-B395</f>
        <v>0</v>
      </c>
      <c r="C420" s="1047"/>
      <c r="D420" s="681"/>
      <c r="E420" s="1026"/>
      <c r="F420" s="587">
        <v>0</v>
      </c>
      <c r="G420" s="971"/>
      <c r="H420" s="971"/>
      <c r="I420" s="971"/>
    </row>
    <row r="421" spans="1:12">
      <c r="A421" s="1129" t="s">
        <v>1413</v>
      </c>
      <c r="B421" s="587">
        <f>-B386</f>
        <v>0</v>
      </c>
      <c r="C421" s="1047"/>
      <c r="D421" s="681"/>
      <c r="E421" s="1026"/>
      <c r="F421" s="587">
        <v>0</v>
      </c>
      <c r="G421" s="971"/>
      <c r="H421" s="971"/>
      <c r="I421" s="971"/>
    </row>
    <row r="422" spans="1:12">
      <c r="A422" s="1129" t="s">
        <v>1414</v>
      </c>
      <c r="B422" s="587">
        <f>-B387</f>
        <v>0</v>
      </c>
      <c r="C422" s="1047"/>
      <c r="D422" s="681"/>
      <c r="E422" s="1026"/>
      <c r="F422" s="587">
        <v>0</v>
      </c>
      <c r="G422" s="971"/>
      <c r="H422" s="971"/>
      <c r="I422" s="971"/>
    </row>
    <row r="423" spans="1:12">
      <c r="A423" s="1129" t="s">
        <v>3434</v>
      </c>
      <c r="B423" s="587">
        <f>-B409</f>
        <v>0</v>
      </c>
      <c r="C423" s="1047"/>
      <c r="D423" s="681"/>
      <c r="E423" s="1026"/>
      <c r="F423" s="587">
        <v>0</v>
      </c>
      <c r="G423" s="1061"/>
      <c r="H423" s="1061"/>
      <c r="I423" s="1061"/>
    </row>
    <row r="424" spans="1:12">
      <c r="A424" s="1129" t="str">
        <f>A398</f>
        <v>błędny PZ ELT</v>
      </c>
      <c r="B424" s="297">
        <f>-B398</f>
        <v>0</v>
      </c>
      <c r="C424" s="1047"/>
      <c r="D424" s="681"/>
      <c r="E424" s="1026"/>
      <c r="F424" s="297">
        <v>0</v>
      </c>
      <c r="G424" s="1061"/>
      <c r="H424" s="1061"/>
      <c r="I424" s="1061"/>
    </row>
    <row r="425" spans="1:12">
      <c r="A425" s="1137" t="str">
        <f>A411</f>
        <v>2100045  PKN Orlen S.A.</v>
      </c>
      <c r="B425" s="1040">
        <f t="shared" ref="B425:B430" si="1">-B411</f>
        <v>0</v>
      </c>
      <c r="C425" s="1047"/>
      <c r="D425" s="681"/>
      <c r="E425" s="1026"/>
      <c r="F425" s="297">
        <v>0</v>
      </c>
      <c r="G425" s="1061"/>
      <c r="H425" s="1061"/>
      <c r="I425" s="1061"/>
    </row>
    <row r="426" spans="1:12">
      <c r="A426" s="1137" t="str">
        <f>A412</f>
        <v>2100064  PKN Orlen S.A.</v>
      </c>
      <c r="B426" s="1040">
        <f t="shared" si="1"/>
        <v>5525.71</v>
      </c>
      <c r="C426" s="1047"/>
      <c r="D426" s="681"/>
      <c r="E426" s="1026"/>
      <c r="F426" s="297">
        <v>5120.8</v>
      </c>
      <c r="G426" s="1061"/>
      <c r="H426" s="1061"/>
      <c r="I426" s="1061"/>
    </row>
    <row r="427" spans="1:12">
      <c r="A427" s="1137" t="s">
        <v>3798</v>
      </c>
      <c r="B427" s="1040">
        <f t="shared" si="1"/>
        <v>3431.14</v>
      </c>
      <c r="C427" s="1047"/>
      <c r="D427" s="681"/>
      <c r="E427" s="1026"/>
      <c r="F427" s="297">
        <v>3270</v>
      </c>
      <c r="G427" s="1061"/>
      <c r="H427" s="1061"/>
      <c r="I427" s="1061"/>
    </row>
    <row r="428" spans="1:12">
      <c r="A428" s="1137" t="s">
        <v>3798</v>
      </c>
      <c r="B428" s="1040">
        <f t="shared" si="1"/>
        <v>-256.93</v>
      </c>
      <c r="C428" s="1047"/>
      <c r="D428" s="681" t="s">
        <v>4068</v>
      </c>
      <c r="E428" s="1026"/>
      <c r="F428" s="297"/>
      <c r="G428" s="1690"/>
      <c r="H428" s="1690"/>
      <c r="I428" s="1690"/>
    </row>
    <row r="429" spans="1:12">
      <c r="A429" s="1137" t="str">
        <f>A415</f>
        <v>2100099  Tauron Sprzedaż Sp z o.o.</v>
      </c>
      <c r="B429" s="1040">
        <f t="shared" si="1"/>
        <v>853.15</v>
      </c>
      <c r="C429" s="1047"/>
      <c r="D429" s="681" t="s">
        <v>4068</v>
      </c>
      <c r="E429" s="1026"/>
      <c r="F429" s="297"/>
      <c r="G429" s="1689"/>
      <c r="H429" s="1689"/>
      <c r="I429" s="1689"/>
    </row>
    <row r="430" spans="1:12">
      <c r="A430" s="1137" t="str">
        <f>A416</f>
        <v>2100099  Tauron Sprzedaż Sp z o.o.</v>
      </c>
      <c r="B430" s="1040">
        <f t="shared" si="1"/>
        <v>100543.29</v>
      </c>
      <c r="C430" s="1047"/>
      <c r="D430" s="681"/>
      <c r="E430" s="1026"/>
      <c r="F430" s="297">
        <v>0</v>
      </c>
      <c r="G430" s="1061"/>
      <c r="H430" s="1061"/>
      <c r="I430" s="1061"/>
    </row>
    <row r="431" spans="1:12" ht="10.8" customHeight="1">
      <c r="A431" s="1134"/>
      <c r="B431" s="294">
        <f>(IFERROR(VLOOKUP(D431,obrotówka!$A$3:$J$1600,10,0),0))</f>
        <v>9284361.3900000006</v>
      </c>
      <c r="C431" s="1696">
        <f>B431+B432</f>
        <v>96292.300000000745</v>
      </c>
      <c r="D431" s="681" t="s">
        <v>349</v>
      </c>
      <c r="E431" s="1026"/>
      <c r="F431" s="294">
        <v>9283555.7400000002</v>
      </c>
      <c r="G431" s="1694" t="s">
        <v>3613</v>
      </c>
      <c r="H431" s="1694"/>
      <c r="I431" s="1061"/>
    </row>
    <row r="432" spans="1:12">
      <c r="A432" s="1129" t="s">
        <v>3293</v>
      </c>
      <c r="B432" s="587">
        <f>-B170</f>
        <v>-9188069.0899999999</v>
      </c>
      <c r="C432" s="1696"/>
      <c r="D432" s="681"/>
      <c r="E432" s="1026"/>
      <c r="F432" s="587">
        <v>-9188069.0899999999</v>
      </c>
      <c r="G432" s="1694"/>
      <c r="H432" s="1694"/>
      <c r="I432" s="1061"/>
    </row>
    <row r="433" spans="1:9">
      <c r="A433" s="1129"/>
      <c r="B433" s="587"/>
      <c r="C433" s="1062"/>
      <c r="D433" s="1129" t="s">
        <v>190</v>
      </c>
      <c r="E433" s="1026"/>
      <c r="F433" s="587"/>
      <c r="G433" s="1061"/>
      <c r="H433" s="1061"/>
      <c r="I433" s="1061"/>
    </row>
    <row r="434" spans="1:9">
      <c r="A434" s="1129" t="s">
        <v>3790</v>
      </c>
      <c r="B434" s="587">
        <f>-B220</f>
        <v>0</v>
      </c>
      <c r="C434" s="1047"/>
      <c r="D434" s="681"/>
      <c r="E434" s="1026"/>
      <c r="F434" s="587">
        <v>-120</v>
      </c>
    </row>
    <row r="435" spans="1:9">
      <c r="A435" s="681" t="s">
        <v>1297</v>
      </c>
      <c r="B435" s="294">
        <f>(IFERROR(VLOOKUP(D435,obrotówka!$A$3:$J$1600,9,0),0))</f>
        <v>-22133066.379999898</v>
      </c>
      <c r="C435" s="1047"/>
      <c r="D435" s="681" t="s">
        <v>190</v>
      </c>
      <c r="E435" s="1026"/>
      <c r="F435" s="294">
        <v>-18004991.489999902</v>
      </c>
    </row>
    <row r="436" spans="1:9">
      <c r="A436" s="681" t="s">
        <v>1297</v>
      </c>
      <c r="B436" s="294">
        <f>(IFERROR(VLOOKUP(D436,obrotówka!$A$3:$J$1600,9,0),0))</f>
        <v>-71436.55</v>
      </c>
      <c r="C436" s="1047"/>
      <c r="D436" s="681" t="s">
        <v>194</v>
      </c>
      <c r="E436" s="1026"/>
      <c r="F436" s="294">
        <v>-135717.429999999</v>
      </c>
    </row>
    <row r="437" spans="1:9">
      <c r="A437" s="681" t="s">
        <v>1297</v>
      </c>
      <c r="B437" s="294">
        <f>(IFERROR(VLOOKUP(D437,obrotówka!$A$3:$J$1600,9,0),0))</f>
        <v>0</v>
      </c>
      <c r="C437" s="1047"/>
      <c r="D437" s="681" t="s">
        <v>2506</v>
      </c>
      <c r="E437" s="1026"/>
      <c r="F437" s="294">
        <v>0</v>
      </c>
    </row>
    <row r="438" spans="1:9">
      <c r="A438" s="681" t="s">
        <v>3380</v>
      </c>
      <c r="B438" s="294">
        <f>(IFERROR(VLOOKUP(D438,obrotówka!$A$3:$J$1600,10,0),0))</f>
        <v>0</v>
      </c>
      <c r="C438" s="1047"/>
      <c r="D438" s="681" t="s">
        <v>3367</v>
      </c>
      <c r="E438" s="1026"/>
      <c r="F438" s="294">
        <v>0</v>
      </c>
    </row>
    <row r="439" spans="1:9">
      <c r="A439" s="681" t="s">
        <v>1298</v>
      </c>
      <c r="B439" s="294">
        <f>(IFERROR(VLOOKUP(D439,obrotówka!$A$3:$J$1600,9,0),0))</f>
        <v>0</v>
      </c>
      <c r="C439" s="1047"/>
      <c r="D439" s="681" t="s">
        <v>195</v>
      </c>
      <c r="E439" s="1026"/>
      <c r="F439" s="294">
        <v>0</v>
      </c>
    </row>
    <row r="440" spans="1:9">
      <c r="A440" s="681" t="s">
        <v>1299</v>
      </c>
      <c r="B440" s="294">
        <f>(IFERROR(VLOOKUP(D440,obrotówka!$A$3:$J$1600,9,0),0))</f>
        <v>0</v>
      </c>
      <c r="C440" s="1047"/>
      <c r="D440" s="681" t="s">
        <v>199</v>
      </c>
      <c r="E440" s="1026"/>
      <c r="F440" s="294">
        <v>0</v>
      </c>
    </row>
    <row r="441" spans="1:9">
      <c r="A441" s="681" t="s">
        <v>1300</v>
      </c>
      <c r="B441" s="294">
        <f>(IFERROR(VLOOKUP(D441,obrotówka!$A$3:$J$1600,10,0),0))</f>
        <v>0</v>
      </c>
      <c r="C441" s="1047"/>
      <c r="D441" s="681" t="s">
        <v>227</v>
      </c>
      <c r="E441" s="1026"/>
      <c r="F441" s="294">
        <v>-5500</v>
      </c>
    </row>
    <row r="442" spans="1:9">
      <c r="A442" s="681" t="s">
        <v>1300</v>
      </c>
      <c r="B442" s="294">
        <f>(IFERROR(VLOOKUP(D442,obrotówka!$A$3:$J$1600,10,0),0))</f>
        <v>0</v>
      </c>
      <c r="C442" s="1047"/>
      <c r="D442" s="681" t="s">
        <v>230</v>
      </c>
      <c r="E442" s="1026"/>
      <c r="F442" s="294">
        <v>0</v>
      </c>
    </row>
    <row r="443" spans="1:9">
      <c r="A443" s="681" t="s">
        <v>3381</v>
      </c>
      <c r="B443" s="294">
        <f>(IFERROR(VLOOKUP(D443,obrotówka!$A$3:$J$1600,10,0),0))</f>
        <v>0</v>
      </c>
      <c r="C443" s="1047"/>
      <c r="D443" s="681" t="s">
        <v>3368</v>
      </c>
      <c r="E443" s="1026"/>
      <c r="F443" s="294">
        <v>0</v>
      </c>
    </row>
    <row r="444" spans="1:9">
      <c r="A444" s="681" t="s">
        <v>1301</v>
      </c>
      <c r="B444" s="294">
        <f>(IFERROR(VLOOKUP(D444,obrotówka!$A$3:$J$1600,9,0),0))</f>
        <v>0</v>
      </c>
      <c r="C444" s="1047"/>
      <c r="D444" s="681" t="s">
        <v>326</v>
      </c>
      <c r="E444" s="1026"/>
      <c r="F444" s="294">
        <v>0</v>
      </c>
    </row>
    <row r="445" spans="1:9">
      <c r="A445" s="681" t="s">
        <v>1302</v>
      </c>
      <c r="B445" s="294">
        <f>(IFERROR(VLOOKUP(D445,obrotówka!$A$3:$J$1600,8,0),0))</f>
        <v>0</v>
      </c>
      <c r="C445" s="1047"/>
      <c r="D445" s="681" t="s">
        <v>328</v>
      </c>
      <c r="E445" s="1026"/>
      <c r="F445" s="294">
        <v>0</v>
      </c>
    </row>
    <row r="446" spans="1:9">
      <c r="A446" s="681" t="s">
        <v>337</v>
      </c>
      <c r="B446" s="294">
        <f>(IFERROR(VLOOKUP(D446,obrotówka!$A$3:$J$1600,9,0),0))</f>
        <v>0</v>
      </c>
      <c r="C446" s="1047"/>
      <c r="D446" s="681" t="s">
        <v>336</v>
      </c>
      <c r="E446" s="1026"/>
      <c r="F446" s="294">
        <v>0</v>
      </c>
    </row>
    <row r="447" spans="1:9">
      <c r="A447" s="681" t="s">
        <v>1303</v>
      </c>
      <c r="B447" s="294">
        <f>(IFERROR(VLOOKUP(D447,obrotówka!$A$3:$J$1600,9,0),0))</f>
        <v>-27143.709999999901</v>
      </c>
      <c r="C447" s="1047"/>
      <c r="D447" s="681" t="s">
        <v>330</v>
      </c>
      <c r="E447" s="1026"/>
      <c r="F447" s="294">
        <v>0</v>
      </c>
    </row>
    <row r="448" spans="1:9">
      <c r="A448" s="681" t="s">
        <v>1304</v>
      </c>
      <c r="B448" s="294">
        <f>(IFERROR(VLOOKUP(D448,obrotówka!$A$3:$J$1600,8,0),0))</f>
        <v>27143.709999999901</v>
      </c>
      <c r="C448" s="1047"/>
      <c r="D448" s="681" t="s">
        <v>332</v>
      </c>
      <c r="E448" s="1026"/>
      <c r="F448" s="294">
        <v>0</v>
      </c>
    </row>
    <row r="449" spans="1:6">
      <c r="A449" s="1134" t="s">
        <v>340</v>
      </c>
      <c r="B449" s="294">
        <f>(IFERROR(VLOOKUP(D449,obrotówka!$A$3:$J$1600,9,0),0))</f>
        <v>0</v>
      </c>
      <c r="C449" s="1047"/>
      <c r="D449" s="681" t="s">
        <v>339</v>
      </c>
      <c r="E449" s="1026"/>
      <c r="F449" s="294">
        <v>0</v>
      </c>
    </row>
    <row r="450" spans="1:6">
      <c r="A450" s="681" t="s">
        <v>1131</v>
      </c>
      <c r="B450" s="294">
        <f>(IFERROR(VLOOKUP(D450,obrotówka!$A$3:$J$1600,9,0),0))</f>
        <v>0</v>
      </c>
      <c r="C450" s="1047"/>
      <c r="D450" s="681" t="s">
        <v>343</v>
      </c>
      <c r="E450" s="1026"/>
      <c r="F450" s="294">
        <v>0</v>
      </c>
    </row>
    <row r="451" spans="1:6">
      <c r="A451" s="681" t="s">
        <v>1133</v>
      </c>
      <c r="B451" s="294">
        <f>(IFERROR(VLOOKUP(D451,obrotówka!$A$3:$J$1600,9,0),0))</f>
        <v>0</v>
      </c>
      <c r="C451" s="1047"/>
      <c r="D451" s="681" t="s">
        <v>366</v>
      </c>
      <c r="E451" s="1026"/>
      <c r="F451" s="294">
        <v>0</v>
      </c>
    </row>
    <row r="452" spans="1:6">
      <c r="A452" s="1129" t="s">
        <v>4067</v>
      </c>
      <c r="B452" s="297">
        <f>-B303</f>
        <v>-140.49</v>
      </c>
      <c r="C452" s="1047"/>
      <c r="D452" s="681" t="s">
        <v>359</v>
      </c>
      <c r="E452" s="1026"/>
      <c r="F452" s="294"/>
    </row>
    <row r="453" spans="1:6">
      <c r="A453" s="1129" t="str">
        <f>A408</f>
        <v>błędny PZ (wystornowany PGEn- usł.wsparcia</v>
      </c>
      <c r="B453" s="297">
        <f>-B408</f>
        <v>0</v>
      </c>
      <c r="C453" s="1047"/>
      <c r="D453" s="681"/>
      <c r="E453" s="1026"/>
      <c r="F453" s="294">
        <v>0</v>
      </c>
    </row>
    <row r="454" spans="1:6">
      <c r="A454" s="681" t="s">
        <v>1305</v>
      </c>
      <c r="B454" s="294">
        <f>(IFERROR(VLOOKUP(D454,obrotówka!$A$3:$J$1600,9,0),0))</f>
        <v>-13084.78</v>
      </c>
      <c r="C454" s="1047"/>
      <c r="D454" s="681" t="s">
        <v>369</v>
      </c>
      <c r="E454" s="1026"/>
      <c r="F454" s="294">
        <v>0</v>
      </c>
    </row>
    <row r="455" spans="1:6">
      <c r="A455" s="681" t="s">
        <v>1306</v>
      </c>
      <c r="B455" s="294">
        <f>(IFERROR(VLOOKUP(D455,obrotówka!$A$3:$J$1600,9,0),0))</f>
        <v>-27738</v>
      </c>
      <c r="C455" s="1047"/>
      <c r="D455" s="681" t="s">
        <v>370</v>
      </c>
      <c r="E455" s="1026"/>
      <c r="F455" s="294">
        <v>-6270</v>
      </c>
    </row>
    <row r="456" spans="1:6">
      <c r="A456" s="1138" t="s">
        <v>1307</v>
      </c>
      <c r="B456" s="1115">
        <f>B457+B463</f>
        <v>-465525.50000000006</v>
      </c>
      <c r="F456" s="1115">
        <v>-455955.41000000003</v>
      </c>
    </row>
    <row r="457" spans="1:6">
      <c r="A457" s="1130" t="s">
        <v>1308</v>
      </c>
      <c r="B457" s="1117">
        <f>B458</f>
        <v>0</v>
      </c>
      <c r="F457" s="1117">
        <v>0</v>
      </c>
    </row>
    <row r="458" spans="1:6">
      <c r="A458" s="1130" t="s">
        <v>1309</v>
      </c>
      <c r="B458" s="1117">
        <f>B459+B460+B461+B462</f>
        <v>0</v>
      </c>
      <c r="F458" s="1117">
        <v>0</v>
      </c>
    </row>
    <row r="459" spans="1:6">
      <c r="A459" s="1129" t="s">
        <v>1310</v>
      </c>
      <c r="B459" s="297">
        <f>(IFERROR(VLOOKUP(D459,obrotówka!$A$3:$J$1600,10,0),0))</f>
        <v>2501383.25999999</v>
      </c>
      <c r="C459" s="1047"/>
      <c r="D459" s="681" t="s">
        <v>169</v>
      </c>
      <c r="E459" s="1026"/>
      <c r="F459" s="294">
        <v>0</v>
      </c>
    </row>
    <row r="460" spans="1:6">
      <c r="A460" s="681" t="s">
        <v>1310</v>
      </c>
      <c r="B460" s="294">
        <f>(IFERROR(VLOOKUP(D460,obrotówka!$A$3:$J$1600,10,0),0))</f>
        <v>-2501383.25999999</v>
      </c>
      <c r="C460" s="1047"/>
      <c r="D460" s="681" t="s">
        <v>172</v>
      </c>
      <c r="E460" s="1026"/>
      <c r="F460" s="294">
        <v>0</v>
      </c>
    </row>
    <row r="461" spans="1:6">
      <c r="A461" s="681" t="s">
        <v>2474</v>
      </c>
      <c r="B461" s="294">
        <f>(IFERROR(VLOOKUP(D461,obrotówka!$A$3:$J$1600,10,0),0))</f>
        <v>0</v>
      </c>
      <c r="C461" s="1047"/>
      <c r="D461" s="681" t="s">
        <v>2473</v>
      </c>
      <c r="E461" s="1026"/>
      <c r="F461" s="294">
        <v>0</v>
      </c>
    </row>
    <row r="462" spans="1:6">
      <c r="A462" s="681" t="s">
        <v>2474</v>
      </c>
      <c r="B462" s="294">
        <f>(IFERROR(VLOOKUP(D462,obrotówka!$A$3:$J$1600,10,0),0))</f>
        <v>0</v>
      </c>
      <c r="C462" s="1047"/>
      <c r="D462" s="681" t="s">
        <v>2475</v>
      </c>
      <c r="E462" s="1026"/>
      <c r="F462" s="294">
        <v>0</v>
      </c>
    </row>
    <row r="463" spans="1:6">
      <c r="A463" s="1130" t="s">
        <v>1274</v>
      </c>
      <c r="B463" s="1117">
        <f>B464+B474</f>
        <v>-465525.50000000006</v>
      </c>
      <c r="F463" s="1117">
        <v>-455955.41000000003</v>
      </c>
    </row>
    <row r="464" spans="1:6">
      <c r="A464" s="1130" t="s">
        <v>1311</v>
      </c>
      <c r="B464" s="1117">
        <f>SUM(B465:B473)</f>
        <v>-451836.16000000003</v>
      </c>
      <c r="F464" s="1117">
        <v>-442709.88</v>
      </c>
    </row>
    <row r="465" spans="1:15">
      <c r="A465" s="681" t="s">
        <v>1312</v>
      </c>
      <c r="B465" s="294">
        <f>(IFERROR(VLOOKUP(D465,obrotówka!$A$3:$J$1600,9,0),0))</f>
        <v>-1405.41</v>
      </c>
      <c r="C465" s="1047"/>
      <c r="D465" s="681" t="s">
        <v>165</v>
      </c>
      <c r="E465" s="1026"/>
      <c r="F465" s="294">
        <v>-5443.0799999999899</v>
      </c>
    </row>
    <row r="466" spans="1:15">
      <c r="A466" s="1129" t="s">
        <v>3183</v>
      </c>
      <c r="B466" s="297">
        <f>-B360</f>
        <v>0</v>
      </c>
      <c r="C466" s="1047"/>
      <c r="D466" s="681"/>
      <c r="E466" s="1026"/>
      <c r="F466" s="297">
        <v>0</v>
      </c>
    </row>
    <row r="467" spans="1:15">
      <c r="A467" s="681" t="s">
        <v>1313</v>
      </c>
      <c r="B467" s="294">
        <f>(IFERROR(VLOOKUP(D467,obrotówka!$A$3:$J$1600,8,0),0))</f>
        <v>0</v>
      </c>
      <c r="C467" s="1047"/>
      <c r="D467" s="681" t="s">
        <v>168</v>
      </c>
      <c r="E467" s="1026"/>
      <c r="F467" s="294">
        <v>0</v>
      </c>
    </row>
    <row r="468" spans="1:15">
      <c r="A468" s="681" t="s">
        <v>1314</v>
      </c>
      <c r="B468" s="294">
        <f>(IFERROR(VLOOKUP(D468,obrotówka!$A$3:$J$1600,9,0),0))</f>
        <v>-137309.97</v>
      </c>
      <c r="C468" s="1049" t="s">
        <v>3764</v>
      </c>
      <c r="D468" s="681" t="s">
        <v>173</v>
      </c>
      <c r="E468" s="1026"/>
      <c r="F468" s="294">
        <v>-137179.54</v>
      </c>
    </row>
    <row r="469" spans="1:15">
      <c r="A469" s="681" t="s">
        <v>1315</v>
      </c>
      <c r="B469" s="294">
        <f>(IFERROR(VLOOKUP(D469,obrotówka!$A$3:$J$1600,9,0),0))</f>
        <v>-313120.78000000003</v>
      </c>
      <c r="C469" s="1050">
        <f>B469+B479</f>
        <v>-326810.12000000005</v>
      </c>
      <c r="D469" s="681" t="s">
        <v>175</v>
      </c>
      <c r="E469" s="1026"/>
      <c r="F469" s="294">
        <v>-300087.26</v>
      </c>
    </row>
    <row r="470" spans="1:15">
      <c r="A470" s="1129" t="s">
        <v>3319</v>
      </c>
      <c r="B470" s="297"/>
      <c r="C470" s="1047"/>
      <c r="D470" s="681"/>
      <c r="E470" s="1026"/>
      <c r="F470" s="297"/>
    </row>
    <row r="471" spans="1:15">
      <c r="A471" s="1129" t="s">
        <v>3320</v>
      </c>
      <c r="B471" s="297"/>
      <c r="C471" s="1047"/>
      <c r="D471" s="681"/>
      <c r="E471" s="1026"/>
      <c r="F471" s="297"/>
    </row>
    <row r="472" spans="1:15">
      <c r="A472" s="681" t="s">
        <v>1316</v>
      </c>
      <c r="B472" s="294">
        <f>(IFERROR(VLOOKUP(D472,obrotówka!$A$3:$J$1600,9,0),0))</f>
        <v>0</v>
      </c>
      <c r="C472" s="1047"/>
      <c r="D472" s="681" t="s">
        <v>181</v>
      </c>
      <c r="E472" s="1026"/>
      <c r="F472" s="294">
        <v>0</v>
      </c>
    </row>
    <row r="473" spans="1:15">
      <c r="A473" s="681" t="s">
        <v>1317</v>
      </c>
      <c r="B473" s="294">
        <f>(IFERROR(VLOOKUP(D473,obrotówka!$A$3:$J$1600,10,0),0))</f>
        <v>0</v>
      </c>
      <c r="C473" s="1047"/>
      <c r="D473" s="681" t="s">
        <v>322</v>
      </c>
      <c r="E473" s="1026"/>
      <c r="F473" s="294">
        <v>0</v>
      </c>
    </row>
    <row r="474" spans="1:15">
      <c r="A474" s="1130" t="s">
        <v>1318</v>
      </c>
      <c r="B474" s="1117">
        <f>SUM(B475:B480)</f>
        <v>-13689.34</v>
      </c>
      <c r="F474" s="1117">
        <v>-13245.53</v>
      </c>
    </row>
    <row r="475" spans="1:15">
      <c r="A475" s="681" t="s">
        <v>1319</v>
      </c>
      <c r="B475" s="294">
        <f>(IFERROR(VLOOKUP(D475,obrotówka!$A$3:$J$1600,9,0),0))</f>
        <v>0</v>
      </c>
      <c r="C475" s="1047"/>
      <c r="D475" s="681" t="s">
        <v>205</v>
      </c>
      <c r="E475" s="1026"/>
      <c r="F475" s="294">
        <v>0</v>
      </c>
    </row>
    <row r="476" spans="1:15">
      <c r="A476" s="681" t="s">
        <v>1320</v>
      </c>
      <c r="B476" s="294">
        <f>(IFERROR(VLOOKUP(D476,obrotówka!$A$3:$J$1600,9,0),0))</f>
        <v>0</v>
      </c>
      <c r="C476" s="1047"/>
      <c r="D476" s="681" t="s">
        <v>207</v>
      </c>
      <c r="E476" s="1026"/>
      <c r="F476" s="294">
        <v>0</v>
      </c>
      <c r="G476" s="654"/>
      <c r="H476" s="654"/>
      <c r="I476" s="654"/>
      <c r="J476" s="654"/>
      <c r="K476" s="654"/>
      <c r="L476" s="654"/>
      <c r="M476" s="654"/>
      <c r="N476" s="654"/>
      <c r="O476" s="654"/>
    </row>
    <row r="477" spans="1:15">
      <c r="A477" s="681" t="s">
        <v>1321</v>
      </c>
      <c r="B477" s="294">
        <f>(IFERROR(VLOOKUP(D477,obrotówka!$A$3:$J$1600,9,0),0))</f>
        <v>0</v>
      </c>
      <c r="C477" s="1047"/>
      <c r="D477" s="681" t="s">
        <v>209</v>
      </c>
      <c r="E477" s="1026"/>
      <c r="F477" s="294">
        <v>0</v>
      </c>
      <c r="G477" s="654"/>
      <c r="H477" s="654"/>
      <c r="I477" s="654"/>
      <c r="J477" s="654"/>
      <c r="K477" s="654"/>
      <c r="L477" s="654"/>
      <c r="M477" s="654"/>
      <c r="N477" s="654"/>
      <c r="O477" s="654"/>
    </row>
    <row r="478" spans="1:15">
      <c r="A478" s="681" t="s">
        <v>1322</v>
      </c>
      <c r="B478" s="294">
        <f>(IFERROR(VLOOKUP(D478,obrotówka!$A$3:$J$1600,9,0),0))</f>
        <v>0</v>
      </c>
      <c r="C478" s="1047"/>
      <c r="D478" s="681" t="s">
        <v>210</v>
      </c>
      <c r="E478" s="1026"/>
      <c r="F478" s="294">
        <v>0</v>
      </c>
    </row>
    <row r="479" spans="1:15">
      <c r="A479" s="681" t="s">
        <v>1323</v>
      </c>
      <c r="B479" s="294">
        <f>(IFERROR(VLOOKUP(D479,obrotówka!$A$3:$J$1600,9,0),0))</f>
        <v>-13689.34</v>
      </c>
      <c r="C479" s="1047"/>
      <c r="D479" s="681" t="s">
        <v>211</v>
      </c>
      <c r="E479" s="1026"/>
      <c r="F479" s="294">
        <v>-13245.53</v>
      </c>
    </row>
    <row r="480" spans="1:15">
      <c r="A480" s="681" t="s">
        <v>1324</v>
      </c>
      <c r="B480" s="294">
        <f>(IFERROR(VLOOKUP(D480,obrotówka!$A$3:$J$1600,9,0),0))</f>
        <v>0</v>
      </c>
      <c r="C480" s="1047"/>
      <c r="D480" s="681" t="s">
        <v>217</v>
      </c>
      <c r="E480" s="1026"/>
      <c r="F480" s="294">
        <v>0</v>
      </c>
    </row>
    <row r="481" spans="1:8">
      <c r="A481" s="1138" t="s">
        <v>1325</v>
      </c>
      <c r="B481" s="1115">
        <f>B482+B492+B502</f>
        <v>-1353994.9899999988</v>
      </c>
      <c r="F481" s="1115">
        <v>-1259412.6399999901</v>
      </c>
      <c r="H481" s="243"/>
    </row>
    <row r="482" spans="1:8">
      <c r="A482" s="1130" t="s">
        <v>1326</v>
      </c>
      <c r="B482" s="1117">
        <f>B483+B486</f>
        <v>-278055.59999999899</v>
      </c>
      <c r="F482" s="1117">
        <v>-152597.59</v>
      </c>
      <c r="H482" s="243"/>
    </row>
    <row r="483" spans="1:8">
      <c r="A483" s="1130" t="s">
        <v>1327</v>
      </c>
      <c r="B483" s="1117">
        <f>B484</f>
        <v>0</v>
      </c>
      <c r="F483" s="1117">
        <v>0</v>
      </c>
      <c r="H483" s="243"/>
    </row>
    <row r="484" spans="1:8">
      <c r="A484" s="681" t="s">
        <v>1328</v>
      </c>
      <c r="B484" s="294">
        <f>(IFERROR(VLOOKUP(D484,obrotówka!$A$3:$J$1600,9,0),0))</f>
        <v>0</v>
      </c>
      <c r="C484" s="1047"/>
      <c r="D484" s="681" t="s">
        <v>159</v>
      </c>
      <c r="E484" s="1026"/>
      <c r="F484" s="294">
        <v>0</v>
      </c>
    </row>
    <row r="485" spans="1:8">
      <c r="A485" s="681" t="s">
        <v>1935</v>
      </c>
      <c r="B485" s="294">
        <f>(IFERROR(VLOOKUP(D485,obrotówka!$A$3:$J$1600,9,0),0))</f>
        <v>0</v>
      </c>
      <c r="C485" s="1047"/>
      <c r="D485" s="681" t="s">
        <v>312</v>
      </c>
      <c r="E485" s="1026"/>
      <c r="F485" s="294">
        <v>0</v>
      </c>
    </row>
    <row r="486" spans="1:8">
      <c r="A486" s="1130" t="s">
        <v>1329</v>
      </c>
      <c r="B486" s="1117">
        <f>B487+B491+B488+B489+B490</f>
        <v>-278055.59999999899</v>
      </c>
      <c r="F486" s="1117">
        <v>-152597.59</v>
      </c>
    </row>
    <row r="487" spans="1:8">
      <c r="A487" s="681" t="s">
        <v>1330</v>
      </c>
      <c r="B487" s="294">
        <f>(IFERROR(VLOOKUP(D487,obrotówka!$A$3:$J$1600,9,0),0))</f>
        <v>-278055.59999999899</v>
      </c>
      <c r="C487" s="1047"/>
      <c r="D487" s="681" t="s">
        <v>197</v>
      </c>
      <c r="E487" s="1026"/>
      <c r="F487" s="294">
        <v>-152597.59</v>
      </c>
    </row>
    <row r="488" spans="1:8">
      <c r="A488" s="681" t="s">
        <v>3171</v>
      </c>
      <c r="B488" s="294">
        <f>(IFERROR(VLOOKUP(D488,obrotówka!$A$3:$J$1600,9,0),0))</f>
        <v>0</v>
      </c>
      <c r="C488" s="1047"/>
      <c r="D488" s="681" t="s">
        <v>3170</v>
      </c>
      <c r="E488" s="1026"/>
      <c r="F488" s="294">
        <v>0</v>
      </c>
    </row>
    <row r="489" spans="1:8">
      <c r="A489" s="681" t="s">
        <v>3714</v>
      </c>
      <c r="B489" s="294">
        <f>(IFERROR(VLOOKUP(D489,obrotówka!$A$3:$J$1600,10,0),0))</f>
        <v>0</v>
      </c>
      <c r="C489" s="1047"/>
      <c r="D489" s="681" t="s">
        <v>3713</v>
      </c>
      <c r="E489" s="1026"/>
      <c r="F489" s="294">
        <v>0</v>
      </c>
    </row>
    <row r="490" spans="1:8">
      <c r="A490" s="681" t="s">
        <v>1045</v>
      </c>
      <c r="B490" s="294">
        <f>(IFERROR(VLOOKUP(D490,obrotówka!$A$3:$J$1600,10,0),0))</f>
        <v>0</v>
      </c>
      <c r="C490" s="1047"/>
      <c r="D490" s="681" t="s">
        <v>334</v>
      </c>
      <c r="E490" s="1026"/>
      <c r="F490" s="294">
        <v>0</v>
      </c>
    </row>
    <row r="491" spans="1:8">
      <c r="A491" s="681" t="s">
        <v>1045</v>
      </c>
      <c r="B491" s="294">
        <f>(IFERROR(VLOOKUP(D491,obrotówka!$A$3:$J$1600,10,0),0))</f>
        <v>0</v>
      </c>
      <c r="C491" s="1047"/>
      <c r="D491" s="681" t="s">
        <v>3709</v>
      </c>
      <c r="E491" s="1026"/>
      <c r="F491" s="294">
        <v>0</v>
      </c>
    </row>
    <row r="492" spans="1:8">
      <c r="A492" s="1130" t="s">
        <v>1331</v>
      </c>
      <c r="B492" s="1117">
        <f>B493+B497</f>
        <v>-1075939.3899999999</v>
      </c>
      <c r="F492" s="1117">
        <v>-1106815.04999999</v>
      </c>
    </row>
    <row r="493" spans="1:8">
      <c r="A493" s="1130" t="s">
        <v>1332</v>
      </c>
      <c r="B493" s="1117">
        <f>SUM(B494:B496)</f>
        <v>0</v>
      </c>
      <c r="F493" s="1117">
        <v>0</v>
      </c>
    </row>
    <row r="494" spans="1:8">
      <c r="A494" s="681" t="s">
        <v>2105</v>
      </c>
      <c r="B494" s="294">
        <f>(IFERROR(VLOOKUP(D494,obrotówka!$A$3:$J$1600,9,0),0))</f>
        <v>0</v>
      </c>
      <c r="C494" s="1047"/>
      <c r="D494" s="681" t="s">
        <v>161</v>
      </c>
      <c r="E494" s="1026"/>
      <c r="F494" s="294">
        <v>0</v>
      </c>
    </row>
    <row r="495" spans="1:8">
      <c r="A495" s="1134" t="s">
        <v>3082</v>
      </c>
      <c r="B495" s="294">
        <f>-B379</f>
        <v>0</v>
      </c>
      <c r="C495" s="1047"/>
      <c r="D495" s="681"/>
      <c r="E495" s="1026"/>
      <c r="F495" s="294">
        <v>0</v>
      </c>
    </row>
    <row r="496" spans="1:8">
      <c r="A496" s="681" t="s">
        <v>1333</v>
      </c>
      <c r="B496" s="294">
        <f>(IFERROR(VLOOKUP(D496,obrotówka!$A$3:$J$1600,9,0),0))</f>
        <v>0</v>
      </c>
      <c r="C496" s="1047"/>
      <c r="D496" s="681" t="s">
        <v>163</v>
      </c>
      <c r="E496" s="1026"/>
      <c r="F496" s="294">
        <v>0</v>
      </c>
    </row>
    <row r="497" spans="1:16">
      <c r="A497" s="1130" t="s">
        <v>1334</v>
      </c>
      <c r="B497" s="1117">
        <f>SUM(B498:B501)</f>
        <v>-1075939.3899999999</v>
      </c>
      <c r="F497" s="1117">
        <v>-1106815.04999999</v>
      </c>
    </row>
    <row r="498" spans="1:16">
      <c r="A498" s="681" t="s">
        <v>2104</v>
      </c>
      <c r="B498" s="294">
        <f>(IFERROR(VLOOKUP(D498,obrotówka!$A$3:$J$1600,9,0),0))</f>
        <v>-1600580.95</v>
      </c>
      <c r="C498" s="1047"/>
      <c r="D498" s="681" t="s">
        <v>201</v>
      </c>
      <c r="E498" s="1026"/>
      <c r="F498" s="294">
        <v>-1863052.1699999899</v>
      </c>
    </row>
    <row r="499" spans="1:16">
      <c r="A499" s="681" t="s">
        <v>2358</v>
      </c>
      <c r="B499" s="294">
        <f>-(IFERROR(VLOOKUP(D499,obrotówka!$A$3:$J$1600,10,0),0))</f>
        <v>0</v>
      </c>
      <c r="C499" s="1047"/>
      <c r="D499" s="681" t="s">
        <v>2341</v>
      </c>
      <c r="E499" s="1026"/>
      <c r="F499" s="294">
        <v>0</v>
      </c>
    </row>
    <row r="500" spans="1:16">
      <c r="A500" s="681" t="s">
        <v>2358</v>
      </c>
      <c r="B500" s="294">
        <f>-(IFERROR(VLOOKUP(D500,obrotówka!$A$3:$J$1600,10,0),0))</f>
        <v>530641.56000000006</v>
      </c>
      <c r="C500" s="1047"/>
      <c r="D500" s="681" t="s">
        <v>2342</v>
      </c>
      <c r="E500" s="1026"/>
      <c r="F500" s="294">
        <v>825737.12</v>
      </c>
    </row>
    <row r="501" spans="1:16">
      <c r="A501" s="681" t="s">
        <v>2103</v>
      </c>
      <c r="B501" s="294">
        <f>(IFERROR(VLOOKUP(D501,obrotówka!$A$3:$J$1600,9,0),0))</f>
        <v>-6000</v>
      </c>
      <c r="C501" s="1047"/>
      <c r="D501" s="681" t="s">
        <v>203</v>
      </c>
      <c r="E501" s="1026"/>
      <c r="F501" s="294">
        <v>-69500</v>
      </c>
    </row>
    <row r="502" spans="1:16">
      <c r="A502" s="1130" t="s">
        <v>1335</v>
      </c>
      <c r="B502" s="1117">
        <f>B503+B508</f>
        <v>0</v>
      </c>
      <c r="F502" s="1117">
        <v>0</v>
      </c>
    </row>
    <row r="503" spans="1:16">
      <c r="A503" s="1130" t="s">
        <v>1336</v>
      </c>
      <c r="B503" s="1117">
        <f>SUM(B504:B507)</f>
        <v>0</v>
      </c>
      <c r="F503" s="1117">
        <v>0</v>
      </c>
    </row>
    <row r="504" spans="1:16">
      <c r="A504" s="681" t="s">
        <v>1337</v>
      </c>
      <c r="B504" s="294">
        <f>(IFERROR(VLOOKUP(D504,obrotówka!$A$3:$J$1600,10,0),0))</f>
        <v>14448.25</v>
      </c>
      <c r="C504" s="1047"/>
      <c r="D504" s="681" t="s">
        <v>183</v>
      </c>
      <c r="E504" s="1026"/>
      <c r="F504" s="294">
        <v>0</v>
      </c>
    </row>
    <row r="505" spans="1:16">
      <c r="A505" s="681" t="s">
        <v>1337</v>
      </c>
      <c r="B505" s="294"/>
      <c r="C505" s="1047"/>
      <c r="D505" s="681" t="s">
        <v>185</v>
      </c>
      <c r="E505" s="1026"/>
      <c r="F505" s="294"/>
    </row>
    <row r="506" spans="1:16">
      <c r="A506" s="681" t="s">
        <v>1337</v>
      </c>
      <c r="B506" s="294">
        <f>(IFERROR(VLOOKUP(D506,obrotówka!$A$3:$J$1600,9,0),0))</f>
        <v>-14448.25</v>
      </c>
      <c r="C506" s="1047"/>
      <c r="D506" s="681" t="s">
        <v>186</v>
      </c>
      <c r="E506" s="1026"/>
      <c r="F506" s="294">
        <v>0</v>
      </c>
    </row>
    <row r="507" spans="1:16">
      <c r="A507" s="1129"/>
      <c r="B507" s="297">
        <f>(IFERROR(VLOOKUP(D507,obrotówka!$A$3:$J$1600,9,0),0))</f>
        <v>0</v>
      </c>
      <c r="C507" s="1047"/>
      <c r="D507" s="681"/>
      <c r="E507" s="1026"/>
      <c r="F507" s="297">
        <v>0</v>
      </c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</row>
    <row r="508" spans="1:16">
      <c r="A508" s="1130" t="s">
        <v>1338</v>
      </c>
      <c r="B508" s="1117">
        <f>B509+B510+B511</f>
        <v>0</v>
      </c>
      <c r="F508" s="1117">
        <v>0</v>
      </c>
    </row>
    <row r="509" spans="1:16">
      <c r="A509" s="681" t="s">
        <v>1149</v>
      </c>
      <c r="B509" s="294">
        <f>(IFERROR(VLOOKUP(D509,obrotówka!$A$3:$J$1600,9,0),0))</f>
        <v>0</v>
      </c>
      <c r="C509" s="1047"/>
      <c r="D509" s="681" t="s">
        <v>137</v>
      </c>
      <c r="E509" s="1026"/>
      <c r="F509" s="294">
        <v>0</v>
      </c>
    </row>
    <row r="510" spans="1:16">
      <c r="A510" s="681" t="s">
        <v>1339</v>
      </c>
      <c r="B510" s="294">
        <f>(IFERROR(VLOOKUP(D510,obrotówka!$A$3:$J$1600,9,0),0))</f>
        <v>0</v>
      </c>
      <c r="C510" s="1047"/>
      <c r="D510" s="681" t="s">
        <v>218</v>
      </c>
      <c r="E510" s="1026"/>
      <c r="F510" s="294">
        <v>0</v>
      </c>
    </row>
    <row r="511" spans="1:16">
      <c r="A511" s="681" t="s">
        <v>1339</v>
      </c>
      <c r="B511" s="294">
        <f>(IFERROR(VLOOKUP(D511,obrotówka!$A$3:$J$1600,9,0),0))</f>
        <v>0</v>
      </c>
      <c r="C511" s="1047"/>
      <c r="D511" s="681" t="s">
        <v>221</v>
      </c>
      <c r="E511" s="1026"/>
      <c r="F511" s="294">
        <v>0</v>
      </c>
    </row>
    <row r="512" spans="1:16">
      <c r="A512" s="681"/>
      <c r="B512" s="294"/>
      <c r="C512" s="1047"/>
      <c r="D512" s="681"/>
      <c r="E512" s="1026"/>
      <c r="F512" s="294"/>
    </row>
    <row r="513" spans="1:6">
      <c r="A513" s="1138" t="s">
        <v>1340</v>
      </c>
      <c r="B513" s="1115">
        <f>B514+B554</f>
        <v>-15198929.059999961</v>
      </c>
      <c r="F513" s="1115">
        <v>-24718722.919999961</v>
      </c>
    </row>
    <row r="514" spans="1:6">
      <c r="A514" s="1130" t="s">
        <v>1341</v>
      </c>
      <c r="B514" s="1117">
        <f>B515+B518+B525+B527+B531+B534+B540+B545+B550+B552+B529</f>
        <v>-14755095.119999962</v>
      </c>
      <c r="F514" s="1117">
        <v>-24253286.159999959</v>
      </c>
    </row>
    <row r="515" spans="1:6">
      <c r="A515" s="1130" t="s">
        <v>1342</v>
      </c>
      <c r="B515" s="1117">
        <f>B516+B517</f>
        <v>0</v>
      </c>
      <c r="F515" s="1117">
        <v>0</v>
      </c>
    </row>
    <row r="516" spans="1:6">
      <c r="A516" s="681" t="s">
        <v>1221</v>
      </c>
      <c r="B516" s="294">
        <f>(IFERROR(VLOOKUP(D516,obrotówka!$A$3:$J$1600,10,0),0))</f>
        <v>0</v>
      </c>
      <c r="C516" s="1047"/>
      <c r="D516" s="681" t="s">
        <v>233</v>
      </c>
      <c r="E516" s="1026"/>
      <c r="F516" s="294">
        <v>0</v>
      </c>
    </row>
    <row r="517" spans="1:6">
      <c r="A517" s="681" t="s">
        <v>1221</v>
      </c>
      <c r="B517" s="294">
        <f>(IFERROR(VLOOKUP(D517,obrotówka!$A$3:$J$1600,9,0),0))</f>
        <v>0</v>
      </c>
      <c r="C517" s="1047"/>
      <c r="D517" s="681" t="s">
        <v>235</v>
      </c>
      <c r="E517" s="1026"/>
      <c r="F517" s="294">
        <v>0</v>
      </c>
    </row>
    <row r="518" spans="1:6">
      <c r="A518" s="1130" t="s">
        <v>1343</v>
      </c>
      <c r="B518" s="1117">
        <f>SUM(B519:B524)</f>
        <v>-499012.62000000011</v>
      </c>
      <c r="F518" s="1117">
        <v>-1910945.3299999901</v>
      </c>
    </row>
    <row r="519" spans="1:6">
      <c r="A519" s="681" t="s">
        <v>245</v>
      </c>
      <c r="B519" s="294">
        <f>(IFERROR(VLOOKUP(D519,obrotówka!$A$3:$J$1600,10,0),0))</f>
        <v>-2949369.4199999901</v>
      </c>
      <c r="C519" s="1047"/>
      <c r="D519" s="681" t="s">
        <v>244</v>
      </c>
      <c r="E519" s="1026"/>
      <c r="F519" s="294">
        <v>-3693366.1499999901</v>
      </c>
    </row>
    <row r="520" spans="1:6">
      <c r="A520" s="681" t="s">
        <v>247</v>
      </c>
      <c r="B520" s="294">
        <f>(IFERROR(VLOOKUP(D520,obrotówka!$A$3:$J$1600,10,0),0))</f>
        <v>0</v>
      </c>
      <c r="C520" s="1047"/>
      <c r="D520" s="681" t="s">
        <v>246</v>
      </c>
      <c r="E520" s="1026"/>
      <c r="F520" s="294">
        <v>-1265</v>
      </c>
    </row>
    <row r="521" spans="1:6">
      <c r="A521" s="681" t="s">
        <v>249</v>
      </c>
      <c r="B521" s="294">
        <f>(IFERROR(VLOOKUP(D521,obrotówka!$A$3:$J$1600,10,0),0))</f>
        <v>2450356.79999999</v>
      </c>
      <c r="C521" s="1047"/>
      <c r="D521" s="681" t="s">
        <v>248</v>
      </c>
      <c r="E521" s="1026"/>
      <c r="F521" s="294">
        <v>1782420.82</v>
      </c>
    </row>
    <row r="522" spans="1:6">
      <c r="A522" s="681" t="s">
        <v>1344</v>
      </c>
      <c r="B522" s="294">
        <f>(IFERROR(VLOOKUP(D522,obrotówka!$A$3:$J$1600,10,0),0))</f>
        <v>0</v>
      </c>
      <c r="C522" s="1047"/>
      <c r="D522" s="681" t="s">
        <v>250</v>
      </c>
      <c r="E522" s="1026"/>
      <c r="F522" s="294">
        <v>1265</v>
      </c>
    </row>
    <row r="523" spans="1:6">
      <c r="A523" s="681" t="s">
        <v>1345</v>
      </c>
      <c r="B523" s="294">
        <f>(IFERROR(VLOOKUP(D523,obrotówka!$A$3:$J$1600,10,0),0))</f>
        <v>0</v>
      </c>
      <c r="C523" s="1047"/>
      <c r="D523" s="681" t="s">
        <v>252</v>
      </c>
      <c r="E523" s="1026"/>
      <c r="F523" s="294">
        <v>0</v>
      </c>
    </row>
    <row r="524" spans="1:6">
      <c r="A524" s="681" t="s">
        <v>1346</v>
      </c>
      <c r="B524" s="294">
        <f>(IFERROR(VLOOKUP(D524,obrotówka!$A$3:$J$1600,10,0),0))</f>
        <v>0</v>
      </c>
      <c r="C524" s="1047"/>
      <c r="D524" s="681" t="s">
        <v>345</v>
      </c>
      <c r="E524" s="1026"/>
      <c r="F524" s="294">
        <v>0</v>
      </c>
    </row>
    <row r="525" spans="1:6">
      <c r="A525" s="1130" t="s">
        <v>1347</v>
      </c>
      <c r="B525" s="1117">
        <f>B526</f>
        <v>-3962296.8399999901</v>
      </c>
      <c r="F525" s="1117">
        <v>-4068499.85</v>
      </c>
    </row>
    <row r="526" spans="1:6">
      <c r="A526" s="681" t="s">
        <v>1348</v>
      </c>
      <c r="B526" s="294">
        <f>(IFERROR(VLOOKUP(D526,obrotówka!$A$3:$J$1600,9,0),0))</f>
        <v>-3962296.8399999901</v>
      </c>
      <c r="C526" s="1047"/>
      <c r="D526" s="681" t="s">
        <v>236</v>
      </c>
      <c r="E526" s="1026"/>
      <c r="F526" s="294">
        <v>-4068499.85</v>
      </c>
    </row>
    <row r="527" spans="1:6">
      <c r="A527" s="1130" t="s">
        <v>1349</v>
      </c>
      <c r="B527" s="1117">
        <f>B528</f>
        <v>-1081792</v>
      </c>
      <c r="F527" s="1117">
        <v>-1259137</v>
      </c>
    </row>
    <row r="528" spans="1:6">
      <c r="A528" s="681" t="s">
        <v>232</v>
      </c>
      <c r="B528" s="294">
        <f>(IFERROR(VLOOKUP(D528,obrotówka!$A$3:$J$1600,9,0),0))</f>
        <v>-1081792</v>
      </c>
      <c r="C528" s="1047"/>
      <c r="D528" s="681" t="s">
        <v>231</v>
      </c>
      <c r="E528" s="1026"/>
      <c r="F528" s="294">
        <v>-1259137</v>
      </c>
    </row>
    <row r="529" spans="1:6">
      <c r="A529" s="1130" t="s">
        <v>3558</v>
      </c>
      <c r="B529" s="1117">
        <f>B530</f>
        <v>0</v>
      </c>
      <c r="C529" s="1047"/>
      <c r="D529" s="681"/>
      <c r="E529" s="1026"/>
      <c r="F529" s="1117">
        <v>0</v>
      </c>
    </row>
    <row r="530" spans="1:6">
      <c r="A530" s="681" t="s">
        <v>3557</v>
      </c>
      <c r="B530" s="294">
        <f>(IFERROR(VLOOKUP(D530,obrotówka!$A$3:$J$1600,9,0),0))</f>
        <v>0</v>
      </c>
      <c r="C530" s="1047"/>
      <c r="D530" s="681" t="s">
        <v>3450</v>
      </c>
      <c r="E530" s="1026"/>
      <c r="F530" s="294">
        <v>0</v>
      </c>
    </row>
    <row r="531" spans="1:6">
      <c r="A531" s="1130" t="s">
        <v>1350</v>
      </c>
      <c r="B531" s="1117">
        <f>B532+B533</f>
        <v>0</v>
      </c>
      <c r="F531" s="1117">
        <v>0</v>
      </c>
    </row>
    <row r="532" spans="1:6">
      <c r="A532" s="681" t="s">
        <v>1351</v>
      </c>
      <c r="B532" s="294">
        <f>(IFERROR(VLOOKUP(D532,obrotówka!$A$3:$J$1600,10,0),0))</f>
        <v>0</v>
      </c>
      <c r="C532" s="1047"/>
      <c r="D532" s="681" t="s">
        <v>238</v>
      </c>
      <c r="E532" s="1026"/>
      <c r="F532" s="294">
        <v>0</v>
      </c>
    </row>
    <row r="533" spans="1:6">
      <c r="A533" s="681" t="s">
        <v>1351</v>
      </c>
      <c r="B533" s="294">
        <f>(IFERROR(VLOOKUP(D533,obrotówka!$A$3:$J$1600,10,0),0))</f>
        <v>0</v>
      </c>
      <c r="C533" s="1047"/>
      <c r="D533" s="681" t="s">
        <v>3090</v>
      </c>
      <c r="E533" s="1026"/>
      <c r="F533" s="294">
        <v>0</v>
      </c>
    </row>
    <row r="534" spans="1:6">
      <c r="A534" s="1130" t="s">
        <v>1352</v>
      </c>
      <c r="B534" s="1117">
        <f>SUM(B535:B539)</f>
        <v>-3672833.4999999902</v>
      </c>
      <c r="F534" s="1117">
        <v>-3862377.2899999903</v>
      </c>
    </row>
    <row r="535" spans="1:6">
      <c r="A535" s="681" t="s">
        <v>1353</v>
      </c>
      <c r="B535" s="294">
        <f>(IFERROR(VLOOKUP(D535,obrotówka!$A$3:$J$1600,9,0),0))</f>
        <v>-3592397.1099999901</v>
      </c>
      <c r="C535" s="1047"/>
      <c r="D535" s="681" t="s">
        <v>256</v>
      </c>
      <c r="E535" s="1026"/>
      <c r="F535" s="294">
        <v>-3801046.8799999901</v>
      </c>
    </row>
    <row r="536" spans="1:6">
      <c r="A536" s="681" t="s">
        <v>1354</v>
      </c>
      <c r="B536" s="294">
        <f>(IFERROR(VLOOKUP(D536,obrotówka!$A$3:$J$1600,9,0),0))</f>
        <v>-53433.93</v>
      </c>
      <c r="C536" s="1047"/>
      <c r="D536" s="681" t="s">
        <v>258</v>
      </c>
      <c r="E536" s="1026"/>
      <c r="F536" s="294">
        <v>-40939.019999999902</v>
      </c>
    </row>
    <row r="537" spans="1:6">
      <c r="A537" s="681" t="s">
        <v>1355</v>
      </c>
      <c r="B537" s="294">
        <f>(IFERROR(VLOOKUP(D537,obrotówka!$A$3:$J$1600,9,0),0))</f>
        <v>-27002.459999999901</v>
      </c>
      <c r="C537" s="1047"/>
      <c r="D537" s="681" t="s">
        <v>259</v>
      </c>
      <c r="E537" s="1026"/>
      <c r="F537" s="294">
        <v>-20391.389999999901</v>
      </c>
    </row>
    <row r="538" spans="1:6">
      <c r="A538" s="681" t="s">
        <v>1356</v>
      </c>
      <c r="B538" s="294">
        <f>(IFERROR(VLOOKUP(D538,obrotówka!$A$3:$J$1600,10,0),0))</f>
        <v>0</v>
      </c>
      <c r="C538" s="1047"/>
      <c r="D538" s="681" t="s">
        <v>261</v>
      </c>
      <c r="E538" s="1026"/>
      <c r="F538" s="294">
        <v>0</v>
      </c>
    </row>
    <row r="539" spans="1:6" s="654" customFormat="1">
      <c r="A539" s="1134"/>
      <c r="B539" s="294"/>
      <c r="C539" s="1047"/>
      <c r="D539" s="1134"/>
      <c r="E539" s="1026"/>
      <c r="F539" s="294"/>
    </row>
    <row r="540" spans="1:6">
      <c r="A540" s="1130" t="s">
        <v>1357</v>
      </c>
      <c r="B540" s="1117">
        <f>B541+B544+B542+B543</f>
        <v>-3197833.3199999901</v>
      </c>
      <c r="F540" s="1117">
        <v>-4209046.2699999893</v>
      </c>
    </row>
    <row r="541" spans="1:6">
      <c r="A541" s="681" t="s">
        <v>1358</v>
      </c>
      <c r="B541" s="294">
        <f>(IFERROR(VLOOKUP(D541,obrotówka!$A$3:$J$1600,9,0),0))</f>
        <v>-3197833.3199999901</v>
      </c>
      <c r="C541" s="1047"/>
      <c r="D541" s="681" t="s">
        <v>273</v>
      </c>
      <c r="E541" s="1026"/>
      <c r="F541" s="294">
        <v>-4053689.3399999901</v>
      </c>
    </row>
    <row r="542" spans="1:6">
      <c r="A542" s="681" t="s">
        <v>3701</v>
      </c>
      <c r="B542" s="294">
        <f>(IFERROR(VLOOKUP(D542,obrotówka!$A$3:$J$1600,9,0),0))</f>
        <v>0</v>
      </c>
      <c r="C542" s="1047"/>
      <c r="D542" s="681" t="s">
        <v>3700</v>
      </c>
      <c r="E542" s="1026"/>
      <c r="F542" s="294">
        <v>0</v>
      </c>
    </row>
    <row r="543" spans="1:6">
      <c r="A543" s="681" t="s">
        <v>3703</v>
      </c>
      <c r="B543" s="294">
        <f>(IFERROR(VLOOKUP(D543,obrotówka!$A$3:$J$1600,9,0),0))</f>
        <v>0</v>
      </c>
      <c r="C543" s="1047"/>
      <c r="D543" s="681" t="s">
        <v>3702</v>
      </c>
      <c r="E543" s="1026"/>
      <c r="F543" s="294">
        <v>0</v>
      </c>
    </row>
    <row r="544" spans="1:6">
      <c r="A544" s="681" t="s">
        <v>1359</v>
      </c>
      <c r="B544" s="294">
        <f>(IFERROR(VLOOKUP(D544,obrotówka!$A$3:$J$1600,9,0),0))</f>
        <v>0</v>
      </c>
      <c r="C544" s="1047"/>
      <c r="D544" s="681" t="s">
        <v>277</v>
      </c>
      <c r="E544" s="1026"/>
      <c r="F544" s="294">
        <v>-155356.929999999</v>
      </c>
    </row>
    <row r="545" spans="1:10">
      <c r="A545" s="1130" t="s">
        <v>1360</v>
      </c>
      <c r="B545" s="1117">
        <f>B546+B549+B548+B547</f>
        <v>-2260302.8399999901</v>
      </c>
      <c r="F545" s="1117">
        <v>-8864151.4199999906</v>
      </c>
    </row>
    <row r="546" spans="1:10">
      <c r="A546" s="681" t="s">
        <v>1361</v>
      </c>
      <c r="B546" s="294">
        <f>(IFERROR(VLOOKUP(D546,obrotówka!$A$3:$J$1600,9,0),0))</f>
        <v>0</v>
      </c>
      <c r="C546" s="1047"/>
      <c r="D546" s="681" t="s">
        <v>275</v>
      </c>
      <c r="E546" s="1026"/>
      <c r="F546" s="294">
        <v>0</v>
      </c>
    </row>
    <row r="547" spans="1:10">
      <c r="A547" s="681" t="s">
        <v>3305</v>
      </c>
      <c r="B547" s="294">
        <f>(IFERROR(VLOOKUP(D547,obrotówka!$A$3:$J$1600,9,0),0))</f>
        <v>0</v>
      </c>
      <c r="C547" s="1047"/>
      <c r="D547" s="681" t="s">
        <v>3303</v>
      </c>
      <c r="E547" s="1026"/>
      <c r="F547" s="294">
        <v>-6603848.5800000001</v>
      </c>
    </row>
    <row r="548" spans="1:10">
      <c r="A548" s="1129" t="s">
        <v>2526</v>
      </c>
      <c r="B548" s="294"/>
      <c r="C548" s="1047"/>
      <c r="D548" s="681"/>
      <c r="E548" s="1026"/>
      <c r="F548" s="294"/>
    </row>
    <row r="549" spans="1:10">
      <c r="A549" s="681" t="s">
        <v>1362</v>
      </c>
      <c r="B549" s="294">
        <f>(IFERROR(VLOOKUP(D549,obrotówka!$A$3:$J$1600,9,0),0))</f>
        <v>-2260302.8399999901</v>
      </c>
      <c r="C549" s="1047"/>
      <c r="D549" s="681" t="s">
        <v>278</v>
      </c>
      <c r="E549" s="1026"/>
      <c r="F549" s="294">
        <v>-2260302.8399999901</v>
      </c>
    </row>
    <row r="550" spans="1:10">
      <c r="A550" s="1130" t="s">
        <v>1363</v>
      </c>
      <c r="B550" s="1117">
        <f>B551</f>
        <v>-81024</v>
      </c>
      <c r="F550" s="1117">
        <v>-79129</v>
      </c>
    </row>
    <row r="551" spans="1:10">
      <c r="A551" s="681" t="s">
        <v>243</v>
      </c>
      <c r="B551" s="294">
        <f>(IFERROR(VLOOKUP(D551,obrotówka!$A$3:$J$1600,9,0),0))</f>
        <v>-81024</v>
      </c>
      <c r="C551" s="1047"/>
      <c r="D551" s="681" t="s">
        <v>242</v>
      </c>
      <c r="E551" s="1026"/>
      <c r="F551" s="294">
        <v>-79129</v>
      </c>
    </row>
    <row r="552" spans="1:10">
      <c r="A552" s="1130" t="s">
        <v>1364</v>
      </c>
      <c r="B552" s="1117">
        <f>B553</f>
        <v>0</v>
      </c>
      <c r="F552" s="1117">
        <v>0</v>
      </c>
    </row>
    <row r="553" spans="1:10">
      <c r="A553" s="681" t="s">
        <v>241</v>
      </c>
      <c r="B553" s="294">
        <f>(IFERROR(VLOOKUP(D553,obrotówka!$A$3:$J$1600,9,0),0))</f>
        <v>0</v>
      </c>
      <c r="C553" s="1047"/>
      <c r="D553" s="681" t="s">
        <v>240</v>
      </c>
      <c r="E553" s="1026"/>
      <c r="F553" s="294">
        <v>0</v>
      </c>
    </row>
    <row r="554" spans="1:10">
      <c r="A554" s="1130" t="s">
        <v>1365</v>
      </c>
      <c r="B554" s="1117">
        <f>B555+B561+B566+B560</f>
        <v>-443833.94000000006</v>
      </c>
      <c r="F554" s="1117">
        <v>-465436.76</v>
      </c>
    </row>
    <row r="555" spans="1:10">
      <c r="A555" s="1130" t="s">
        <v>1366</v>
      </c>
      <c r="B555" s="1117">
        <f>B556+B557+B558+B559</f>
        <v>0</v>
      </c>
      <c r="F555" s="1117">
        <v>0</v>
      </c>
    </row>
    <row r="556" spans="1:10">
      <c r="A556" s="681" t="s">
        <v>1367</v>
      </c>
      <c r="B556" s="294">
        <f>(IFERROR(VLOOKUP(D556,obrotówka!$A$3:$J$1600,9,0),0))</f>
        <v>0</v>
      </c>
      <c r="C556" s="1638"/>
      <c r="D556" s="681" t="s">
        <v>304</v>
      </c>
      <c r="E556" s="1026"/>
      <c r="F556" s="294">
        <v>0</v>
      </c>
    </row>
    <row r="557" spans="1:10">
      <c r="A557" s="1129"/>
      <c r="B557" s="297"/>
      <c r="C557" s="1047"/>
      <c r="D557" s="681"/>
      <c r="E557" s="1026"/>
      <c r="F557" s="297">
        <v>0</v>
      </c>
      <c r="I557" s="1125"/>
      <c r="J557" s="1125"/>
    </row>
    <row r="558" spans="1:10">
      <c r="A558" s="681" t="s">
        <v>2497</v>
      </c>
      <c r="B558" s="294">
        <f>(IFERROR(VLOOKUP(D558,obrotówka!$A$3:$J$1600,9,0),0))</f>
        <v>0</v>
      </c>
      <c r="C558" s="1047"/>
      <c r="D558" s="681" t="s">
        <v>2490</v>
      </c>
      <c r="E558" s="1026"/>
      <c r="F558" s="294">
        <v>0</v>
      </c>
      <c r="I558" s="1125"/>
      <c r="J558" s="1125"/>
    </row>
    <row r="559" spans="1:10">
      <c r="A559" s="681" t="s">
        <v>3132</v>
      </c>
      <c r="B559" s="294">
        <f>(IFERROR(VLOOKUP(D559,obrotówka!$A$3:$J$1600,9,0),0))</f>
        <v>0</v>
      </c>
      <c r="C559" s="1047"/>
      <c r="D559" s="681" t="s">
        <v>3130</v>
      </c>
      <c r="E559" s="1026"/>
      <c r="F559" s="294">
        <v>0</v>
      </c>
      <c r="G559" s="1153"/>
      <c r="I559" s="1125"/>
      <c r="J559" s="1125"/>
    </row>
    <row r="560" spans="1:10">
      <c r="A560" s="1116" t="s">
        <v>2106</v>
      </c>
      <c r="B560" s="303">
        <f>IF(SUM(B245:B275)&lt;0,SUM(B245:B275),0)</f>
        <v>0</v>
      </c>
      <c r="C560" s="1047"/>
      <c r="D560" s="681"/>
      <c r="E560" s="1026"/>
      <c r="F560" s="303">
        <v>0</v>
      </c>
      <c r="G560" s="243"/>
      <c r="I560" s="1125"/>
      <c r="J560" s="1125"/>
    </row>
    <row r="561" spans="1:15">
      <c r="A561" s="1130" t="s">
        <v>1368</v>
      </c>
      <c r="B561" s="1117">
        <f>SUM(B562:B565)</f>
        <v>-11452.4</v>
      </c>
      <c r="F561" s="1117">
        <v>-118.60000000000001</v>
      </c>
      <c r="I561" s="1125"/>
      <c r="J561" s="1125"/>
    </row>
    <row r="562" spans="1:15">
      <c r="A562" s="681" t="s">
        <v>1167</v>
      </c>
      <c r="B562" s="294">
        <f>(IFERROR(VLOOKUP(D562,obrotówka!$A$3:$J$1600,10,0),0))</f>
        <v>-11452.4</v>
      </c>
      <c r="C562" s="1047"/>
      <c r="D562" s="681" t="s">
        <v>280</v>
      </c>
      <c r="E562" s="1026"/>
      <c r="F562" s="294">
        <v>113.7</v>
      </c>
      <c r="I562" s="1125"/>
      <c r="J562" s="1125"/>
    </row>
    <row r="563" spans="1:15">
      <c r="A563" s="681" t="s">
        <v>1167</v>
      </c>
      <c r="B563" s="294">
        <f>(IFERROR(VLOOKUP(D563,obrotówka!$A$3:$J$1600,9,0),0))</f>
        <v>0</v>
      </c>
      <c r="C563" s="1047"/>
      <c r="D563" s="681" t="s">
        <v>283</v>
      </c>
      <c r="E563" s="1026"/>
      <c r="F563" s="294">
        <v>-232.3</v>
      </c>
      <c r="I563" s="1125"/>
      <c r="J563" s="1125"/>
    </row>
    <row r="564" spans="1:15">
      <c r="A564" s="681" t="s">
        <v>1369</v>
      </c>
      <c r="B564" s="294">
        <f>(IFERROR(VLOOKUP(D564,obrotówka!$A$3:$J$1600,10,0),0))</f>
        <v>0</v>
      </c>
      <c r="C564" s="1047"/>
      <c r="D564" s="681" t="s">
        <v>286</v>
      </c>
      <c r="E564" s="1026"/>
      <c r="F564" s="294">
        <v>0</v>
      </c>
      <c r="I564" s="1125"/>
      <c r="J564" s="1125"/>
    </row>
    <row r="565" spans="1:15">
      <c r="A565" s="681" t="s">
        <v>1369</v>
      </c>
      <c r="B565" s="294">
        <f>(IFERROR(VLOOKUP(D565,obrotówka!$A$3:$J$1600,9,0),0))</f>
        <v>0</v>
      </c>
      <c r="C565" s="1047"/>
      <c r="D565" s="681" t="s">
        <v>289</v>
      </c>
      <c r="E565" s="1026"/>
      <c r="F565" s="294">
        <v>0</v>
      </c>
    </row>
    <row r="566" spans="1:15">
      <c r="A566" s="1130" t="s">
        <v>1370</v>
      </c>
      <c r="B566" s="1117">
        <f>SUM(B567:B578)-B571-B572-B573</f>
        <v>-432381.54000000004</v>
      </c>
      <c r="F566" s="1117">
        <v>-465318.16000000003</v>
      </c>
    </row>
    <row r="567" spans="1:15">
      <c r="A567" s="681" t="s">
        <v>1225</v>
      </c>
      <c r="B567" s="294">
        <f>(IFERROR(VLOOKUP(D567,obrotówka!$A$3:$J$1600,9,0),0))</f>
        <v>0</v>
      </c>
      <c r="C567" s="1047"/>
      <c r="D567" s="681" t="s">
        <v>145</v>
      </c>
      <c r="E567" s="1026"/>
      <c r="F567" s="294">
        <v>0</v>
      </c>
    </row>
    <row r="568" spans="1:15">
      <c r="A568" s="681"/>
      <c r="B568" s="301"/>
      <c r="C568" s="1047"/>
      <c r="D568" s="681"/>
      <c r="E568" s="1026"/>
      <c r="F568" s="301"/>
    </row>
    <row r="569" spans="1:15">
      <c r="A569" s="681" t="s">
        <v>1371</v>
      </c>
      <c r="B569" s="294">
        <f>(IFERROR(VLOOKUP(D569,obrotówka!$A$3:$J$1600,10,0),0))</f>
        <v>-246526</v>
      </c>
      <c r="C569" s="1059"/>
      <c r="D569" s="681" t="s">
        <v>187</v>
      </c>
      <c r="E569" s="1026"/>
      <c r="F569" s="294">
        <v>-262171</v>
      </c>
      <c r="G569" s="654"/>
      <c r="H569" s="654"/>
    </row>
    <row r="570" spans="1:15">
      <c r="A570" s="1129"/>
      <c r="B570" s="297"/>
      <c r="C570" s="1047"/>
      <c r="D570" s="681" t="s">
        <v>2505</v>
      </c>
      <c r="E570" s="1026"/>
      <c r="F570" s="297"/>
      <c r="G570" s="654"/>
      <c r="H570" s="654"/>
    </row>
    <row r="571" spans="1:15">
      <c r="A571" s="1129" t="s">
        <v>1320</v>
      </c>
      <c r="B571" s="297">
        <f>(IFERROR(VLOOKUP(D571,obrotówka!$A$3:$J$1600,9,0),0))</f>
        <v>0</v>
      </c>
      <c r="C571" s="1047"/>
      <c r="D571" s="681" t="s">
        <v>207</v>
      </c>
      <c r="E571" s="1026"/>
      <c r="F571" s="297">
        <v>0</v>
      </c>
      <c r="G571" s="654"/>
      <c r="H571" s="654"/>
    </row>
    <row r="572" spans="1:15">
      <c r="A572" s="1129" t="s">
        <v>1321</v>
      </c>
      <c r="B572" s="297">
        <f>(IFERROR(VLOOKUP(D572,obrotówka!$A$3:$J$1600,8,0),0))</f>
        <v>0</v>
      </c>
      <c r="C572" s="1047"/>
      <c r="D572" s="681" t="s">
        <v>209</v>
      </c>
      <c r="E572" s="1026"/>
      <c r="F572" s="297">
        <v>0</v>
      </c>
      <c r="G572" s="654"/>
      <c r="H572" s="654"/>
    </row>
    <row r="573" spans="1:15">
      <c r="A573" s="1129" t="s">
        <v>1280</v>
      </c>
      <c r="B573" s="297">
        <f>(IFERROR(VLOOKUP(D573,obrotówka!$A$3:$J$1600,9,0),0))</f>
        <v>0</v>
      </c>
      <c r="C573" s="1047"/>
      <c r="D573" s="681" t="s">
        <v>208</v>
      </c>
      <c r="E573" s="1026"/>
      <c r="F573" s="297">
        <v>0</v>
      </c>
      <c r="G573" s="654"/>
      <c r="H573" s="654"/>
    </row>
    <row r="574" spans="1:15">
      <c r="A574" s="681" t="s">
        <v>1372</v>
      </c>
      <c r="B574" s="294">
        <f>(IFERROR(VLOOKUP(D574,obrotówka!$A$3:$J$1600,9,0),0))</f>
        <v>-185855.54</v>
      </c>
      <c r="C574" s="1047"/>
      <c r="D574" s="681" t="s">
        <v>226</v>
      </c>
      <c r="E574" s="1026"/>
      <c r="F574" s="294">
        <v>-203147.16</v>
      </c>
      <c r="G574" s="654"/>
      <c r="H574" s="654"/>
    </row>
    <row r="575" spans="1:15">
      <c r="A575" s="1129" t="s">
        <v>3562</v>
      </c>
      <c r="B575" s="294">
        <f>(IFERROR(VLOOKUP(D575,obrotówka!$A$3:$J$1600,9,0),0))</f>
        <v>0</v>
      </c>
      <c r="C575" s="1047"/>
      <c r="D575" s="681" t="s">
        <v>2523</v>
      </c>
      <c r="E575" s="1026"/>
      <c r="F575" s="294">
        <v>0</v>
      </c>
      <c r="G575" s="654"/>
      <c r="H575" s="654"/>
    </row>
    <row r="576" spans="1:15">
      <c r="A576" s="1134" t="s">
        <v>1231</v>
      </c>
      <c r="B576" s="294">
        <f>(IFERROR(VLOOKUP(D576,obrotówka!$A$3:$J$1600,9,0),0))</f>
        <v>0</v>
      </c>
      <c r="C576" s="1047"/>
      <c r="D576" s="681" t="s">
        <v>302</v>
      </c>
      <c r="E576" s="1026"/>
      <c r="F576" s="294">
        <v>0</v>
      </c>
      <c r="G576" s="1693" t="s">
        <v>2090</v>
      </c>
      <c r="H576" s="1693"/>
      <c r="I576" s="1693"/>
      <c r="J576" s="1693"/>
      <c r="K576" s="654"/>
      <c r="L576" s="654"/>
      <c r="M576" s="654"/>
      <c r="N576" s="654"/>
      <c r="O576" s="654"/>
    </row>
    <row r="577" spans="1:15">
      <c r="A577" s="1129" t="s">
        <v>1231</v>
      </c>
      <c r="B577" s="297"/>
      <c r="C577" s="1047"/>
      <c r="D577" s="1129" t="s">
        <v>302</v>
      </c>
      <c r="E577" s="1026"/>
      <c r="F577" s="297"/>
      <c r="G577" s="1693"/>
      <c r="H577" s="1693"/>
      <c r="I577" s="1693"/>
      <c r="J577" s="1693"/>
      <c r="K577" s="654"/>
      <c r="L577" s="654"/>
      <c r="M577" s="654"/>
      <c r="N577" s="654"/>
      <c r="O577" s="654"/>
    </row>
    <row r="578" spans="1:15">
      <c r="A578" s="681" t="s">
        <v>1373</v>
      </c>
      <c r="B578" s="294">
        <f>(IFERROR(VLOOKUP(D578,obrotówka!$A$3:$J$1600,9,0),0))</f>
        <v>0</v>
      </c>
      <c r="C578" s="1047"/>
      <c r="D578" s="681" t="s">
        <v>298</v>
      </c>
      <c r="E578" s="1026"/>
      <c r="F578" s="294">
        <v>0</v>
      </c>
      <c r="G578" s="654"/>
      <c r="H578" s="654"/>
    </row>
    <row r="579" spans="1:15">
      <c r="A579" s="1138" t="s">
        <v>3309</v>
      </c>
      <c r="B579" s="1115">
        <f>B580</f>
        <v>-31513</v>
      </c>
      <c r="F579" s="1115">
        <v>0</v>
      </c>
      <c r="G579" s="654"/>
      <c r="H579" s="654"/>
    </row>
    <row r="580" spans="1:15">
      <c r="A580" s="1130" t="s">
        <v>3310</v>
      </c>
      <c r="B580" s="1117">
        <f>B581+B582</f>
        <v>-31513</v>
      </c>
      <c r="F580" s="1117">
        <v>0</v>
      </c>
    </row>
    <row r="581" spans="1:15">
      <c r="A581" s="681" t="s">
        <v>3311</v>
      </c>
      <c r="B581" s="294">
        <f>(IFERROR(VLOOKUP(D581,obrotówka!$A$3:$J$1600,10,0),0))</f>
        <v>-31513</v>
      </c>
      <c r="C581" s="1047"/>
      <c r="D581" s="681" t="s">
        <v>3306</v>
      </c>
      <c r="E581" s="1026"/>
      <c r="F581" s="294">
        <v>53224</v>
      </c>
    </row>
    <row r="582" spans="1:15">
      <c r="A582" s="681" t="s">
        <v>3688</v>
      </c>
      <c r="B582" s="294">
        <f>IF(B581&gt;0,-B581,0)</f>
        <v>0</v>
      </c>
      <c r="C582" s="1047"/>
      <c r="D582" s="681"/>
      <c r="E582" s="1026"/>
      <c r="F582" s="294">
        <v>-53224</v>
      </c>
    </row>
    <row r="583" spans="1:15">
      <c r="A583" s="1138" t="s">
        <v>1374</v>
      </c>
      <c r="B583" s="1115">
        <f>B584+B586</f>
        <v>0</v>
      </c>
      <c r="F583" s="1115">
        <v>-106435.2</v>
      </c>
      <c r="G583" s="654"/>
      <c r="H583" s="654"/>
    </row>
    <row r="584" spans="1:15">
      <c r="A584" s="1130" t="s">
        <v>1375</v>
      </c>
      <c r="B584" s="1117">
        <f>B585</f>
        <v>0</v>
      </c>
      <c r="F584" s="1117">
        <v>0</v>
      </c>
    </row>
    <row r="585" spans="1:15">
      <c r="A585" s="681" t="s">
        <v>1376</v>
      </c>
      <c r="B585" s="294">
        <f>(IFERROR(VLOOKUP(D585,obrotówka!$A$3:$J$1600,9,0),0))</f>
        <v>0</v>
      </c>
      <c r="C585" s="1047"/>
      <c r="D585" s="681" t="s">
        <v>893</v>
      </c>
      <c r="E585" s="1026"/>
      <c r="F585" s="294">
        <v>0</v>
      </c>
    </row>
    <row r="586" spans="1:15">
      <c r="A586" s="1130" t="s">
        <v>1377</v>
      </c>
      <c r="B586" s="1117">
        <f>B587</f>
        <v>0</v>
      </c>
      <c r="F586" s="1117">
        <v>-106435.2</v>
      </c>
    </row>
    <row r="587" spans="1:15">
      <c r="A587" s="681" t="s">
        <v>1378</v>
      </c>
      <c r="B587" s="294">
        <f>(IFERROR(VLOOKUP(D587,obrotówka!$A$3:$J$1600,9,0),0))</f>
        <v>0</v>
      </c>
      <c r="C587" s="1047"/>
      <c r="D587" s="681" t="s">
        <v>895</v>
      </c>
      <c r="E587" s="1026"/>
      <c r="F587" s="294">
        <v>-106435.2</v>
      </c>
    </row>
    <row r="588" spans="1:15">
      <c r="A588" s="1138" t="s">
        <v>1379</v>
      </c>
      <c r="B588" s="1115">
        <f>B589+B591+B593+B595</f>
        <v>-2248540.1799999988</v>
      </c>
      <c r="F588" s="1115">
        <v>-2220289.5699999998</v>
      </c>
    </row>
    <row r="589" spans="1:15">
      <c r="A589" s="1130" t="s">
        <v>1284</v>
      </c>
      <c r="B589" s="1117">
        <f>B590</f>
        <v>-448323</v>
      </c>
      <c r="F589" s="1117">
        <v>-563193</v>
      </c>
    </row>
    <row r="590" spans="1:15">
      <c r="A590" s="681" t="s">
        <v>1380</v>
      </c>
      <c r="B590" s="294">
        <f>(IFERROR(VLOOKUP(D590,obrotówka!$A$3:$J$1600,9,0),0))</f>
        <v>-448323</v>
      </c>
      <c r="C590" s="1047"/>
      <c r="D590" s="681" t="s">
        <v>878</v>
      </c>
      <c r="E590" s="1026"/>
      <c r="F590" s="294">
        <v>-563193</v>
      </c>
    </row>
    <row r="591" spans="1:15">
      <c r="A591" s="1130" t="s">
        <v>1286</v>
      </c>
      <c r="B591" s="1117">
        <f>B592</f>
        <v>-1502741</v>
      </c>
      <c r="F591" s="1117">
        <v>-1294362</v>
      </c>
    </row>
    <row r="592" spans="1:15">
      <c r="A592" s="681" t="s">
        <v>1381</v>
      </c>
      <c r="B592" s="294">
        <f>(IFERROR(VLOOKUP(D592,obrotówka!$A$3:$J$1600,9,0),0))</f>
        <v>-1502741</v>
      </c>
      <c r="C592" s="1047"/>
      <c r="D592" s="681" t="s">
        <v>880</v>
      </c>
      <c r="E592" s="1026"/>
      <c r="F592" s="294">
        <v>-1294362</v>
      </c>
    </row>
    <row r="593" spans="1:6">
      <c r="A593" s="1130" t="s">
        <v>1382</v>
      </c>
      <c r="B593" s="1117">
        <f>B594</f>
        <v>0</v>
      </c>
      <c r="F593" s="1117">
        <v>0</v>
      </c>
    </row>
    <row r="594" spans="1:6">
      <c r="A594" s="681" t="s">
        <v>1383</v>
      </c>
      <c r="B594" s="294">
        <f>(IFERROR(VLOOKUP(D594,obrotówka!$A$3:$J$1600,9,0),0))</f>
        <v>0</v>
      </c>
      <c r="C594" s="1047"/>
      <c r="D594" s="681" t="s">
        <v>882</v>
      </c>
      <c r="E594" s="1026"/>
      <c r="F594" s="294">
        <v>0</v>
      </c>
    </row>
    <row r="595" spans="1:6">
      <c r="A595" s="1130" t="s">
        <v>1384</v>
      </c>
      <c r="B595" s="1117">
        <f>SUM(B596:B598)</f>
        <v>-297476.179999999</v>
      </c>
      <c r="F595" s="1117">
        <v>-362734.57</v>
      </c>
    </row>
    <row r="596" spans="1:6">
      <c r="A596" s="681" t="s">
        <v>1385</v>
      </c>
      <c r="B596" s="294">
        <f>(IFERROR(VLOOKUP(D596,obrotówka!$A$3:$J$1600,9,0),0))</f>
        <v>0</v>
      </c>
      <c r="C596" s="1047"/>
      <c r="D596" s="681" t="s">
        <v>888</v>
      </c>
      <c r="E596" s="1026"/>
      <c r="F596" s="294">
        <v>-20411.45</v>
      </c>
    </row>
    <row r="597" spans="1:6">
      <c r="A597" s="681" t="s">
        <v>1386</v>
      </c>
      <c r="B597" s="294">
        <f>(IFERROR(VLOOKUP(D597,obrotówka!$A$3:$J$1600,9,0),0))</f>
        <v>0</v>
      </c>
      <c r="C597" s="1047"/>
      <c r="D597" s="681" t="s">
        <v>890</v>
      </c>
      <c r="E597" s="1026"/>
      <c r="F597" s="294">
        <v>0</v>
      </c>
    </row>
    <row r="598" spans="1:6">
      <c r="A598" s="681" t="s">
        <v>1387</v>
      </c>
      <c r="B598" s="294">
        <f>(IFERROR(VLOOKUP(D598,obrotówka!$A$3:$J$1600,9,0),0))</f>
        <v>-297476.179999999</v>
      </c>
      <c r="C598" s="1047"/>
      <c r="D598" s="681" t="s">
        <v>891</v>
      </c>
      <c r="E598" s="1026"/>
      <c r="F598" s="294">
        <v>-342323.12</v>
      </c>
    </row>
  </sheetData>
  <autoFilter ref="A1:O598"/>
  <sortState ref="H367:J383">
    <sortCondition ref="H367:H383"/>
  </sortState>
  <mergeCells count="9">
    <mergeCell ref="C431:C432"/>
    <mergeCell ref="G205:L205"/>
    <mergeCell ref="G576:J577"/>
    <mergeCell ref="G431:H432"/>
    <mergeCell ref="G197:I197"/>
    <mergeCell ref="G201:I201"/>
    <mergeCell ref="G71:I71"/>
    <mergeCell ref="G72:I72"/>
    <mergeCell ref="G74:I74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0"/>
  <sheetViews>
    <sheetView workbookViewId="0">
      <pane xSplit="1" ySplit="1" topLeftCell="B41" activePane="bottomRight" state="frozen"/>
      <selection activeCell="M57" sqref="M57"/>
      <selection pane="topRight" activeCell="M57" sqref="M57"/>
      <selection pane="bottomLeft" activeCell="M57" sqref="M57"/>
      <selection pane="bottomRight" activeCell="G87" sqref="G87"/>
    </sheetView>
  </sheetViews>
  <sheetFormatPr defaultColWidth="8.88671875" defaultRowHeight="13.2" outlineLevelRow="2"/>
  <cols>
    <col min="1" max="1" width="17" style="598" bestFit="1" customWidth="1"/>
    <col min="2" max="2" width="16" style="598" bestFit="1" customWidth="1"/>
    <col min="3" max="3" width="11" style="598" bestFit="1" customWidth="1"/>
    <col min="4" max="4" width="15.6640625" style="638" customWidth="1"/>
    <col min="5" max="5" width="14" style="598" bestFit="1" customWidth="1"/>
    <col min="6" max="7" width="14" style="598" customWidth="1"/>
    <col min="8" max="8" width="9" style="598" customWidth="1"/>
    <col min="9" max="9" width="18" style="598" customWidth="1"/>
    <col min="10" max="10" width="16" style="598" customWidth="1"/>
    <col min="11" max="11" width="52" style="598" customWidth="1"/>
    <col min="12" max="12" width="10" style="598" customWidth="1"/>
    <col min="13" max="13" width="12" style="598" bestFit="1" customWidth="1"/>
    <col min="14" max="14" width="11" style="598" bestFit="1" customWidth="1"/>
    <col min="15" max="15" width="12.77734375" style="596" customWidth="1"/>
    <col min="16" max="16" width="10.33203125" style="597" customWidth="1"/>
    <col min="17" max="16384" width="8.88671875" style="598"/>
  </cols>
  <sheetData>
    <row r="1" spans="1:16" ht="52.8">
      <c r="A1" s="591" t="s">
        <v>2868</v>
      </c>
      <c r="B1" s="591" t="s">
        <v>2869</v>
      </c>
      <c r="C1" s="592" t="s">
        <v>2870</v>
      </c>
      <c r="D1" s="593" t="s">
        <v>2871</v>
      </c>
      <c r="E1" s="594" t="s">
        <v>2872</v>
      </c>
      <c r="F1" s="595" t="s">
        <v>2873</v>
      </c>
      <c r="G1" s="595" t="s">
        <v>2874</v>
      </c>
      <c r="H1" s="592" t="s">
        <v>2875</v>
      </c>
      <c r="I1" s="591" t="s">
        <v>2876</v>
      </c>
      <c r="J1" s="591" t="s">
        <v>2877</v>
      </c>
      <c r="K1" s="591" t="s">
        <v>2878</v>
      </c>
      <c r="L1" s="591" t="s">
        <v>2879</v>
      </c>
      <c r="M1" s="591" t="s">
        <v>2880</v>
      </c>
      <c r="N1" s="592" t="s">
        <v>2881</v>
      </c>
    </row>
    <row r="2" spans="1:16" ht="13.95" customHeight="1" outlineLevel="2">
      <c r="A2" s="599" t="s">
        <v>2882</v>
      </c>
      <c r="B2" s="600">
        <v>44124</v>
      </c>
      <c r="C2" s="601" t="s">
        <v>2883</v>
      </c>
      <c r="D2" s="602"/>
      <c r="E2" s="603">
        <v>1297871.53</v>
      </c>
      <c r="F2" s="603"/>
      <c r="G2" s="603"/>
      <c r="H2" s="598" t="s">
        <v>2866</v>
      </c>
      <c r="I2" s="598" t="s">
        <v>2884</v>
      </c>
      <c r="J2" s="600">
        <v>44125</v>
      </c>
      <c r="K2" s="598" t="s">
        <v>2885</v>
      </c>
      <c r="L2" s="598" t="s">
        <v>2886</v>
      </c>
      <c r="M2" s="598" t="s">
        <v>190</v>
      </c>
      <c r="N2" s="598" t="s">
        <v>2887</v>
      </c>
      <c r="O2" s="1833">
        <f>D4+E3+E2+D7+E5+E6</f>
        <v>0</v>
      </c>
      <c r="P2" s="1835"/>
    </row>
    <row r="3" spans="1:16" ht="13.95" customHeight="1" outlineLevel="2">
      <c r="A3" s="598" t="s">
        <v>2888</v>
      </c>
      <c r="B3" s="600">
        <v>44007</v>
      </c>
      <c r="C3" s="601" t="s">
        <v>2889</v>
      </c>
      <c r="D3" s="602"/>
      <c r="E3" s="603">
        <v>-1551496.61</v>
      </c>
      <c r="F3" s="603"/>
      <c r="G3" s="603"/>
      <c r="H3" s="598" t="s">
        <v>2866</v>
      </c>
      <c r="I3" s="598" t="s">
        <v>2890</v>
      </c>
      <c r="J3" s="600">
        <v>44039</v>
      </c>
      <c r="K3" s="598" t="s">
        <v>2891</v>
      </c>
      <c r="L3" s="598" t="s">
        <v>2886</v>
      </c>
      <c r="M3" s="598" t="s">
        <v>190</v>
      </c>
      <c r="N3" s="598" t="s">
        <v>2892</v>
      </c>
      <c r="O3" s="1834"/>
      <c r="P3" s="1835"/>
    </row>
    <row r="4" spans="1:16" ht="13.95" customHeight="1" outlineLevel="2">
      <c r="A4" s="598" t="s">
        <v>2893</v>
      </c>
      <c r="B4" s="600">
        <v>44265</v>
      </c>
      <c r="C4" s="601" t="s">
        <v>2894</v>
      </c>
      <c r="D4" s="603">
        <v>253625.08</v>
      </c>
      <c r="E4" s="603"/>
      <c r="F4" s="603"/>
      <c r="G4" s="603"/>
      <c r="H4" s="598" t="s">
        <v>2866</v>
      </c>
      <c r="I4" s="598" t="s">
        <v>2895</v>
      </c>
      <c r="J4" s="600"/>
      <c r="K4" s="598" t="s">
        <v>2896</v>
      </c>
      <c r="L4" s="598" t="s">
        <v>2886</v>
      </c>
      <c r="M4" s="598" t="s">
        <v>349</v>
      </c>
      <c r="N4" s="598" t="s">
        <v>2887</v>
      </c>
      <c r="O4" s="1834"/>
      <c r="P4" s="1835"/>
    </row>
    <row r="5" spans="1:16" ht="13.95" customHeight="1" outlineLevel="2">
      <c r="A5" s="599" t="s">
        <v>2882</v>
      </c>
      <c r="B5" s="600">
        <v>44124</v>
      </c>
      <c r="C5" s="601" t="s">
        <v>2883</v>
      </c>
      <c r="D5" s="604"/>
      <c r="E5" s="605">
        <v>347140.84</v>
      </c>
      <c r="F5" s="605"/>
      <c r="G5" s="605"/>
      <c r="H5" s="598" t="s">
        <v>2866</v>
      </c>
      <c r="I5" s="598" t="s">
        <v>2884</v>
      </c>
      <c r="J5" s="600">
        <v>44125</v>
      </c>
      <c r="K5" s="598" t="s">
        <v>2897</v>
      </c>
      <c r="L5" s="598" t="s">
        <v>2886</v>
      </c>
      <c r="M5" s="598" t="s">
        <v>190</v>
      </c>
      <c r="N5" s="598" t="s">
        <v>2887</v>
      </c>
      <c r="O5" s="1834"/>
      <c r="P5" s="1835"/>
    </row>
    <row r="6" spans="1:16" ht="13.95" customHeight="1" outlineLevel="2">
      <c r="A6" s="598" t="s">
        <v>2898</v>
      </c>
      <c r="B6" s="600">
        <v>44018</v>
      </c>
      <c r="C6" s="601" t="s">
        <v>2889</v>
      </c>
      <c r="D6" s="604"/>
      <c r="E6" s="605">
        <v>-432532.94</v>
      </c>
      <c r="F6" s="605"/>
      <c r="G6" s="605"/>
      <c r="H6" s="598" t="s">
        <v>2866</v>
      </c>
      <c r="I6" s="598" t="s">
        <v>2899</v>
      </c>
      <c r="J6" s="600">
        <v>44049</v>
      </c>
      <c r="K6" s="598" t="s">
        <v>2900</v>
      </c>
      <c r="L6" s="598" t="s">
        <v>2886</v>
      </c>
      <c r="M6" s="598" t="s">
        <v>190</v>
      </c>
      <c r="N6" s="598" t="s">
        <v>2892</v>
      </c>
      <c r="O6" s="1834"/>
      <c r="P6" s="1835"/>
    </row>
    <row r="7" spans="1:16" ht="13.95" customHeight="1" outlineLevel="2">
      <c r="A7" s="598" t="s">
        <v>2893</v>
      </c>
      <c r="B7" s="600">
        <v>44265</v>
      </c>
      <c r="C7" s="601" t="s">
        <v>2894</v>
      </c>
      <c r="D7" s="605">
        <v>85392.1</v>
      </c>
      <c r="E7" s="605"/>
      <c r="F7" s="605"/>
      <c r="G7" s="605"/>
      <c r="H7" s="598" t="s">
        <v>2866</v>
      </c>
      <c r="I7" s="598" t="s">
        <v>2895</v>
      </c>
      <c r="J7" s="600"/>
      <c r="K7" s="598" t="s">
        <v>2901</v>
      </c>
      <c r="L7" s="598" t="s">
        <v>2886</v>
      </c>
      <c r="M7" s="598" t="s">
        <v>349</v>
      </c>
      <c r="N7" s="598" t="s">
        <v>2887</v>
      </c>
      <c r="O7" s="1834"/>
      <c r="P7" s="1835"/>
    </row>
    <row r="8" spans="1:16" ht="13.95" customHeight="1" outlineLevel="2">
      <c r="A8" s="598" t="s">
        <v>2902</v>
      </c>
      <c r="B8" s="600">
        <v>44040</v>
      </c>
      <c r="C8" s="598" t="s">
        <v>2889</v>
      </c>
      <c r="D8" s="606"/>
      <c r="E8" s="607">
        <v>-8586594.2899999991</v>
      </c>
      <c r="F8" s="607"/>
      <c r="G8" s="607"/>
      <c r="H8" s="598" t="s">
        <v>2866</v>
      </c>
      <c r="I8" s="598" t="s">
        <v>2903</v>
      </c>
      <c r="J8" s="600">
        <v>44078</v>
      </c>
      <c r="K8" s="598" t="s">
        <v>2904</v>
      </c>
      <c r="L8" s="598" t="s">
        <v>2886</v>
      </c>
      <c r="M8" s="598" t="s">
        <v>190</v>
      </c>
      <c r="N8" s="598" t="s">
        <v>2892</v>
      </c>
      <c r="O8" s="1833">
        <f>E8+E9+D10+D11+D12</f>
        <v>1251799.2300000004</v>
      </c>
      <c r="P8" s="1835" t="s">
        <v>2905</v>
      </c>
    </row>
    <row r="9" spans="1:16" ht="13.95" customHeight="1" outlineLevel="2">
      <c r="A9" s="598" t="s">
        <v>2906</v>
      </c>
      <c r="B9" s="600">
        <v>44196</v>
      </c>
      <c r="C9" s="598" t="s">
        <v>2883</v>
      </c>
      <c r="D9" s="606"/>
      <c r="E9" s="607">
        <v>6694404.3799999999</v>
      </c>
      <c r="F9" s="607"/>
      <c r="G9" s="607"/>
      <c r="H9" s="598" t="s">
        <v>2866</v>
      </c>
      <c r="I9" s="598" t="s">
        <v>2907</v>
      </c>
      <c r="J9" s="600">
        <v>44196</v>
      </c>
      <c r="K9" s="598" t="s">
        <v>2908</v>
      </c>
      <c r="L9" s="598" t="s">
        <v>2909</v>
      </c>
      <c r="M9" s="598" t="s">
        <v>190</v>
      </c>
      <c r="N9" s="598" t="s">
        <v>2887</v>
      </c>
      <c r="O9" s="1834"/>
      <c r="P9" s="1835"/>
    </row>
    <row r="10" spans="1:16" ht="13.95" customHeight="1" outlineLevel="2">
      <c r="A10" s="598" t="s">
        <v>2902</v>
      </c>
      <c r="B10" s="600">
        <v>44040</v>
      </c>
      <c r="C10" s="598" t="s">
        <v>2894</v>
      </c>
      <c r="D10" s="607">
        <v>6980970.9199999999</v>
      </c>
      <c r="E10" s="607"/>
      <c r="F10" s="607"/>
      <c r="G10" s="607"/>
      <c r="H10" s="598" t="s">
        <v>2866</v>
      </c>
      <c r="I10" s="598" t="s">
        <v>2903</v>
      </c>
      <c r="J10" s="600"/>
      <c r="K10" s="598" t="s">
        <v>2910</v>
      </c>
      <c r="L10" s="598" t="s">
        <v>2886</v>
      </c>
      <c r="M10" s="598" t="s">
        <v>349</v>
      </c>
      <c r="N10" s="598" t="s">
        <v>2892</v>
      </c>
      <c r="O10" s="1834"/>
      <c r="P10" s="1835"/>
    </row>
    <row r="11" spans="1:16" ht="13.95" customHeight="1" outlineLevel="2">
      <c r="A11" s="598" t="s">
        <v>2902</v>
      </c>
      <c r="B11" s="600">
        <v>44040</v>
      </c>
      <c r="C11" s="598" t="s">
        <v>2894</v>
      </c>
      <c r="D11" s="607">
        <v>1605623.37</v>
      </c>
      <c r="E11" s="607"/>
      <c r="F11" s="607"/>
      <c r="G11" s="607"/>
      <c r="H11" s="598" t="s">
        <v>2866</v>
      </c>
      <c r="I11" s="598" t="s">
        <v>2903</v>
      </c>
      <c r="J11" s="600"/>
      <c r="K11" s="598" t="s">
        <v>2911</v>
      </c>
      <c r="L11" s="598" t="s">
        <v>2886</v>
      </c>
      <c r="M11" s="598" t="s">
        <v>349</v>
      </c>
      <c r="N11" s="598" t="s">
        <v>2892</v>
      </c>
      <c r="O11" s="1834"/>
      <c r="P11" s="1835"/>
    </row>
    <row r="12" spans="1:16" ht="13.95" customHeight="1" outlineLevel="2">
      <c r="A12" s="598" t="s">
        <v>2912</v>
      </c>
      <c r="B12" s="600">
        <v>44196</v>
      </c>
      <c r="C12" s="598" t="s">
        <v>2913</v>
      </c>
      <c r="D12" s="607">
        <v>-5442605.1500000004</v>
      </c>
      <c r="E12" s="599"/>
      <c r="F12" s="599"/>
      <c r="G12" s="599"/>
      <c r="H12" s="598" t="s">
        <v>2866</v>
      </c>
      <c r="I12" s="598" t="s">
        <v>2914</v>
      </c>
      <c r="J12" s="608" t="s">
        <v>2903</v>
      </c>
      <c r="K12" s="598" t="s">
        <v>2915</v>
      </c>
      <c r="L12" s="598" t="s">
        <v>2886</v>
      </c>
      <c r="M12" s="598" t="s">
        <v>349</v>
      </c>
      <c r="N12" s="598" t="s">
        <v>2887</v>
      </c>
      <c r="O12" s="1834"/>
      <c r="P12" s="1835"/>
    </row>
    <row r="13" spans="1:16" ht="13.95" customHeight="1" outlineLevel="2">
      <c r="A13" s="598" t="s">
        <v>2916</v>
      </c>
      <c r="B13" s="600">
        <v>44034</v>
      </c>
      <c r="C13" s="598" t="s">
        <v>2889</v>
      </c>
      <c r="D13" s="609"/>
      <c r="E13" s="610">
        <v>-3013377</v>
      </c>
      <c r="F13" s="610"/>
      <c r="G13" s="610"/>
      <c r="H13" s="598" t="s">
        <v>2866</v>
      </c>
      <c r="I13" s="598" t="s">
        <v>2917</v>
      </c>
      <c r="J13" s="600">
        <v>44067</v>
      </c>
      <c r="K13" s="598" t="s">
        <v>2918</v>
      </c>
      <c r="L13" s="598" t="s">
        <v>2886</v>
      </c>
      <c r="M13" s="598" t="s">
        <v>190</v>
      </c>
      <c r="N13" s="598" t="s">
        <v>2892</v>
      </c>
      <c r="O13" s="1833">
        <f>D15+D16+D17+E13+E14</f>
        <v>563477</v>
      </c>
      <c r="P13" s="1835" t="s">
        <v>2905</v>
      </c>
    </row>
    <row r="14" spans="1:16" ht="13.95" customHeight="1" outlineLevel="2">
      <c r="A14" s="598" t="s">
        <v>2906</v>
      </c>
      <c r="B14" s="600">
        <v>44196</v>
      </c>
      <c r="C14" s="598" t="s">
        <v>2883</v>
      </c>
      <c r="D14" s="609"/>
      <c r="E14" s="610">
        <v>3013377</v>
      </c>
      <c r="F14" s="610"/>
      <c r="G14" s="610"/>
      <c r="H14" s="598" t="s">
        <v>2866</v>
      </c>
      <c r="I14" s="598" t="s">
        <v>2907</v>
      </c>
      <c r="J14" s="600">
        <v>44196</v>
      </c>
      <c r="K14" s="598" t="s">
        <v>2919</v>
      </c>
      <c r="L14" s="598" t="s">
        <v>2909</v>
      </c>
      <c r="M14" s="598" t="s">
        <v>190</v>
      </c>
      <c r="N14" s="598" t="s">
        <v>2887</v>
      </c>
      <c r="O14" s="1834"/>
      <c r="P14" s="1835"/>
    </row>
    <row r="15" spans="1:16" ht="13.95" customHeight="1" outlineLevel="2">
      <c r="A15" s="598" t="s">
        <v>2916</v>
      </c>
      <c r="B15" s="600">
        <v>44034</v>
      </c>
      <c r="C15" s="598" t="s">
        <v>2894</v>
      </c>
      <c r="D15" s="610">
        <v>2449900</v>
      </c>
      <c r="E15" s="610"/>
      <c r="F15" s="610"/>
      <c r="G15" s="610"/>
      <c r="H15" s="598" t="s">
        <v>2866</v>
      </c>
      <c r="I15" s="598" t="s">
        <v>2917</v>
      </c>
      <c r="J15" s="600"/>
      <c r="K15" s="598" t="s">
        <v>2910</v>
      </c>
      <c r="L15" s="598" t="s">
        <v>2886</v>
      </c>
      <c r="M15" s="598" t="s">
        <v>349</v>
      </c>
      <c r="N15" s="598" t="s">
        <v>2892</v>
      </c>
      <c r="O15" s="1834"/>
      <c r="P15" s="1835"/>
    </row>
    <row r="16" spans="1:16" ht="13.95" customHeight="1" outlineLevel="2">
      <c r="A16" s="598" t="s">
        <v>2916</v>
      </c>
      <c r="B16" s="600">
        <v>44034</v>
      </c>
      <c r="C16" s="598" t="s">
        <v>2894</v>
      </c>
      <c r="D16" s="610">
        <v>563477</v>
      </c>
      <c r="E16" s="610"/>
      <c r="F16" s="610"/>
      <c r="G16" s="610"/>
      <c r="H16" s="598" t="s">
        <v>2866</v>
      </c>
      <c r="I16" s="598" t="s">
        <v>2917</v>
      </c>
      <c r="J16" s="600"/>
      <c r="K16" s="598" t="s">
        <v>2911</v>
      </c>
      <c r="L16" s="598" t="s">
        <v>2886</v>
      </c>
      <c r="M16" s="598" t="s">
        <v>349</v>
      </c>
      <c r="N16" s="598" t="s">
        <v>2892</v>
      </c>
      <c r="O16" s="1834"/>
      <c r="P16" s="1835"/>
    </row>
    <row r="17" spans="1:16" ht="13.95" customHeight="1" outlineLevel="2">
      <c r="A17" s="598" t="s">
        <v>2912</v>
      </c>
      <c r="B17" s="600">
        <v>44196</v>
      </c>
      <c r="C17" s="598" t="s">
        <v>2913</v>
      </c>
      <c r="D17" s="610">
        <v>-2449900</v>
      </c>
      <c r="E17" s="611"/>
      <c r="F17" s="611"/>
      <c r="G17" s="611"/>
      <c r="H17" s="598" t="s">
        <v>2866</v>
      </c>
      <c r="I17" s="598" t="s">
        <v>2914</v>
      </c>
      <c r="J17" s="608" t="s">
        <v>2917</v>
      </c>
      <c r="K17" s="598" t="s">
        <v>2915</v>
      </c>
      <c r="L17" s="598" t="s">
        <v>2886</v>
      </c>
      <c r="M17" s="598" t="s">
        <v>349</v>
      </c>
      <c r="N17" s="598" t="s">
        <v>2887</v>
      </c>
      <c r="O17" s="1834"/>
      <c r="P17" s="1835"/>
    </row>
    <row r="18" spans="1:16" ht="13.95" customHeight="1" outlineLevel="2">
      <c r="A18" s="598" t="s">
        <v>2920</v>
      </c>
      <c r="B18" s="600">
        <v>44034</v>
      </c>
      <c r="C18" s="598" t="s">
        <v>2889</v>
      </c>
      <c r="D18" s="612"/>
      <c r="E18" s="613">
        <v>-968444.99</v>
      </c>
      <c r="F18" s="613"/>
      <c r="G18" s="613"/>
      <c r="H18" s="598" t="s">
        <v>2866</v>
      </c>
      <c r="I18" s="598" t="s">
        <v>2921</v>
      </c>
      <c r="J18" s="600">
        <v>44067</v>
      </c>
      <c r="K18" s="598" t="s">
        <v>2922</v>
      </c>
      <c r="L18" s="598" t="s">
        <v>2886</v>
      </c>
      <c r="M18" s="598" t="s">
        <v>190</v>
      </c>
      <c r="N18" s="598" t="s">
        <v>2892</v>
      </c>
      <c r="O18" s="1833">
        <f>D20+D21+D22+E18+E19</f>
        <v>41969.549999999959</v>
      </c>
      <c r="P18" s="1835" t="s">
        <v>2905</v>
      </c>
    </row>
    <row r="19" spans="1:16" ht="13.95" customHeight="1" outlineLevel="2">
      <c r="A19" s="598" t="s">
        <v>2906</v>
      </c>
      <c r="B19" s="600">
        <v>44196</v>
      </c>
      <c r="C19" s="598" t="s">
        <v>2883</v>
      </c>
      <c r="D19" s="612"/>
      <c r="E19" s="613">
        <v>224445.84</v>
      </c>
      <c r="F19" s="613"/>
      <c r="G19" s="613"/>
      <c r="H19" s="598" t="s">
        <v>2866</v>
      </c>
      <c r="I19" s="598" t="s">
        <v>2907</v>
      </c>
      <c r="J19" s="600">
        <v>44196</v>
      </c>
      <c r="K19" s="598" t="s">
        <v>2923</v>
      </c>
      <c r="L19" s="598" t="s">
        <v>2909</v>
      </c>
      <c r="M19" s="598" t="s">
        <v>190</v>
      </c>
      <c r="N19" s="598" t="s">
        <v>2887</v>
      </c>
      <c r="O19" s="1834"/>
      <c r="P19" s="1835"/>
    </row>
    <row r="20" spans="1:16" ht="13.95" customHeight="1" outlineLevel="2">
      <c r="A20" s="598" t="s">
        <v>2920</v>
      </c>
      <c r="B20" s="600">
        <v>44034</v>
      </c>
      <c r="C20" s="598" t="s">
        <v>2894</v>
      </c>
      <c r="D20" s="613">
        <v>787353.64</v>
      </c>
      <c r="E20" s="613"/>
      <c r="F20" s="613"/>
      <c r="G20" s="613"/>
      <c r="H20" s="598" t="s">
        <v>2866</v>
      </c>
      <c r="I20" s="598" t="s">
        <v>2921</v>
      </c>
      <c r="J20" s="600"/>
      <c r="K20" s="598" t="s">
        <v>2924</v>
      </c>
      <c r="L20" s="598" t="s">
        <v>2886</v>
      </c>
      <c r="M20" s="598" t="s">
        <v>349</v>
      </c>
      <c r="N20" s="598" t="s">
        <v>2892</v>
      </c>
      <c r="O20" s="1834"/>
      <c r="P20" s="1835"/>
    </row>
    <row r="21" spans="1:16" ht="13.95" customHeight="1" outlineLevel="2">
      <c r="A21" s="598" t="s">
        <v>2920</v>
      </c>
      <c r="B21" s="600">
        <v>44034</v>
      </c>
      <c r="C21" s="598" t="s">
        <v>2894</v>
      </c>
      <c r="D21" s="613">
        <v>181091.35</v>
      </c>
      <c r="E21" s="613"/>
      <c r="F21" s="613"/>
      <c r="G21" s="613"/>
      <c r="H21" s="598" t="s">
        <v>2866</v>
      </c>
      <c r="I21" s="598" t="s">
        <v>2921</v>
      </c>
      <c r="J21" s="600"/>
      <c r="K21" s="598" t="s">
        <v>2911</v>
      </c>
      <c r="L21" s="598" t="s">
        <v>2886</v>
      </c>
      <c r="M21" s="598" t="s">
        <v>349</v>
      </c>
      <c r="N21" s="598" t="s">
        <v>2892</v>
      </c>
      <c r="O21" s="1834"/>
      <c r="P21" s="1835"/>
    </row>
    <row r="22" spans="1:16" ht="13.95" customHeight="1" outlineLevel="2">
      <c r="A22" s="598" t="s">
        <v>2912</v>
      </c>
      <c r="B22" s="600">
        <v>44196</v>
      </c>
      <c r="C22" s="598" t="s">
        <v>2913</v>
      </c>
      <c r="D22" s="613">
        <v>-182476.29</v>
      </c>
      <c r="E22" s="614"/>
      <c r="F22" s="614"/>
      <c r="G22" s="614"/>
      <c r="H22" s="598" t="s">
        <v>2866</v>
      </c>
      <c r="I22" s="598" t="s">
        <v>2914</v>
      </c>
      <c r="J22" s="608" t="s">
        <v>2921</v>
      </c>
      <c r="K22" s="598" t="s">
        <v>2915</v>
      </c>
      <c r="L22" s="598" t="s">
        <v>2886</v>
      </c>
      <c r="M22" s="598" t="s">
        <v>349</v>
      </c>
      <c r="N22" s="598" t="s">
        <v>2887</v>
      </c>
      <c r="O22" s="1834"/>
      <c r="P22" s="1835"/>
    </row>
    <row r="23" spans="1:16" ht="13.95" customHeight="1" outlineLevel="2">
      <c r="A23" s="598" t="s">
        <v>2925</v>
      </c>
      <c r="B23" s="600">
        <v>44034</v>
      </c>
      <c r="C23" s="598" t="s">
        <v>2889</v>
      </c>
      <c r="D23" s="615"/>
      <c r="E23" s="616">
        <v>-112945.65</v>
      </c>
      <c r="F23" s="616"/>
      <c r="G23" s="616"/>
      <c r="H23" s="598" t="s">
        <v>2866</v>
      </c>
      <c r="I23" s="598" t="s">
        <v>2926</v>
      </c>
      <c r="J23" s="600">
        <v>44067</v>
      </c>
      <c r="K23" s="598" t="s">
        <v>2927</v>
      </c>
      <c r="L23" s="598" t="s">
        <v>2886</v>
      </c>
      <c r="M23" s="598" t="s">
        <v>190</v>
      </c>
      <c r="N23" s="598" t="s">
        <v>2892</v>
      </c>
      <c r="O23" s="1833">
        <f>D25+D26+D27+E23+E24</f>
        <v>21119.910000000003</v>
      </c>
      <c r="P23" s="1835" t="s">
        <v>2905</v>
      </c>
    </row>
    <row r="24" spans="1:16" ht="13.95" customHeight="1" outlineLevel="2">
      <c r="A24" s="598" t="s">
        <v>2906</v>
      </c>
      <c r="B24" s="600">
        <v>44196</v>
      </c>
      <c r="C24" s="598" t="s">
        <v>2883</v>
      </c>
      <c r="D24" s="615"/>
      <c r="E24" s="616">
        <v>112945.65</v>
      </c>
      <c r="F24" s="616"/>
      <c r="G24" s="616"/>
      <c r="H24" s="598" t="s">
        <v>2866</v>
      </c>
      <c r="I24" s="598" t="s">
        <v>2907</v>
      </c>
      <c r="J24" s="600">
        <v>44196</v>
      </c>
      <c r="K24" s="598" t="s">
        <v>2928</v>
      </c>
      <c r="L24" s="598" t="s">
        <v>2909</v>
      </c>
      <c r="M24" s="598" t="s">
        <v>190</v>
      </c>
      <c r="N24" s="598" t="s">
        <v>2887</v>
      </c>
      <c r="O24" s="1834"/>
      <c r="P24" s="1835"/>
    </row>
    <row r="25" spans="1:16" ht="13.95" customHeight="1" outlineLevel="2">
      <c r="A25" s="598" t="s">
        <v>2925</v>
      </c>
      <c r="B25" s="600">
        <v>44034</v>
      </c>
      <c r="C25" s="598" t="s">
        <v>2894</v>
      </c>
      <c r="D25" s="616">
        <v>91825.74</v>
      </c>
      <c r="E25" s="616"/>
      <c r="F25" s="616"/>
      <c r="G25" s="616"/>
      <c r="H25" s="598" t="s">
        <v>2866</v>
      </c>
      <c r="I25" s="598" t="s">
        <v>2926</v>
      </c>
      <c r="J25" s="600"/>
      <c r="K25" s="598" t="s">
        <v>2910</v>
      </c>
      <c r="L25" s="598" t="s">
        <v>2886</v>
      </c>
      <c r="M25" s="598" t="s">
        <v>349</v>
      </c>
      <c r="N25" s="598" t="s">
        <v>2892</v>
      </c>
      <c r="O25" s="1834"/>
      <c r="P25" s="1835"/>
    </row>
    <row r="26" spans="1:16" ht="13.95" customHeight="1" outlineLevel="2">
      <c r="A26" s="598" t="s">
        <v>2925</v>
      </c>
      <c r="B26" s="600">
        <v>44034</v>
      </c>
      <c r="C26" s="598" t="s">
        <v>2894</v>
      </c>
      <c r="D26" s="616">
        <v>21119.91</v>
      </c>
      <c r="E26" s="616"/>
      <c r="F26" s="616"/>
      <c r="G26" s="616"/>
      <c r="H26" s="598" t="s">
        <v>2866</v>
      </c>
      <c r="I26" s="598" t="s">
        <v>2926</v>
      </c>
      <c r="J26" s="600"/>
      <c r="K26" s="598" t="s">
        <v>2911</v>
      </c>
      <c r="L26" s="598" t="s">
        <v>2886</v>
      </c>
      <c r="M26" s="598" t="s">
        <v>349</v>
      </c>
      <c r="N26" s="598" t="s">
        <v>2892</v>
      </c>
      <c r="O26" s="1834"/>
      <c r="P26" s="1835"/>
    </row>
    <row r="27" spans="1:16" ht="13.95" customHeight="1" outlineLevel="2">
      <c r="A27" s="598" t="s">
        <v>2912</v>
      </c>
      <c r="B27" s="600">
        <v>44196</v>
      </c>
      <c r="C27" s="598" t="s">
        <v>2913</v>
      </c>
      <c r="D27" s="616">
        <v>-91825.74</v>
      </c>
      <c r="E27" s="617"/>
      <c r="F27" s="617"/>
      <c r="G27" s="617"/>
      <c r="H27" s="598" t="s">
        <v>2866</v>
      </c>
      <c r="I27" s="598" t="s">
        <v>2914</v>
      </c>
      <c r="J27" s="608" t="s">
        <v>2926</v>
      </c>
      <c r="K27" s="598" t="s">
        <v>2915</v>
      </c>
      <c r="L27" s="598" t="s">
        <v>2886</v>
      </c>
      <c r="M27" s="598" t="s">
        <v>349</v>
      </c>
      <c r="N27" s="598" t="s">
        <v>2887</v>
      </c>
      <c r="O27" s="1834"/>
      <c r="P27" s="1835"/>
    </row>
    <row r="28" spans="1:16" ht="13.95" customHeight="1" outlineLevel="2">
      <c r="A28" s="598" t="s">
        <v>2929</v>
      </c>
      <c r="B28" s="600">
        <v>44034</v>
      </c>
      <c r="C28" s="598" t="s">
        <v>2889</v>
      </c>
      <c r="D28" s="618"/>
      <c r="E28" s="619">
        <v>-1487127.17</v>
      </c>
      <c r="F28" s="619"/>
      <c r="G28" s="619"/>
      <c r="H28" s="598" t="s">
        <v>2866</v>
      </c>
      <c r="I28" s="598" t="s">
        <v>2930</v>
      </c>
      <c r="J28" s="600">
        <v>44067</v>
      </c>
      <c r="K28" s="598" t="s">
        <v>2904</v>
      </c>
      <c r="L28" s="598" t="s">
        <v>2886</v>
      </c>
      <c r="M28" s="598" t="s">
        <v>190</v>
      </c>
      <c r="N28" s="598" t="s">
        <v>2892</v>
      </c>
      <c r="O28" s="1833">
        <f>D30+D31+D32+E28+E29</f>
        <v>83649.440000000061</v>
      </c>
      <c r="P28" s="1835" t="s">
        <v>2905</v>
      </c>
    </row>
    <row r="29" spans="1:16" ht="13.95" customHeight="1" outlineLevel="2">
      <c r="A29" s="598" t="s">
        <v>2906</v>
      </c>
      <c r="B29" s="600">
        <v>44196</v>
      </c>
      <c r="C29" s="598" t="s">
        <v>2883</v>
      </c>
      <c r="D29" s="618"/>
      <c r="E29" s="619">
        <v>447342.65</v>
      </c>
      <c r="F29" s="619"/>
      <c r="G29" s="619"/>
      <c r="H29" s="598" t="s">
        <v>2866</v>
      </c>
      <c r="I29" s="598" t="s">
        <v>2907</v>
      </c>
      <c r="J29" s="600">
        <v>44196</v>
      </c>
      <c r="K29" s="598" t="s">
        <v>2931</v>
      </c>
      <c r="L29" s="598" t="s">
        <v>2909</v>
      </c>
      <c r="M29" s="598" t="s">
        <v>190</v>
      </c>
      <c r="N29" s="598" t="s">
        <v>2887</v>
      </c>
      <c r="O29" s="1834"/>
      <c r="P29" s="1835"/>
    </row>
    <row r="30" spans="1:16" ht="13.95" customHeight="1" outlineLevel="2">
      <c r="A30" s="598" t="s">
        <v>2929</v>
      </c>
      <c r="B30" s="600">
        <v>44034</v>
      </c>
      <c r="C30" s="598" t="s">
        <v>2894</v>
      </c>
      <c r="D30" s="619">
        <v>1209046.47</v>
      </c>
      <c r="E30" s="619"/>
      <c r="F30" s="619"/>
      <c r="G30" s="619"/>
      <c r="H30" s="598" t="s">
        <v>2866</v>
      </c>
      <c r="I30" s="598" t="s">
        <v>2930</v>
      </c>
      <c r="J30" s="600"/>
      <c r="K30" s="598" t="s">
        <v>2910</v>
      </c>
      <c r="L30" s="598" t="s">
        <v>2886</v>
      </c>
      <c r="M30" s="598" t="s">
        <v>349</v>
      </c>
      <c r="N30" s="598" t="s">
        <v>2892</v>
      </c>
      <c r="O30" s="1834"/>
      <c r="P30" s="1835"/>
    </row>
    <row r="31" spans="1:16" ht="13.95" customHeight="1" outlineLevel="2">
      <c r="A31" s="598" t="s">
        <v>2929</v>
      </c>
      <c r="B31" s="600">
        <v>44034</v>
      </c>
      <c r="C31" s="598" t="s">
        <v>2894</v>
      </c>
      <c r="D31" s="619">
        <v>278080.7</v>
      </c>
      <c r="E31" s="619"/>
      <c r="F31" s="619"/>
      <c r="G31" s="619"/>
      <c r="H31" s="598" t="s">
        <v>2866</v>
      </c>
      <c r="I31" s="598" t="s">
        <v>2930</v>
      </c>
      <c r="J31" s="600"/>
      <c r="K31" s="598" t="s">
        <v>2911</v>
      </c>
      <c r="L31" s="598" t="s">
        <v>2886</v>
      </c>
      <c r="M31" s="598" t="s">
        <v>349</v>
      </c>
      <c r="N31" s="598" t="s">
        <v>2892</v>
      </c>
      <c r="O31" s="1834"/>
      <c r="P31" s="1835"/>
    </row>
    <row r="32" spans="1:16" ht="13.95" customHeight="1" outlineLevel="2">
      <c r="A32" s="598" t="s">
        <v>2912</v>
      </c>
      <c r="B32" s="600">
        <v>44196</v>
      </c>
      <c r="C32" s="598" t="s">
        <v>2913</v>
      </c>
      <c r="D32" s="619">
        <v>-363693.21</v>
      </c>
      <c r="E32" s="620"/>
      <c r="F32" s="620"/>
      <c r="G32" s="620"/>
      <c r="H32" s="598" t="s">
        <v>2866</v>
      </c>
      <c r="I32" s="598" t="s">
        <v>2914</v>
      </c>
      <c r="J32" s="608" t="s">
        <v>2930</v>
      </c>
      <c r="K32" s="598" t="s">
        <v>2915</v>
      </c>
      <c r="L32" s="598" t="s">
        <v>2886</v>
      </c>
      <c r="M32" s="598" t="s">
        <v>349</v>
      </c>
      <c r="N32" s="598" t="s">
        <v>2887</v>
      </c>
      <c r="O32" s="1834"/>
      <c r="P32" s="1835"/>
    </row>
    <row r="33" spans="1:16" ht="13.95" customHeight="1" outlineLevel="2">
      <c r="A33" s="598" t="s">
        <v>2932</v>
      </c>
      <c r="B33" s="600">
        <v>44040</v>
      </c>
      <c r="C33" s="598" t="s">
        <v>2889</v>
      </c>
      <c r="D33" s="621"/>
      <c r="E33" s="622">
        <v>-779878.76</v>
      </c>
      <c r="F33" s="622"/>
      <c r="G33" s="622"/>
      <c r="H33" s="598" t="s">
        <v>2866</v>
      </c>
      <c r="I33" s="598" t="s">
        <v>2933</v>
      </c>
      <c r="J33" s="600">
        <v>44078</v>
      </c>
      <c r="K33" s="598" t="s">
        <v>2934</v>
      </c>
      <c r="L33" s="598" t="s">
        <v>2886</v>
      </c>
      <c r="M33" s="598" t="s">
        <v>190</v>
      </c>
      <c r="N33" s="598" t="s">
        <v>2892</v>
      </c>
      <c r="O33" s="1833">
        <f>D35+D36+D37+E33+E34</f>
        <v>145830.99</v>
      </c>
      <c r="P33" s="1835" t="s">
        <v>2905</v>
      </c>
    </row>
    <row r="34" spans="1:16" ht="13.95" customHeight="1" outlineLevel="2">
      <c r="A34" s="598" t="s">
        <v>2906</v>
      </c>
      <c r="B34" s="600">
        <v>44196</v>
      </c>
      <c r="C34" s="598" t="s">
        <v>2883</v>
      </c>
      <c r="D34" s="621"/>
      <c r="E34" s="622">
        <v>779878.76</v>
      </c>
      <c r="F34" s="622"/>
      <c r="G34" s="622"/>
      <c r="H34" s="598" t="s">
        <v>2866</v>
      </c>
      <c r="I34" s="598" t="s">
        <v>2907</v>
      </c>
      <c r="J34" s="600">
        <v>44196</v>
      </c>
      <c r="K34" s="598" t="s">
        <v>2935</v>
      </c>
      <c r="L34" s="598" t="s">
        <v>2936</v>
      </c>
      <c r="M34" s="598" t="s">
        <v>190</v>
      </c>
      <c r="N34" s="598" t="s">
        <v>2887</v>
      </c>
      <c r="O34" s="1834"/>
      <c r="P34" s="1835"/>
    </row>
    <row r="35" spans="1:16" ht="13.95" customHeight="1" outlineLevel="2">
      <c r="A35" s="598" t="s">
        <v>2932</v>
      </c>
      <c r="B35" s="600">
        <v>44040</v>
      </c>
      <c r="C35" s="598" t="s">
        <v>2894</v>
      </c>
      <c r="D35" s="622">
        <v>634047.77</v>
      </c>
      <c r="E35" s="622"/>
      <c r="F35" s="622"/>
      <c r="G35" s="622"/>
      <c r="H35" s="598" t="s">
        <v>2866</v>
      </c>
      <c r="I35" s="598" t="s">
        <v>2933</v>
      </c>
      <c r="J35" s="600"/>
      <c r="K35" s="598" t="s">
        <v>2910</v>
      </c>
      <c r="L35" s="598" t="s">
        <v>2886</v>
      </c>
      <c r="M35" s="598" t="s">
        <v>349</v>
      </c>
      <c r="N35" s="598" t="s">
        <v>2892</v>
      </c>
      <c r="O35" s="1834"/>
      <c r="P35" s="1835"/>
    </row>
    <row r="36" spans="1:16" ht="13.95" customHeight="1" outlineLevel="2">
      <c r="A36" s="598" t="s">
        <v>2932</v>
      </c>
      <c r="B36" s="600">
        <v>44040</v>
      </c>
      <c r="C36" s="598" t="s">
        <v>2894</v>
      </c>
      <c r="D36" s="622">
        <v>145830.99</v>
      </c>
      <c r="E36" s="622"/>
      <c r="F36" s="622"/>
      <c r="G36" s="622"/>
      <c r="H36" s="598" t="s">
        <v>2866</v>
      </c>
      <c r="I36" s="598" t="s">
        <v>2933</v>
      </c>
      <c r="J36" s="600"/>
      <c r="K36" s="598" t="s">
        <v>2911</v>
      </c>
      <c r="L36" s="598" t="s">
        <v>2886</v>
      </c>
      <c r="M36" s="598" t="s">
        <v>349</v>
      </c>
      <c r="N36" s="598" t="s">
        <v>2892</v>
      </c>
      <c r="O36" s="1834"/>
      <c r="P36" s="1835"/>
    </row>
    <row r="37" spans="1:16" outlineLevel="2">
      <c r="A37" s="598" t="s">
        <v>2912</v>
      </c>
      <c r="B37" s="600">
        <v>44196</v>
      </c>
      <c r="C37" s="598" t="s">
        <v>2913</v>
      </c>
      <c r="D37" s="622">
        <v>-634047.77</v>
      </c>
      <c r="E37" s="623"/>
      <c r="F37" s="623"/>
      <c r="G37" s="623"/>
      <c r="H37" s="598" t="s">
        <v>2866</v>
      </c>
      <c r="I37" s="598" t="s">
        <v>2914</v>
      </c>
      <c r="J37" s="608" t="s">
        <v>2933</v>
      </c>
      <c r="K37" s="598" t="s">
        <v>2915</v>
      </c>
      <c r="L37" s="598" t="s">
        <v>2886</v>
      </c>
      <c r="M37" s="598" t="s">
        <v>349</v>
      </c>
      <c r="N37" s="598" t="s">
        <v>2887</v>
      </c>
      <c r="O37" s="1834"/>
      <c r="P37" s="1835"/>
    </row>
    <row r="38" spans="1:16" ht="13.95" customHeight="1" outlineLevel="2">
      <c r="A38" s="598" t="s">
        <v>2906</v>
      </c>
      <c r="B38" s="600">
        <v>44196</v>
      </c>
      <c r="C38" s="601" t="s">
        <v>2883</v>
      </c>
      <c r="D38" s="602"/>
      <c r="E38" s="603">
        <v>361262.29</v>
      </c>
      <c r="F38" s="603"/>
      <c r="G38" s="603"/>
      <c r="H38" s="598" t="s">
        <v>2866</v>
      </c>
      <c r="I38" s="598" t="s">
        <v>2907</v>
      </c>
      <c r="J38" s="600">
        <v>44196</v>
      </c>
      <c r="K38" s="598" t="s">
        <v>2937</v>
      </c>
      <c r="L38" s="598" t="s">
        <v>2938</v>
      </c>
      <c r="M38" s="598" t="s">
        <v>190</v>
      </c>
      <c r="N38" s="598" t="s">
        <v>2887</v>
      </c>
      <c r="O38" s="1834"/>
    </row>
    <row r="39" spans="1:16" ht="13.95" customHeight="1" outlineLevel="2">
      <c r="A39" s="598" t="s">
        <v>2939</v>
      </c>
      <c r="B39" s="600">
        <v>44139</v>
      </c>
      <c r="C39" s="601" t="s">
        <v>2889</v>
      </c>
      <c r="D39" s="602"/>
      <c r="E39" s="603">
        <v>-12173323.460000001</v>
      </c>
      <c r="F39" s="603"/>
      <c r="G39" s="603"/>
      <c r="H39" s="598" t="s">
        <v>2866</v>
      </c>
      <c r="I39" s="598" t="s">
        <v>2940</v>
      </c>
      <c r="J39" s="600">
        <v>44171</v>
      </c>
      <c r="K39" s="598" t="s">
        <v>2941</v>
      </c>
      <c r="L39" s="598" t="s">
        <v>2886</v>
      </c>
      <c r="M39" s="598" t="s">
        <v>190</v>
      </c>
      <c r="N39" s="598" t="s">
        <v>2892</v>
      </c>
      <c r="O39" s="1834"/>
    </row>
    <row r="40" spans="1:16" ht="13.95" customHeight="1" outlineLevel="2">
      <c r="A40" s="598" t="s">
        <v>2906</v>
      </c>
      <c r="B40" s="600">
        <v>44196</v>
      </c>
      <c r="C40" s="601" t="s">
        <v>2883</v>
      </c>
      <c r="D40" s="602"/>
      <c r="E40" s="603">
        <v>2896094.7</v>
      </c>
      <c r="F40" s="603"/>
      <c r="G40" s="603"/>
      <c r="H40" s="598" t="s">
        <v>2866</v>
      </c>
      <c r="I40" s="598" t="s">
        <v>2907</v>
      </c>
      <c r="J40" s="600">
        <v>44196</v>
      </c>
      <c r="K40" s="598" t="s">
        <v>2942</v>
      </c>
      <c r="L40" s="598" t="s">
        <v>2943</v>
      </c>
      <c r="M40" s="598" t="s">
        <v>190</v>
      </c>
      <c r="N40" s="598" t="s">
        <v>2887</v>
      </c>
      <c r="O40" s="1834"/>
    </row>
    <row r="41" spans="1:16" ht="13.95" customHeight="1" outlineLevel="2">
      <c r="A41" s="598" t="s">
        <v>2906</v>
      </c>
      <c r="B41" s="600">
        <v>44196</v>
      </c>
      <c r="C41" s="601" t="s">
        <v>2883</v>
      </c>
      <c r="D41" s="602"/>
      <c r="E41" s="603">
        <v>2040477.97</v>
      </c>
      <c r="F41" s="603"/>
      <c r="G41" s="603"/>
      <c r="H41" s="598" t="s">
        <v>2866</v>
      </c>
      <c r="I41" s="598" t="s">
        <v>2907</v>
      </c>
      <c r="J41" s="600">
        <v>44196</v>
      </c>
      <c r="K41" s="598" t="s">
        <v>2944</v>
      </c>
      <c r="L41" s="598" t="s">
        <v>2945</v>
      </c>
      <c r="M41" s="598" t="s">
        <v>190</v>
      </c>
      <c r="N41" s="598" t="s">
        <v>2887</v>
      </c>
      <c r="O41" s="1834"/>
    </row>
    <row r="42" spans="1:16" ht="13.95" customHeight="1" outlineLevel="2">
      <c r="A42" s="598" t="s">
        <v>2939</v>
      </c>
      <c r="B42" s="600">
        <v>44139</v>
      </c>
      <c r="C42" s="601" t="s">
        <v>2894</v>
      </c>
      <c r="D42" s="603">
        <v>6875488.5</v>
      </c>
      <c r="E42" s="603"/>
      <c r="F42" s="603"/>
      <c r="G42" s="603"/>
      <c r="H42" s="598" t="s">
        <v>2866</v>
      </c>
      <c r="I42" s="598" t="s">
        <v>2940</v>
      </c>
      <c r="J42" s="600"/>
      <c r="K42" s="598" t="s">
        <v>2946</v>
      </c>
      <c r="L42" s="598" t="s">
        <v>2886</v>
      </c>
      <c r="M42" s="598" t="s">
        <v>349</v>
      </c>
      <c r="N42" s="598" t="s">
        <v>2892</v>
      </c>
      <c r="O42" s="1834"/>
    </row>
    <row r="43" spans="1:16" ht="13.95" customHeight="1" outlineLevel="2">
      <c r="A43" s="598" t="s">
        <v>2947</v>
      </c>
      <c r="B43" s="600">
        <v>43938</v>
      </c>
      <c r="C43" s="601" t="s">
        <v>2889</v>
      </c>
      <c r="D43" s="609"/>
      <c r="E43" s="610">
        <v>-2570663.1</v>
      </c>
      <c r="F43" s="610"/>
      <c r="G43" s="610"/>
      <c r="H43" s="598" t="s">
        <v>2866</v>
      </c>
      <c r="I43" s="598" t="s">
        <v>2948</v>
      </c>
      <c r="J43" s="600">
        <v>43944</v>
      </c>
      <c r="K43" s="598" t="s">
        <v>2949</v>
      </c>
      <c r="L43" s="598" t="s">
        <v>2886</v>
      </c>
      <c r="M43" s="598" t="s">
        <v>190</v>
      </c>
      <c r="N43" s="598" t="s">
        <v>2892</v>
      </c>
      <c r="O43" s="1834"/>
    </row>
    <row r="44" spans="1:16" ht="13.95" customHeight="1" outlineLevel="2">
      <c r="A44" s="598" t="s">
        <v>2950</v>
      </c>
      <c r="B44" s="600">
        <v>43944</v>
      </c>
      <c r="C44" s="601" t="s">
        <v>2883</v>
      </c>
      <c r="D44" s="609"/>
      <c r="E44" s="610">
        <v>1337257.17</v>
      </c>
      <c r="F44" s="610"/>
      <c r="G44" s="610"/>
      <c r="H44" s="598" t="s">
        <v>2866</v>
      </c>
      <c r="I44" s="598" t="s">
        <v>2951</v>
      </c>
      <c r="J44" s="600">
        <v>43944</v>
      </c>
      <c r="K44" s="598" t="s">
        <v>2949</v>
      </c>
      <c r="L44" s="598" t="s">
        <v>2886</v>
      </c>
      <c r="M44" s="598" t="s">
        <v>190</v>
      </c>
      <c r="N44" s="598" t="s">
        <v>2952</v>
      </c>
      <c r="O44" s="1834"/>
    </row>
    <row r="45" spans="1:16" ht="13.95" customHeight="1" outlineLevel="2">
      <c r="A45" s="598" t="s">
        <v>2947</v>
      </c>
      <c r="B45" s="600">
        <v>43938</v>
      </c>
      <c r="C45" s="601" t="s">
        <v>2894</v>
      </c>
      <c r="D45" s="610">
        <v>1233405.93</v>
      </c>
      <c r="E45" s="610"/>
      <c r="F45" s="610"/>
      <c r="G45" s="610"/>
      <c r="H45" s="598" t="s">
        <v>2866</v>
      </c>
      <c r="I45" s="598" t="s">
        <v>2948</v>
      </c>
      <c r="J45" s="600"/>
      <c r="K45" s="598" t="s">
        <v>2953</v>
      </c>
      <c r="L45" s="598" t="s">
        <v>2886</v>
      </c>
      <c r="M45" s="598" t="s">
        <v>349</v>
      </c>
      <c r="N45" s="598" t="s">
        <v>2892</v>
      </c>
      <c r="O45" s="1834"/>
    </row>
    <row r="46" spans="1:16" ht="13.95" customHeight="1" outlineLevel="2">
      <c r="A46" s="598" t="s">
        <v>2954</v>
      </c>
      <c r="B46" s="600">
        <v>44175</v>
      </c>
      <c r="C46" s="601" t="s">
        <v>2889</v>
      </c>
      <c r="D46" s="624"/>
      <c r="E46" s="625">
        <v>-554332</v>
      </c>
      <c r="F46" s="625"/>
      <c r="G46" s="625"/>
      <c r="H46" s="598" t="s">
        <v>2866</v>
      </c>
      <c r="I46" s="598" t="s">
        <v>2955</v>
      </c>
      <c r="J46" s="600">
        <v>44240</v>
      </c>
      <c r="K46" s="598" t="s">
        <v>2956</v>
      </c>
      <c r="L46" s="598" t="s">
        <v>2886</v>
      </c>
      <c r="M46" s="598" t="s">
        <v>190</v>
      </c>
      <c r="N46" s="598" t="s">
        <v>2892</v>
      </c>
    </row>
    <row r="47" spans="1:16" ht="13.95" customHeight="1" outlineLevel="2">
      <c r="A47" s="598" t="s">
        <v>2954</v>
      </c>
      <c r="B47" s="600">
        <v>44175</v>
      </c>
      <c r="C47" s="601" t="s">
        <v>2894</v>
      </c>
      <c r="D47" s="625">
        <v>554332</v>
      </c>
      <c r="E47" s="625"/>
      <c r="F47" s="625"/>
      <c r="G47" s="625"/>
      <c r="H47" s="598" t="s">
        <v>2866</v>
      </c>
      <c r="I47" s="598" t="s">
        <v>2955</v>
      </c>
      <c r="J47" s="600"/>
      <c r="K47" s="598" t="s">
        <v>2957</v>
      </c>
      <c r="L47" s="598" t="s">
        <v>2886</v>
      </c>
      <c r="M47" s="598" t="s">
        <v>349</v>
      </c>
      <c r="N47" s="598" t="s">
        <v>2892</v>
      </c>
    </row>
    <row r="48" spans="1:16" ht="13.95" customHeight="1" outlineLevel="2">
      <c r="A48" s="598" t="s">
        <v>2958</v>
      </c>
      <c r="B48" s="600">
        <v>43977</v>
      </c>
      <c r="C48" s="601" t="s">
        <v>2959</v>
      </c>
      <c r="D48" s="626"/>
      <c r="E48" s="627">
        <v>819953.75</v>
      </c>
      <c r="F48" s="627"/>
      <c r="G48" s="627"/>
      <c r="H48" s="598" t="s">
        <v>2866</v>
      </c>
      <c r="I48" s="598" t="s">
        <v>2960</v>
      </c>
      <c r="J48" s="600">
        <v>44009</v>
      </c>
      <c r="K48" s="598" t="s">
        <v>2961</v>
      </c>
      <c r="L48" s="598" t="s">
        <v>2886</v>
      </c>
      <c r="M48" s="598" t="s">
        <v>190</v>
      </c>
      <c r="N48" s="598" t="s">
        <v>2892</v>
      </c>
    </row>
    <row r="49" spans="1:16" ht="13.95" customHeight="1" outlineLevel="2">
      <c r="A49" s="598" t="s">
        <v>2958</v>
      </c>
      <c r="B49" s="600">
        <v>43977</v>
      </c>
      <c r="C49" s="601" t="s">
        <v>2913</v>
      </c>
      <c r="D49" s="627">
        <v>-819953.75</v>
      </c>
      <c r="E49" s="627"/>
      <c r="F49" s="627"/>
      <c r="G49" s="627"/>
      <c r="H49" s="598" t="s">
        <v>2866</v>
      </c>
      <c r="I49" s="598" t="s">
        <v>2960</v>
      </c>
      <c r="J49" s="600"/>
      <c r="K49" s="598" t="s">
        <v>2962</v>
      </c>
      <c r="L49" s="598" t="s">
        <v>2886</v>
      </c>
      <c r="M49" s="598" t="s">
        <v>349</v>
      </c>
      <c r="N49" s="598" t="s">
        <v>2892</v>
      </c>
    </row>
    <row r="50" spans="1:16" ht="13.95" customHeight="1" outlineLevel="2">
      <c r="A50" s="598" t="s">
        <v>2963</v>
      </c>
      <c r="B50" s="600">
        <v>44255</v>
      </c>
      <c r="C50" s="598">
        <v>2020</v>
      </c>
      <c r="D50" s="628">
        <v>262201.18</v>
      </c>
      <c r="E50" s="629"/>
      <c r="F50" s="629"/>
      <c r="G50" s="629"/>
      <c r="H50" s="598" t="s">
        <v>2866</v>
      </c>
      <c r="I50" s="598" t="s">
        <v>2964</v>
      </c>
      <c r="J50" s="630" t="s">
        <v>2965</v>
      </c>
      <c r="K50" s="598" t="s">
        <v>2966</v>
      </c>
      <c r="L50" s="598" t="s">
        <v>2886</v>
      </c>
      <c r="M50" s="598" t="s">
        <v>349</v>
      </c>
      <c r="N50" s="598" t="s">
        <v>2887</v>
      </c>
      <c r="O50" s="1835" t="s">
        <v>2967</v>
      </c>
    </row>
    <row r="51" spans="1:16" ht="13.95" customHeight="1" outlineLevel="2">
      <c r="A51" s="598" t="s">
        <v>2963</v>
      </c>
      <c r="B51" s="600">
        <v>44255</v>
      </c>
      <c r="C51" s="598">
        <v>2020</v>
      </c>
      <c r="D51" s="628">
        <v>159273.01</v>
      </c>
      <c r="E51" s="629"/>
      <c r="F51" s="629"/>
      <c r="G51" s="629"/>
      <c r="H51" s="598" t="s">
        <v>2866</v>
      </c>
      <c r="I51" s="598" t="s">
        <v>2964</v>
      </c>
      <c r="J51" s="630" t="s">
        <v>2965</v>
      </c>
      <c r="K51" s="598" t="s">
        <v>2968</v>
      </c>
      <c r="L51" s="598" t="s">
        <v>2886</v>
      </c>
      <c r="M51" s="598" t="s">
        <v>349</v>
      </c>
      <c r="N51" s="598" t="s">
        <v>2887</v>
      </c>
      <c r="O51" s="1835"/>
    </row>
    <row r="52" spans="1:16" ht="13.95" customHeight="1" outlineLevel="2">
      <c r="A52" s="598" t="s">
        <v>2963</v>
      </c>
      <c r="B52" s="600">
        <v>44255</v>
      </c>
      <c r="C52" s="598">
        <v>2020</v>
      </c>
      <c r="D52" s="628">
        <v>443338.81</v>
      </c>
      <c r="E52" s="629"/>
      <c r="F52" s="629"/>
      <c r="G52" s="629"/>
      <c r="H52" s="598" t="s">
        <v>2866</v>
      </c>
      <c r="I52" s="598" t="s">
        <v>2964</v>
      </c>
      <c r="J52" s="630" t="s">
        <v>2965</v>
      </c>
      <c r="K52" s="598" t="s">
        <v>2968</v>
      </c>
      <c r="L52" s="598" t="s">
        <v>2886</v>
      </c>
      <c r="M52" s="598" t="s">
        <v>349</v>
      </c>
      <c r="N52" s="598" t="s">
        <v>2887</v>
      </c>
      <c r="O52" s="1835"/>
    </row>
    <row r="53" spans="1:16" ht="13.95" customHeight="1" outlineLevel="2">
      <c r="A53" s="598" t="s">
        <v>2963</v>
      </c>
      <c r="B53" s="600">
        <v>44255</v>
      </c>
      <c r="C53" s="598">
        <v>2020</v>
      </c>
      <c r="D53" s="628">
        <v>30996</v>
      </c>
      <c r="E53" s="629"/>
      <c r="F53" s="629"/>
      <c r="G53" s="629"/>
      <c r="H53" s="598" t="s">
        <v>2866</v>
      </c>
      <c r="I53" s="598" t="s">
        <v>2964</v>
      </c>
      <c r="J53" s="630" t="s">
        <v>2965</v>
      </c>
      <c r="K53" s="598" t="s">
        <v>2969</v>
      </c>
      <c r="L53" s="598" t="s">
        <v>2886</v>
      </c>
      <c r="M53" s="598" t="s">
        <v>349</v>
      </c>
      <c r="N53" s="598" t="s">
        <v>2887</v>
      </c>
      <c r="O53" s="1835"/>
    </row>
    <row r="54" spans="1:16" ht="13.95" customHeight="1" outlineLevel="2">
      <c r="A54" s="598" t="s">
        <v>2963</v>
      </c>
      <c r="B54" s="600">
        <v>44255</v>
      </c>
      <c r="C54" s="631">
        <v>44228</v>
      </c>
      <c r="D54" s="628">
        <v>1134487.04</v>
      </c>
      <c r="E54" s="629"/>
      <c r="F54" s="629"/>
      <c r="G54" s="629"/>
      <c r="H54" s="598" t="s">
        <v>2866</v>
      </c>
      <c r="I54" s="598" t="s">
        <v>2964</v>
      </c>
      <c r="J54" s="630" t="s">
        <v>2965</v>
      </c>
      <c r="K54" s="598" t="s">
        <v>2970</v>
      </c>
      <c r="L54" s="598" t="s">
        <v>2886</v>
      </c>
      <c r="M54" s="598" t="s">
        <v>349</v>
      </c>
      <c r="N54" s="598" t="s">
        <v>2887</v>
      </c>
      <c r="O54" s="1835"/>
    </row>
    <row r="55" spans="1:16" ht="13.95" customHeight="1" outlineLevel="2">
      <c r="A55" s="598" t="s">
        <v>2963</v>
      </c>
      <c r="B55" s="600">
        <v>44255</v>
      </c>
      <c r="C55" s="631">
        <v>44228</v>
      </c>
      <c r="D55" s="628">
        <v>1046849.5</v>
      </c>
      <c r="E55" s="629"/>
      <c r="F55" s="629"/>
      <c r="G55" s="629"/>
      <c r="H55" s="598" t="s">
        <v>2866</v>
      </c>
      <c r="I55" s="598" t="s">
        <v>2964</v>
      </c>
      <c r="J55" s="630" t="s">
        <v>2965</v>
      </c>
      <c r="K55" s="598" t="s">
        <v>2971</v>
      </c>
      <c r="L55" s="598" t="s">
        <v>2886</v>
      </c>
      <c r="M55" s="598" t="s">
        <v>349</v>
      </c>
      <c r="N55" s="598" t="s">
        <v>2887</v>
      </c>
      <c r="O55" s="1835"/>
    </row>
    <row r="56" spans="1:16" ht="13.95" customHeight="1" outlineLevel="2">
      <c r="A56" s="598" t="s">
        <v>2972</v>
      </c>
      <c r="B56" s="600">
        <v>44375</v>
      </c>
      <c r="C56" s="631">
        <v>44378</v>
      </c>
      <c r="D56" s="628">
        <v>442968.95</v>
      </c>
      <c r="E56" s="629"/>
      <c r="F56" s="629"/>
      <c r="G56" s="629"/>
      <c r="H56" s="598" t="s">
        <v>2866</v>
      </c>
      <c r="I56" s="598" t="s">
        <v>2973</v>
      </c>
      <c r="J56" s="630" t="s">
        <v>2965</v>
      </c>
      <c r="K56" s="632" t="s">
        <v>2974</v>
      </c>
      <c r="L56" s="598" t="s">
        <v>2886</v>
      </c>
      <c r="M56" s="598" t="s">
        <v>349</v>
      </c>
      <c r="N56" s="598" t="s">
        <v>2887</v>
      </c>
      <c r="O56" s="1835"/>
    </row>
    <row r="57" spans="1:16" ht="13.95" customHeight="1" outlineLevel="2">
      <c r="A57" s="598" t="s">
        <v>2975</v>
      </c>
      <c r="B57" s="600">
        <v>44390</v>
      </c>
      <c r="C57" s="631">
        <v>44378</v>
      </c>
      <c r="D57" s="628">
        <v>906426.75</v>
      </c>
      <c r="E57" s="629"/>
      <c r="F57" s="629"/>
      <c r="G57" s="629"/>
      <c r="H57" s="598" t="s">
        <v>2866</v>
      </c>
      <c r="I57" s="598" t="s">
        <v>2976</v>
      </c>
      <c r="J57" s="630" t="s">
        <v>2965</v>
      </c>
      <c r="K57" s="632" t="s">
        <v>2977</v>
      </c>
      <c r="L57" s="598" t="s">
        <v>2886</v>
      </c>
      <c r="M57" s="598" t="s">
        <v>349</v>
      </c>
      <c r="N57" s="598" t="s">
        <v>2887</v>
      </c>
      <c r="O57" s="1835"/>
    </row>
    <row r="58" spans="1:16" ht="13.95" customHeight="1" outlineLevel="2">
      <c r="A58" s="598" t="s">
        <v>2978</v>
      </c>
      <c r="B58" s="600">
        <v>44469</v>
      </c>
      <c r="C58" s="631">
        <v>44470</v>
      </c>
      <c r="D58" s="628">
        <v>189843.83</v>
      </c>
      <c r="E58" s="629"/>
      <c r="F58" s="629"/>
      <c r="G58" s="629"/>
      <c r="H58" s="598" t="s">
        <v>2866</v>
      </c>
      <c r="I58" s="598" t="s">
        <v>2979</v>
      </c>
      <c r="J58" s="630" t="s">
        <v>2965</v>
      </c>
      <c r="K58" s="598" t="s">
        <v>2980</v>
      </c>
      <c r="L58" s="598" t="s">
        <v>2886</v>
      </c>
      <c r="M58" s="598" t="s">
        <v>349</v>
      </c>
      <c r="N58" s="598" t="s">
        <v>2887</v>
      </c>
      <c r="O58" s="1835"/>
    </row>
    <row r="59" spans="1:16" ht="13.95" customHeight="1" outlineLevel="2">
      <c r="A59" s="598" t="s">
        <v>2981</v>
      </c>
      <c r="B59" s="600">
        <v>44480</v>
      </c>
      <c r="C59" s="631">
        <v>44531</v>
      </c>
      <c r="D59" s="628">
        <v>26650</v>
      </c>
      <c r="E59" s="629"/>
      <c r="F59" s="629"/>
      <c r="G59" s="629"/>
      <c r="H59" s="598" t="s">
        <v>2866</v>
      </c>
      <c r="I59" s="598" t="s">
        <v>2982</v>
      </c>
      <c r="J59" s="630" t="s">
        <v>2965</v>
      </c>
      <c r="K59" s="598" t="s">
        <v>2983</v>
      </c>
      <c r="L59" s="598" t="s">
        <v>2886</v>
      </c>
      <c r="M59" s="598" t="s">
        <v>349</v>
      </c>
      <c r="N59" s="598" t="s">
        <v>2887</v>
      </c>
      <c r="O59" s="1835"/>
    </row>
    <row r="60" spans="1:16" ht="13.95" customHeight="1" outlineLevel="2">
      <c r="A60" s="598" t="s">
        <v>2984</v>
      </c>
      <c r="B60" s="600">
        <v>44480</v>
      </c>
      <c r="C60" s="631">
        <v>44531</v>
      </c>
      <c r="D60" s="628">
        <v>2738.57</v>
      </c>
      <c r="E60" s="629"/>
      <c r="F60" s="629"/>
      <c r="G60" s="629"/>
      <c r="H60" s="598" t="s">
        <v>2866</v>
      </c>
      <c r="I60" s="598" t="s">
        <v>2985</v>
      </c>
      <c r="J60" s="630" t="s">
        <v>2965</v>
      </c>
      <c r="K60" s="598" t="s">
        <v>2983</v>
      </c>
      <c r="L60" s="598" t="s">
        <v>2886</v>
      </c>
      <c r="M60" s="598" t="s">
        <v>349</v>
      </c>
      <c r="N60" s="598" t="s">
        <v>2887</v>
      </c>
      <c r="O60" s="1835"/>
    </row>
    <row r="61" spans="1:16" ht="13.95" customHeight="1" outlineLevel="2">
      <c r="A61" s="598" t="s">
        <v>2986</v>
      </c>
      <c r="B61" s="600">
        <v>44265</v>
      </c>
      <c r="C61" s="631">
        <v>44256</v>
      </c>
      <c r="D61" s="628">
        <v>359713.6</v>
      </c>
      <c r="E61" s="629"/>
      <c r="F61" s="629"/>
      <c r="G61" s="629"/>
      <c r="H61" s="598" t="s">
        <v>2866</v>
      </c>
      <c r="I61" s="598" t="s">
        <v>2987</v>
      </c>
      <c r="J61" s="630" t="s">
        <v>2965</v>
      </c>
      <c r="K61" s="598" t="s">
        <v>2988</v>
      </c>
      <c r="L61" s="598" t="s">
        <v>2886</v>
      </c>
      <c r="M61" s="598" t="s">
        <v>349</v>
      </c>
      <c r="N61" s="598" t="s">
        <v>2989</v>
      </c>
      <c r="O61" s="1835"/>
    </row>
    <row r="62" spans="1:16" ht="13.95" customHeight="1" outlineLevel="2">
      <c r="A62" s="598" t="s">
        <v>2990</v>
      </c>
      <c r="B62" s="600">
        <v>44287</v>
      </c>
      <c r="C62" s="631">
        <v>44287</v>
      </c>
      <c r="D62" s="628">
        <v>646115.27</v>
      </c>
      <c r="E62" s="629"/>
      <c r="F62" s="629"/>
      <c r="G62" s="629"/>
      <c r="H62" s="598" t="s">
        <v>2866</v>
      </c>
      <c r="I62" s="598" t="s">
        <v>2991</v>
      </c>
      <c r="J62" s="630" t="s">
        <v>2965</v>
      </c>
      <c r="K62" s="598" t="s">
        <v>2992</v>
      </c>
      <c r="L62" s="598" t="s">
        <v>2886</v>
      </c>
      <c r="M62" s="598" t="s">
        <v>349</v>
      </c>
      <c r="N62" s="598" t="s">
        <v>2989</v>
      </c>
      <c r="O62" s="1835"/>
    </row>
    <row r="63" spans="1:16" ht="13.95" customHeight="1" outlineLevel="2">
      <c r="A63" s="598" t="s">
        <v>2993</v>
      </c>
      <c r="B63" s="600">
        <v>44126</v>
      </c>
      <c r="C63" s="598" t="s">
        <v>2994</v>
      </c>
      <c r="D63" s="599"/>
      <c r="E63" s="599"/>
      <c r="F63" s="607">
        <v>18373.22</v>
      </c>
      <c r="G63" s="607"/>
      <c r="H63" s="598" t="s">
        <v>2866</v>
      </c>
      <c r="I63" s="598" t="s">
        <v>2995</v>
      </c>
      <c r="J63" s="600">
        <v>44140</v>
      </c>
      <c r="K63" s="598" t="s">
        <v>2605</v>
      </c>
      <c r="L63" s="598" t="s">
        <v>2866</v>
      </c>
      <c r="M63" s="598" t="s">
        <v>128</v>
      </c>
      <c r="N63" s="598" t="s">
        <v>2996</v>
      </c>
      <c r="O63" s="598"/>
      <c r="P63" s="598"/>
    </row>
    <row r="64" spans="1:16" ht="13.95" customHeight="1" outlineLevel="2">
      <c r="A64" s="598" t="s">
        <v>2906</v>
      </c>
      <c r="B64" s="600">
        <v>44196</v>
      </c>
      <c r="C64" s="598" t="s">
        <v>2997</v>
      </c>
      <c r="D64" s="599"/>
      <c r="E64" s="599"/>
      <c r="F64" s="607">
        <v>-14266.74</v>
      </c>
      <c r="G64" s="607"/>
      <c r="H64" s="598" t="s">
        <v>2866</v>
      </c>
      <c r="I64" s="598" t="s">
        <v>2907</v>
      </c>
      <c r="J64" s="600">
        <v>44196</v>
      </c>
      <c r="K64" s="598" t="s">
        <v>2998</v>
      </c>
      <c r="L64" s="598" t="s">
        <v>2866</v>
      </c>
      <c r="M64" s="598" t="s">
        <v>128</v>
      </c>
      <c r="N64" s="598" t="s">
        <v>2887</v>
      </c>
      <c r="O64" s="598"/>
      <c r="P64" s="598"/>
    </row>
    <row r="65" spans="1:16" ht="13.95" customHeight="1" outlineLevel="2">
      <c r="A65" s="598" t="s">
        <v>2999</v>
      </c>
      <c r="B65" s="600">
        <v>44196</v>
      </c>
      <c r="C65" s="598" t="s">
        <v>2994</v>
      </c>
      <c r="D65" s="611"/>
      <c r="E65" s="611"/>
      <c r="F65" s="610">
        <v>2460000</v>
      </c>
      <c r="G65" s="610"/>
      <c r="H65" s="598" t="s">
        <v>2866</v>
      </c>
      <c r="I65" s="598" t="s">
        <v>3000</v>
      </c>
      <c r="J65" s="600">
        <v>44196</v>
      </c>
      <c r="K65" s="598" t="s">
        <v>3001</v>
      </c>
      <c r="L65" s="598" t="s">
        <v>2866</v>
      </c>
      <c r="M65" s="598" t="s">
        <v>128</v>
      </c>
      <c r="N65" s="598" t="s">
        <v>2887</v>
      </c>
      <c r="O65" s="598"/>
      <c r="P65" s="598"/>
    </row>
    <row r="66" spans="1:16" ht="13.95" customHeight="1" outlineLevel="2">
      <c r="A66" s="598" t="s">
        <v>2999</v>
      </c>
      <c r="B66" s="600">
        <v>44196</v>
      </c>
      <c r="C66" s="598" t="s">
        <v>2994</v>
      </c>
      <c r="D66" s="611"/>
      <c r="E66" s="611"/>
      <c r="F66" s="610">
        <v>4182836.4</v>
      </c>
      <c r="G66" s="610"/>
      <c r="H66" s="598" t="s">
        <v>2866</v>
      </c>
      <c r="I66" s="598" t="s">
        <v>3000</v>
      </c>
      <c r="J66" s="600">
        <v>44196</v>
      </c>
      <c r="K66" s="598" t="s">
        <v>3002</v>
      </c>
      <c r="L66" s="598" t="s">
        <v>2866</v>
      </c>
      <c r="M66" s="598" t="s">
        <v>128</v>
      </c>
      <c r="N66" s="598" t="s">
        <v>2887</v>
      </c>
      <c r="O66" s="598"/>
      <c r="P66" s="598"/>
    </row>
    <row r="67" spans="1:16" ht="13.95" customHeight="1" outlineLevel="2">
      <c r="A67" s="598" t="s">
        <v>2999</v>
      </c>
      <c r="B67" s="600">
        <v>44196</v>
      </c>
      <c r="C67" s="598" t="s">
        <v>2913</v>
      </c>
      <c r="D67" s="610">
        <v>-2460000</v>
      </c>
      <c r="E67" s="610"/>
      <c r="F67" s="610"/>
      <c r="G67" s="610"/>
      <c r="H67" s="598" t="s">
        <v>2866</v>
      </c>
      <c r="I67" s="598" t="s">
        <v>3000</v>
      </c>
      <c r="J67" s="600"/>
      <c r="K67" s="598" t="s">
        <v>3001</v>
      </c>
      <c r="L67" s="598" t="s">
        <v>2886</v>
      </c>
      <c r="M67" s="598" t="s">
        <v>349</v>
      </c>
      <c r="N67" s="598" t="s">
        <v>2887</v>
      </c>
      <c r="P67" s="598"/>
    </row>
    <row r="68" spans="1:16" ht="13.95" customHeight="1" outlineLevel="2">
      <c r="A68" s="598" t="s">
        <v>2999</v>
      </c>
      <c r="B68" s="600">
        <v>44196</v>
      </c>
      <c r="C68" s="598" t="s">
        <v>2913</v>
      </c>
      <c r="D68" s="610">
        <v>-4182836.4</v>
      </c>
      <c r="E68" s="610"/>
      <c r="F68" s="610"/>
      <c r="G68" s="610"/>
      <c r="H68" s="598" t="s">
        <v>2866</v>
      </c>
      <c r="I68" s="598" t="s">
        <v>3000</v>
      </c>
      <c r="J68" s="600"/>
      <c r="K68" s="598" t="s">
        <v>3002</v>
      </c>
      <c r="L68" s="598" t="s">
        <v>2886</v>
      </c>
      <c r="M68" s="598" t="s">
        <v>349</v>
      </c>
      <c r="N68" s="598" t="s">
        <v>2887</v>
      </c>
      <c r="P68" s="598"/>
    </row>
    <row r="69" spans="1:16" ht="13.95" customHeight="1" outlineLevel="2">
      <c r="B69" s="600"/>
      <c r="D69" s="598"/>
      <c r="F69" s="629"/>
      <c r="G69" s="629"/>
      <c r="J69" s="600"/>
      <c r="P69" s="598"/>
    </row>
    <row r="70" spans="1:16" outlineLevel="2">
      <c r="A70" s="598" t="s">
        <v>2906</v>
      </c>
      <c r="B70" s="600">
        <v>44196</v>
      </c>
      <c r="C70" s="598" t="s">
        <v>2894</v>
      </c>
      <c r="D70" s="607">
        <v>14266.74</v>
      </c>
      <c r="E70" s="607"/>
      <c r="F70" s="607"/>
      <c r="G70" s="607"/>
      <c r="H70" s="598" t="s">
        <v>2866</v>
      </c>
      <c r="I70" s="598" t="s">
        <v>2907</v>
      </c>
      <c r="J70" s="600"/>
      <c r="K70" s="598" t="s">
        <v>3003</v>
      </c>
      <c r="L70" s="598" t="s">
        <v>2886</v>
      </c>
      <c r="M70" s="598" t="s">
        <v>349</v>
      </c>
      <c r="N70" s="598" t="s">
        <v>2887</v>
      </c>
      <c r="O70" s="1834"/>
      <c r="P70" s="598"/>
    </row>
    <row r="71" spans="1:16" ht="13.95" customHeight="1" outlineLevel="2">
      <c r="A71" s="598" t="s">
        <v>2906</v>
      </c>
      <c r="B71" s="600">
        <v>44196</v>
      </c>
      <c r="C71" s="598" t="s">
        <v>2894</v>
      </c>
      <c r="D71" s="610">
        <v>6894013.46</v>
      </c>
      <c r="E71" s="629"/>
      <c r="F71" s="629"/>
      <c r="G71" s="629"/>
      <c r="H71" s="598" t="s">
        <v>2866</v>
      </c>
      <c r="I71" s="598" t="s">
        <v>2907</v>
      </c>
      <c r="J71" s="600"/>
      <c r="K71" s="598" t="s">
        <v>3004</v>
      </c>
      <c r="L71" s="598" t="s">
        <v>2886</v>
      </c>
      <c r="M71" s="598" t="s">
        <v>349</v>
      </c>
      <c r="N71" s="598" t="s">
        <v>2887</v>
      </c>
      <c r="O71" s="1834"/>
      <c r="P71" s="598"/>
    </row>
    <row r="72" spans="1:16" ht="13.95" customHeight="1" outlineLevel="2">
      <c r="A72" s="598" t="s">
        <v>2906</v>
      </c>
      <c r="B72" s="600">
        <v>44196</v>
      </c>
      <c r="C72" s="598" t="s">
        <v>2894</v>
      </c>
      <c r="D72" s="610">
        <v>3064324.25</v>
      </c>
      <c r="E72" s="629"/>
      <c r="F72" s="629"/>
      <c r="G72" s="629"/>
      <c r="H72" s="598" t="s">
        <v>2866</v>
      </c>
      <c r="I72" s="598" t="s">
        <v>2907</v>
      </c>
      <c r="J72" s="600"/>
      <c r="K72" s="598" t="s">
        <v>3005</v>
      </c>
      <c r="L72" s="598" t="s">
        <v>2886</v>
      </c>
      <c r="M72" s="598" t="s">
        <v>349</v>
      </c>
      <c r="N72" s="598" t="s">
        <v>2887</v>
      </c>
      <c r="O72" s="1834"/>
      <c r="P72" s="598"/>
    </row>
    <row r="73" spans="1:16" ht="13.95" customHeight="1" outlineLevel="2">
      <c r="A73" s="598" t="s">
        <v>2912</v>
      </c>
      <c r="B73" s="600">
        <v>44196</v>
      </c>
      <c r="C73" s="598" t="s">
        <v>2913</v>
      </c>
      <c r="D73" s="610">
        <v>-2502919.5</v>
      </c>
      <c r="E73" s="608" t="s">
        <v>3006</v>
      </c>
      <c r="F73" s="608"/>
      <c r="G73" s="608"/>
      <c r="H73" s="598" t="s">
        <v>2866</v>
      </c>
      <c r="I73" s="598" t="s">
        <v>2914</v>
      </c>
      <c r="J73" s="633" t="s">
        <v>3007</v>
      </c>
      <c r="K73" s="598" t="s">
        <v>2915</v>
      </c>
      <c r="L73" s="598" t="s">
        <v>2886</v>
      </c>
      <c r="M73" s="598" t="s">
        <v>349</v>
      </c>
      <c r="N73" s="598" t="s">
        <v>2887</v>
      </c>
      <c r="O73" s="1834"/>
      <c r="P73" s="598"/>
    </row>
    <row r="74" spans="1:16" ht="13.95" customHeight="1" outlineLevel="2">
      <c r="A74" s="598">
        <v>370002289</v>
      </c>
      <c r="B74" s="600">
        <v>44196</v>
      </c>
      <c r="C74" s="598" t="s">
        <v>2913</v>
      </c>
      <c r="D74" s="610">
        <v>-5604888.9900000002</v>
      </c>
      <c r="E74" s="608" t="s">
        <v>3006</v>
      </c>
      <c r="F74" s="608"/>
      <c r="G74" s="608"/>
      <c r="H74" s="598" t="s">
        <v>2866</v>
      </c>
      <c r="I74" s="598" t="s">
        <v>2914</v>
      </c>
      <c r="J74" s="633" t="s">
        <v>3007</v>
      </c>
      <c r="K74" s="598" t="s">
        <v>2915</v>
      </c>
      <c r="L74" s="598" t="s">
        <v>2886</v>
      </c>
      <c r="M74" s="598" t="s">
        <v>349</v>
      </c>
      <c r="N74" s="598" t="s">
        <v>2887</v>
      </c>
      <c r="O74" s="1834"/>
      <c r="P74" s="598"/>
    </row>
    <row r="75" spans="1:16" ht="13.95" customHeight="1" outlineLevel="2">
      <c r="A75" s="598" t="s">
        <v>3008</v>
      </c>
      <c r="B75" s="600">
        <v>44196</v>
      </c>
      <c r="C75" s="598" t="s">
        <v>2913</v>
      </c>
      <c r="D75" s="629">
        <v>-0.03</v>
      </c>
      <c r="E75" s="629"/>
      <c r="F75" s="629"/>
      <c r="G75" s="629"/>
      <c r="H75" s="598" t="s">
        <v>2866</v>
      </c>
      <c r="I75" s="598" t="s">
        <v>3009</v>
      </c>
      <c r="J75" s="600"/>
      <c r="K75" s="598" t="s">
        <v>2915</v>
      </c>
      <c r="L75" s="598" t="s">
        <v>2886</v>
      </c>
      <c r="M75" s="598" t="s">
        <v>349</v>
      </c>
      <c r="N75" s="598" t="s">
        <v>2887</v>
      </c>
      <c r="P75" s="598"/>
    </row>
    <row r="76" spans="1:16" ht="13.95" customHeight="1" outlineLevel="2">
      <c r="B76" s="600"/>
      <c r="D76" s="598"/>
      <c r="F76" s="629"/>
      <c r="G76" s="629"/>
      <c r="J76" s="600"/>
      <c r="O76" s="598"/>
      <c r="P76" s="598"/>
    </row>
    <row r="77" spans="1:16" ht="13.95" customHeight="1" outlineLevel="2">
      <c r="A77" s="598" t="s">
        <v>3010</v>
      </c>
      <c r="B77" s="600">
        <v>44148</v>
      </c>
      <c r="C77" s="598" t="s">
        <v>3011</v>
      </c>
      <c r="D77" s="598"/>
      <c r="G77" s="629">
        <v>11553457.08</v>
      </c>
      <c r="H77" s="598" t="s">
        <v>2866</v>
      </c>
      <c r="I77" s="598" t="s">
        <v>3012</v>
      </c>
      <c r="J77" s="600">
        <v>44186</v>
      </c>
      <c r="K77" s="598" t="s">
        <v>3013</v>
      </c>
      <c r="L77" s="598" t="s">
        <v>2866</v>
      </c>
      <c r="M77" s="598" t="s">
        <v>141</v>
      </c>
      <c r="N77" s="598" t="s">
        <v>3014</v>
      </c>
      <c r="O77" s="598"/>
      <c r="P77" s="598"/>
    </row>
    <row r="78" spans="1:16" ht="13.95" customHeight="1" outlineLevel="2">
      <c r="A78" s="598" t="s">
        <v>3015</v>
      </c>
      <c r="B78" s="600">
        <v>44053</v>
      </c>
      <c r="C78" s="598" t="s">
        <v>3011</v>
      </c>
      <c r="D78" s="598"/>
      <c r="G78" s="629">
        <v>9376233.8300000001</v>
      </c>
      <c r="H78" s="598" t="s">
        <v>2866</v>
      </c>
      <c r="I78" s="598" t="s">
        <v>3016</v>
      </c>
      <c r="J78" s="600">
        <v>44060</v>
      </c>
      <c r="K78" s="598" t="s">
        <v>3017</v>
      </c>
      <c r="L78" s="598" t="s">
        <v>2866</v>
      </c>
      <c r="M78" s="598" t="s">
        <v>141</v>
      </c>
      <c r="N78" s="598" t="s">
        <v>2887</v>
      </c>
      <c r="O78" s="598"/>
      <c r="P78" s="598"/>
    </row>
    <row r="79" spans="1:16" ht="13.95" customHeight="1" outlineLevel="2">
      <c r="A79" s="598" t="s">
        <v>3018</v>
      </c>
      <c r="B79" s="600">
        <v>44196</v>
      </c>
      <c r="C79" s="598" t="s">
        <v>3011</v>
      </c>
      <c r="D79" s="598"/>
      <c r="G79" s="629">
        <v>10339536.060000001</v>
      </c>
      <c r="H79" s="598" t="s">
        <v>2866</v>
      </c>
      <c r="I79" s="598" t="s">
        <v>3019</v>
      </c>
      <c r="J79" s="600">
        <v>44196</v>
      </c>
      <c r="K79" s="598" t="s">
        <v>3020</v>
      </c>
      <c r="L79" s="598" t="s">
        <v>2866</v>
      </c>
      <c r="M79" s="598" t="s">
        <v>141</v>
      </c>
      <c r="N79" s="598" t="s">
        <v>2887</v>
      </c>
      <c r="O79" s="598"/>
      <c r="P79" s="598"/>
    </row>
    <row r="80" spans="1:16" ht="13.95" customHeight="1" outlineLevel="2">
      <c r="B80" s="600"/>
      <c r="D80" s="598"/>
      <c r="F80" s="629"/>
      <c r="G80" s="629"/>
      <c r="J80" s="600"/>
      <c r="O80" s="598"/>
      <c r="P80" s="598"/>
    </row>
    <row r="81" spans="1:15" outlineLevel="1">
      <c r="A81" s="634" t="s">
        <v>2886</v>
      </c>
      <c r="B81" s="635"/>
      <c r="C81" s="634" t="s">
        <v>2886</v>
      </c>
      <c r="D81" s="636">
        <f>SUM(D2:D80)</f>
        <v>14839671.599999998</v>
      </c>
      <c r="E81" s="636">
        <f>SUM(E2:E80)</f>
        <v>-11858263.439999999</v>
      </c>
      <c r="F81" s="636">
        <f>SUM(F2:F80)</f>
        <v>6646942.8799999999</v>
      </c>
      <c r="G81" s="636">
        <f>SUM(G2:G80)</f>
        <v>31269226.969999999</v>
      </c>
      <c r="H81" s="634" t="s">
        <v>2866</v>
      </c>
      <c r="I81" s="634" t="s">
        <v>2886</v>
      </c>
      <c r="J81" s="635"/>
      <c r="K81" s="634" t="s">
        <v>2886</v>
      </c>
      <c r="L81" s="634" t="s">
        <v>2886</v>
      </c>
      <c r="M81" s="634" t="s">
        <v>2886</v>
      </c>
      <c r="N81" s="634" t="s">
        <v>2886</v>
      </c>
      <c r="O81" s="637">
        <f>SUM(O2:O80)</f>
        <v>2107846.12</v>
      </c>
    </row>
    <row r="83" spans="1:15">
      <c r="F83" s="638">
        <f>F63+F64</f>
        <v>4106.4800000000014</v>
      </c>
      <c r="G83" s="638">
        <f>G77</f>
        <v>11553457.08</v>
      </c>
    </row>
    <row r="84" spans="1:15">
      <c r="F84" s="638">
        <f>F65</f>
        <v>2460000</v>
      </c>
      <c r="G84" s="638">
        <f>G78</f>
        <v>9376233.8300000001</v>
      </c>
    </row>
    <row r="85" spans="1:15">
      <c r="D85" s="638">
        <f>F7</f>
        <v>0</v>
      </c>
      <c r="F85" s="638">
        <f>F66</f>
        <v>4182836.4</v>
      </c>
    </row>
    <row r="87" spans="1:15">
      <c r="F87" s="638"/>
      <c r="G87" s="609">
        <f>G84+G83+F83+F84+F85</f>
        <v>27576633.789999999</v>
      </c>
      <c r="H87" s="632" t="s">
        <v>3021</v>
      </c>
    </row>
    <row r="88" spans="1:15">
      <c r="F88" s="638"/>
      <c r="G88" s="606">
        <f>D81</f>
        <v>14839671.599999998</v>
      </c>
      <c r="H88" s="639" t="s">
        <v>349</v>
      </c>
    </row>
    <row r="89" spans="1:15">
      <c r="G89" s="606">
        <f>E81</f>
        <v>-11858263.439999999</v>
      </c>
      <c r="H89" s="639" t="s">
        <v>190</v>
      </c>
    </row>
    <row r="90" spans="1:15">
      <c r="G90" s="606">
        <f>F81</f>
        <v>6646942.8799999999</v>
      </c>
      <c r="H90" s="639" t="s">
        <v>128</v>
      </c>
    </row>
    <row r="91" spans="1:15">
      <c r="G91" s="606">
        <f>G81</f>
        <v>31269226.969999999</v>
      </c>
      <c r="H91" s="639" t="s">
        <v>141</v>
      </c>
    </row>
    <row r="92" spans="1:15">
      <c r="E92" s="638"/>
      <c r="F92" s="638"/>
      <c r="G92" s="638">
        <v>-2107846.12</v>
      </c>
      <c r="H92" s="639" t="s">
        <v>3022</v>
      </c>
    </row>
    <row r="93" spans="1:15">
      <c r="G93" s="638">
        <f>-SUM(D50:D62)</f>
        <v>-5651602.5099999998</v>
      </c>
      <c r="H93" s="639" t="s">
        <v>3023</v>
      </c>
    </row>
    <row r="94" spans="1:15">
      <c r="E94" s="638"/>
      <c r="G94" s="638">
        <f>-D70-D71-D72-D73-D74</f>
        <v>-1864795.959999999</v>
      </c>
      <c r="H94" s="639" t="s">
        <v>3024</v>
      </c>
    </row>
    <row r="95" spans="1:15">
      <c r="G95" s="638">
        <f>-D67-D68</f>
        <v>6642836.4000000004</v>
      </c>
      <c r="H95" s="639" t="s">
        <v>3025</v>
      </c>
    </row>
    <row r="96" spans="1:15">
      <c r="G96" s="638">
        <f>-G79</f>
        <v>-10339536.060000001</v>
      </c>
      <c r="H96" s="639" t="s">
        <v>3026</v>
      </c>
    </row>
    <row r="97" spans="7:8">
      <c r="G97" s="609">
        <f>SUM(G88:G96)</f>
        <v>27576633.759999998</v>
      </c>
      <c r="H97" s="639" t="s">
        <v>3027</v>
      </c>
    </row>
    <row r="99" spans="7:8">
      <c r="G99" s="615">
        <f>-G92-G94-0.03</f>
        <v>3972642.0499999993</v>
      </c>
      <c r="H99" s="632" t="s">
        <v>3607</v>
      </c>
    </row>
    <row r="100" spans="7:8">
      <c r="G100" s="638"/>
    </row>
  </sheetData>
  <autoFilter ref="K1:K100"/>
  <mergeCells count="18">
    <mergeCell ref="O70:O74"/>
    <mergeCell ref="O18:O22"/>
    <mergeCell ref="P18:P22"/>
    <mergeCell ref="O23:O27"/>
    <mergeCell ref="P23:P27"/>
    <mergeCell ref="O28:O32"/>
    <mergeCell ref="P28:P32"/>
    <mergeCell ref="O33:O37"/>
    <mergeCell ref="P33:P37"/>
    <mergeCell ref="O38:O42"/>
    <mergeCell ref="O43:O45"/>
    <mergeCell ref="O50:O62"/>
    <mergeCell ref="O2:O7"/>
    <mergeCell ref="P2:P7"/>
    <mergeCell ref="O8:O12"/>
    <mergeCell ref="P8:P12"/>
    <mergeCell ref="O13:O17"/>
    <mergeCell ref="P13:P17"/>
  </mergeCells>
  <pageMargins left="0.75" right="0.75" top="1" bottom="1" header="0.5" footer="0.5"/>
  <pageSetup paperSize="9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selection activeCell="J9" sqref="J8:J9"/>
    </sheetView>
  </sheetViews>
  <sheetFormatPr defaultColWidth="8.88671875" defaultRowHeight="10.199999999999999"/>
  <cols>
    <col min="1" max="1" width="24" style="228" customWidth="1"/>
    <col min="2" max="8" width="12.77734375" style="228" customWidth="1"/>
    <col min="9" max="16384" width="8.88671875" style="228"/>
  </cols>
  <sheetData>
    <row r="1" spans="1:8" ht="40.950000000000003" customHeight="1">
      <c r="A1" s="1836" t="s">
        <v>3524</v>
      </c>
      <c r="B1" s="1836"/>
      <c r="C1" s="1836"/>
      <c r="D1" s="1836"/>
      <c r="E1" s="1836"/>
      <c r="F1" s="1836"/>
    </row>
    <row r="2" spans="1:8" ht="106.95" customHeight="1">
      <c r="A2" s="977" t="s">
        <v>2886</v>
      </c>
      <c r="B2" s="978" t="s">
        <v>3515</v>
      </c>
      <c r="C2" s="979" t="s">
        <v>3516</v>
      </c>
      <c r="D2" s="979" t="s">
        <v>3517</v>
      </c>
      <c r="E2" s="979" t="s">
        <v>3518</v>
      </c>
      <c r="F2" s="979" t="s">
        <v>3519</v>
      </c>
      <c r="G2" s="979" t="s">
        <v>3520</v>
      </c>
      <c r="H2" s="979" t="s">
        <v>3521</v>
      </c>
    </row>
    <row r="3" spans="1:8" ht="36" customHeight="1">
      <c r="A3" s="980" t="s">
        <v>3522</v>
      </c>
      <c r="B3" s="980" t="s">
        <v>2886</v>
      </c>
      <c r="C3" s="981"/>
      <c r="D3" s="981"/>
      <c r="E3" s="981">
        <f>'FC Spr.z syt.finans.'!B69</f>
        <v>0</v>
      </c>
      <c r="F3" s="982"/>
      <c r="G3" s="983" t="s">
        <v>2886</v>
      </c>
      <c r="H3" s="983" t="s">
        <v>2886</v>
      </c>
    </row>
    <row r="4" spans="1:8" ht="36" customHeight="1">
      <c r="A4" s="984" t="s">
        <v>3523</v>
      </c>
      <c r="B4" s="984" t="s">
        <v>2886</v>
      </c>
      <c r="C4" s="985"/>
      <c r="D4" s="985"/>
      <c r="E4" s="985">
        <f>E3</f>
        <v>0</v>
      </c>
      <c r="F4" s="985"/>
      <c r="G4" s="986" t="s">
        <v>2886</v>
      </c>
      <c r="H4" s="986" t="s">
        <v>2886</v>
      </c>
    </row>
  </sheetData>
  <mergeCells count="1">
    <mergeCell ref="A1:F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03"/>
  <sheetViews>
    <sheetView zoomScale="79" zoomScaleNormal="79" workbookViewId="0">
      <pane xSplit="3" ySplit="3" topLeftCell="D4" activePane="bottomRight" state="frozen"/>
      <selection activeCell="M27" sqref="M27"/>
      <selection pane="topRight" activeCell="M27" sqref="M27"/>
      <selection pane="bottomLeft" activeCell="M27" sqref="M27"/>
      <selection pane="bottomRight" activeCell="B58" sqref="B58"/>
    </sheetView>
  </sheetViews>
  <sheetFormatPr defaultColWidth="8.88671875" defaultRowHeight="14.4"/>
  <cols>
    <col min="1" max="1" width="2.109375" style="683" customWidth="1"/>
    <col min="2" max="2" width="72.109375" style="683" customWidth="1"/>
    <col min="3" max="3" width="1.88671875" style="683" customWidth="1"/>
    <col min="4" max="4" width="9.88671875" style="683" customWidth="1"/>
    <col min="5" max="5" width="1.44140625" style="683" customWidth="1"/>
    <col min="6" max="8" width="26.44140625" style="683" customWidth="1"/>
    <col min="9" max="9" width="2.33203125" style="683" customWidth="1"/>
    <col min="10" max="10" width="17.109375" style="683" customWidth="1"/>
    <col min="11" max="11" width="17.88671875" style="683" customWidth="1"/>
    <col min="12" max="12" width="9.88671875" style="683" bestFit="1" customWidth="1"/>
    <col min="13" max="16384" width="8.88671875" style="683"/>
  </cols>
  <sheetData>
    <row r="1" spans="2:10" ht="19.95" customHeight="1"/>
    <row r="2" spans="2:10" ht="43.95" customHeight="1">
      <c r="B2" s="761" t="s">
        <v>3276</v>
      </c>
      <c r="C2" s="684" t="s">
        <v>2886</v>
      </c>
      <c r="D2" s="762" t="s">
        <v>2121</v>
      </c>
      <c r="E2" s="763" t="s">
        <v>2886</v>
      </c>
      <c r="F2" s="764" t="s">
        <v>2122</v>
      </c>
      <c r="G2" s="765" t="s">
        <v>2123</v>
      </c>
      <c r="H2" s="765" t="s">
        <v>1501</v>
      </c>
      <c r="I2" s="766" t="s">
        <v>2886</v>
      </c>
      <c r="J2" s="855">
        <f>H4-'FC Spr.z syt.finans.'!G33</f>
        <v>0</v>
      </c>
    </row>
    <row r="3" spans="2:10" ht="19.95" customHeight="1">
      <c r="B3" s="684" t="s">
        <v>2886</v>
      </c>
      <c r="C3" s="684" t="s">
        <v>2886</v>
      </c>
      <c r="D3" s="767" t="s">
        <v>2886</v>
      </c>
      <c r="E3" s="767" t="s">
        <v>2886</v>
      </c>
      <c r="F3" s="767" t="s">
        <v>2886</v>
      </c>
      <c r="G3" s="767" t="s">
        <v>2886</v>
      </c>
      <c r="H3" s="767" t="s">
        <v>2886</v>
      </c>
      <c r="I3" s="767" t="s">
        <v>2886</v>
      </c>
      <c r="J3" s="767" t="s">
        <v>2886</v>
      </c>
    </row>
    <row r="4" spans="2:10" ht="37.950000000000003" customHeight="1" thickBot="1">
      <c r="B4" s="768" t="s">
        <v>2124</v>
      </c>
      <c r="C4" s="767" t="s">
        <v>2886</v>
      </c>
      <c r="D4" s="769" t="s">
        <v>2886</v>
      </c>
      <c r="E4" s="770" t="s">
        <v>2886</v>
      </c>
      <c r="F4" s="771">
        <f>F10+F15+F22+F27+F32+F35+F37+F42+F44+F84+F85+F6</f>
        <v>0</v>
      </c>
      <c r="G4" s="771">
        <f>G10+G15+G22+G27+G32+G35+G37+G42+G44+G84+G85+G6</f>
        <v>28008789.949999977</v>
      </c>
      <c r="H4" s="771">
        <f>H10+H15+H22+H27+H32+H35+H37+H42+H44+H84+H85+H6</f>
        <v>28008789.949999977</v>
      </c>
      <c r="I4" s="772"/>
      <c r="J4" s="867"/>
    </row>
    <row r="5" spans="2:10" ht="9" customHeight="1" thickTop="1">
      <c r="B5" s="763" t="s">
        <v>2886</v>
      </c>
      <c r="C5" s="767" t="s">
        <v>2886</v>
      </c>
      <c r="D5" s="774" t="s">
        <v>2886</v>
      </c>
      <c r="E5" s="770" t="s">
        <v>2886</v>
      </c>
      <c r="F5" s="770" t="s">
        <v>2886</v>
      </c>
      <c r="G5" s="770" t="s">
        <v>2886</v>
      </c>
      <c r="H5" s="770" t="s">
        <v>2886</v>
      </c>
      <c r="I5" s="770" t="s">
        <v>2886</v>
      </c>
      <c r="J5" s="770" t="s">
        <v>2886</v>
      </c>
    </row>
    <row r="6" spans="2:10" ht="25.95" customHeight="1">
      <c r="B6" s="775" t="s">
        <v>2126</v>
      </c>
      <c r="C6" s="767" t="s">
        <v>2886</v>
      </c>
      <c r="D6" s="769" t="s">
        <v>2886</v>
      </c>
      <c r="E6" s="770" t="s">
        <v>2886</v>
      </c>
      <c r="F6" s="776"/>
      <c r="G6" s="777">
        <f>'bilans '!B124</f>
        <v>25022304.54999999</v>
      </c>
      <c r="H6" s="777">
        <f>G6+F6</f>
        <v>25022304.54999999</v>
      </c>
      <c r="I6" s="772"/>
      <c r="J6" s="778">
        <f>H6-'bilans '!B124</f>
        <v>0</v>
      </c>
    </row>
    <row r="7" spans="2:10" ht="19.05" customHeight="1">
      <c r="B7" s="779" t="s">
        <v>2127</v>
      </c>
      <c r="C7" s="767" t="s">
        <v>2886</v>
      </c>
      <c r="D7" s="779" t="s">
        <v>2886</v>
      </c>
      <c r="E7" s="770" t="s">
        <v>2886</v>
      </c>
      <c r="F7" s="780"/>
      <c r="G7" s="781"/>
      <c r="H7" s="781"/>
      <c r="I7" s="782"/>
      <c r="J7" s="782"/>
    </row>
    <row r="8" spans="2:10" ht="21" customHeight="1">
      <c r="B8" s="779" t="s">
        <v>2128</v>
      </c>
      <c r="C8" s="767" t="s">
        <v>2886</v>
      </c>
      <c r="D8" s="779" t="s">
        <v>2886</v>
      </c>
      <c r="E8" s="770" t="s">
        <v>2886</v>
      </c>
      <c r="F8" s="780"/>
      <c r="G8" s="781"/>
      <c r="H8" s="781"/>
      <c r="I8" s="782"/>
      <c r="J8" s="782"/>
    </row>
    <row r="9" spans="2:10" ht="16.05" customHeight="1">
      <c r="B9" s="763" t="s">
        <v>2886</v>
      </c>
      <c r="C9" s="767" t="s">
        <v>2886</v>
      </c>
      <c r="D9" s="774" t="s">
        <v>2886</v>
      </c>
      <c r="E9" s="770" t="s">
        <v>2886</v>
      </c>
      <c r="F9" s="770" t="s">
        <v>2886</v>
      </c>
      <c r="G9" s="770" t="s">
        <v>2886</v>
      </c>
      <c r="H9" s="770" t="s">
        <v>2886</v>
      </c>
      <c r="I9" s="770" t="s">
        <v>2886</v>
      </c>
      <c r="J9" s="770" t="s">
        <v>2886</v>
      </c>
    </row>
    <row r="10" spans="2:10" ht="25.05" customHeight="1">
      <c r="B10" s="775" t="s">
        <v>2129</v>
      </c>
      <c r="C10" s="767" t="s">
        <v>2886</v>
      </c>
      <c r="D10" s="783" t="s">
        <v>2886</v>
      </c>
      <c r="E10" s="770" t="s">
        <v>2886</v>
      </c>
      <c r="F10" s="776"/>
      <c r="G10" s="777"/>
      <c r="H10" s="777"/>
      <c r="I10" s="772"/>
      <c r="J10" s="773" t="s">
        <v>2125</v>
      </c>
    </row>
    <row r="11" spans="2:10" ht="42" customHeight="1">
      <c r="B11" s="784" t="s">
        <v>3236</v>
      </c>
      <c r="C11" s="767" t="s">
        <v>2886</v>
      </c>
      <c r="D11" s="784" t="s">
        <v>2886</v>
      </c>
      <c r="E11" s="770" t="s">
        <v>2886</v>
      </c>
      <c r="F11" s="785"/>
      <c r="G11" s="786"/>
      <c r="H11" s="787"/>
      <c r="I11" s="772"/>
      <c r="J11" s="778"/>
    </row>
    <row r="12" spans="2:10" ht="37.950000000000003" customHeight="1">
      <c r="B12" s="788" t="s">
        <v>3237</v>
      </c>
      <c r="C12" s="767" t="s">
        <v>2886</v>
      </c>
      <c r="D12" s="783" t="s">
        <v>2886</v>
      </c>
      <c r="E12" s="770" t="s">
        <v>2886</v>
      </c>
      <c r="F12" s="789"/>
      <c r="G12" s="790"/>
      <c r="H12" s="791"/>
      <c r="I12" s="772"/>
      <c r="J12" s="773" t="s">
        <v>2125</v>
      </c>
    </row>
    <row r="13" spans="2:10" ht="42" customHeight="1">
      <c r="B13" s="792" t="s">
        <v>3238</v>
      </c>
      <c r="C13" s="767" t="s">
        <v>2886</v>
      </c>
      <c r="D13" s="792" t="s">
        <v>2886</v>
      </c>
      <c r="E13" s="770" t="s">
        <v>2886</v>
      </c>
      <c r="F13" s="793"/>
      <c r="G13" s="794"/>
      <c r="H13" s="794"/>
      <c r="I13" s="772"/>
      <c r="J13" s="778"/>
    </row>
    <row r="14" spans="2:10" ht="16.05" customHeight="1">
      <c r="B14" s="763" t="s">
        <v>2886</v>
      </c>
      <c r="C14" s="767" t="s">
        <v>2886</v>
      </c>
      <c r="D14" s="774" t="s">
        <v>2886</v>
      </c>
      <c r="E14" s="770" t="s">
        <v>2886</v>
      </c>
      <c r="F14" s="770" t="s">
        <v>2886</v>
      </c>
      <c r="G14" s="770" t="s">
        <v>2886</v>
      </c>
      <c r="H14" s="770" t="s">
        <v>2886</v>
      </c>
      <c r="I14" s="770" t="s">
        <v>2886</v>
      </c>
      <c r="J14" s="770" t="s">
        <v>2886</v>
      </c>
    </row>
    <row r="15" spans="2:10" ht="24" customHeight="1">
      <c r="B15" s="775" t="s">
        <v>2130</v>
      </c>
      <c r="C15" s="767" t="s">
        <v>2886</v>
      </c>
      <c r="D15" s="783" t="s">
        <v>2886</v>
      </c>
      <c r="E15" s="770" t="s">
        <v>2886</v>
      </c>
      <c r="F15" s="776"/>
      <c r="G15" s="777"/>
      <c r="H15" s="777"/>
      <c r="I15" s="772"/>
      <c r="J15" s="773" t="s">
        <v>2125</v>
      </c>
    </row>
    <row r="16" spans="2:10" ht="31.95" customHeight="1">
      <c r="B16" s="784" t="s">
        <v>3239</v>
      </c>
      <c r="C16" s="767" t="s">
        <v>2886</v>
      </c>
      <c r="D16" s="784" t="s">
        <v>2886</v>
      </c>
      <c r="E16" s="770" t="s">
        <v>2886</v>
      </c>
      <c r="F16" s="785"/>
      <c r="G16" s="786"/>
      <c r="H16" s="787"/>
      <c r="I16" s="772"/>
      <c r="J16" s="778"/>
    </row>
    <row r="17" spans="2:10" ht="31.95" customHeight="1">
      <c r="B17" s="788" t="s">
        <v>3240</v>
      </c>
      <c r="C17" s="767" t="s">
        <v>2886</v>
      </c>
      <c r="D17" s="783" t="s">
        <v>2886</v>
      </c>
      <c r="E17" s="770" t="s">
        <v>2886</v>
      </c>
      <c r="F17" s="789"/>
      <c r="G17" s="790"/>
      <c r="H17" s="791"/>
      <c r="I17" s="772"/>
      <c r="J17" s="773" t="s">
        <v>2125</v>
      </c>
    </row>
    <row r="18" spans="2:10" ht="31.95" customHeight="1">
      <c r="B18" s="792" t="s">
        <v>3241</v>
      </c>
      <c r="C18" s="767" t="s">
        <v>2886</v>
      </c>
      <c r="D18" s="792" t="s">
        <v>2886</v>
      </c>
      <c r="E18" s="770" t="s">
        <v>2886</v>
      </c>
      <c r="F18" s="793"/>
      <c r="G18" s="794"/>
      <c r="H18" s="794"/>
      <c r="I18" s="772"/>
      <c r="J18" s="778"/>
    </row>
    <row r="19" spans="2:10" ht="13.95" customHeight="1">
      <c r="B19" s="763" t="s">
        <v>2886</v>
      </c>
      <c r="C19" s="767" t="s">
        <v>2886</v>
      </c>
      <c r="D19" s="774" t="s">
        <v>2886</v>
      </c>
      <c r="E19" s="770" t="s">
        <v>2886</v>
      </c>
      <c r="F19" s="770" t="s">
        <v>2886</v>
      </c>
      <c r="G19" s="770" t="s">
        <v>2886</v>
      </c>
      <c r="H19" s="770" t="s">
        <v>2886</v>
      </c>
      <c r="I19" s="770" t="s">
        <v>2886</v>
      </c>
      <c r="J19" s="770" t="s">
        <v>2886</v>
      </c>
    </row>
    <row r="20" spans="2:10" ht="43.05" customHeight="1">
      <c r="B20" s="775" t="s">
        <v>3242</v>
      </c>
      <c r="C20" s="767" t="s">
        <v>2886</v>
      </c>
      <c r="D20" s="783" t="s">
        <v>2886</v>
      </c>
      <c r="E20" s="770" t="s">
        <v>2886</v>
      </c>
      <c r="F20" s="776"/>
      <c r="G20" s="777"/>
      <c r="H20" s="777"/>
      <c r="I20" s="772"/>
      <c r="J20" s="778"/>
    </row>
    <row r="21" spans="2:10" ht="10.95" customHeight="1">
      <c r="B21" s="763" t="s">
        <v>2886</v>
      </c>
      <c r="C21" s="767" t="s">
        <v>2886</v>
      </c>
      <c r="D21" s="774" t="s">
        <v>2886</v>
      </c>
      <c r="E21" s="770" t="s">
        <v>2886</v>
      </c>
      <c r="F21" s="770" t="s">
        <v>2886</v>
      </c>
      <c r="G21" s="770" t="s">
        <v>2886</v>
      </c>
      <c r="H21" s="770" t="s">
        <v>2886</v>
      </c>
      <c r="I21" s="770" t="s">
        <v>2886</v>
      </c>
      <c r="J21" s="770" t="s">
        <v>2886</v>
      </c>
    </row>
    <row r="22" spans="2:10" ht="28.95" customHeight="1">
      <c r="B22" s="795" t="s">
        <v>2131</v>
      </c>
      <c r="C22" s="767" t="s">
        <v>2886</v>
      </c>
      <c r="D22" s="783" t="s">
        <v>2886</v>
      </c>
      <c r="E22" s="770" t="s">
        <v>2886</v>
      </c>
      <c r="F22" s="796"/>
      <c r="G22" s="797"/>
      <c r="H22" s="797"/>
      <c r="I22" s="772"/>
      <c r="J22" s="773" t="s">
        <v>2125</v>
      </c>
    </row>
    <row r="23" spans="2:10" ht="42" customHeight="1">
      <c r="B23" s="784" t="s">
        <v>3243</v>
      </c>
      <c r="C23" s="767" t="s">
        <v>2886</v>
      </c>
      <c r="D23" s="784" t="s">
        <v>2886</v>
      </c>
      <c r="E23" s="770" t="s">
        <v>2886</v>
      </c>
      <c r="F23" s="785"/>
      <c r="G23" s="786"/>
      <c r="H23" s="787"/>
      <c r="I23" s="772"/>
      <c r="J23" s="778"/>
    </row>
    <row r="24" spans="2:10" ht="37.950000000000003" customHeight="1">
      <c r="B24" s="788" t="s">
        <v>3244</v>
      </c>
      <c r="C24" s="767" t="s">
        <v>2886</v>
      </c>
      <c r="D24" s="783" t="s">
        <v>2886</v>
      </c>
      <c r="E24" s="770" t="s">
        <v>2886</v>
      </c>
      <c r="F24" s="789"/>
      <c r="G24" s="790"/>
      <c r="H24" s="791"/>
      <c r="I24" s="772"/>
      <c r="J24" s="773" t="s">
        <v>2125</v>
      </c>
    </row>
    <row r="25" spans="2:10" ht="52.05" customHeight="1">
      <c r="B25" s="792" t="s">
        <v>3245</v>
      </c>
      <c r="C25" s="767" t="s">
        <v>2886</v>
      </c>
      <c r="D25" s="792" t="s">
        <v>2886</v>
      </c>
      <c r="E25" s="770" t="s">
        <v>2886</v>
      </c>
      <c r="F25" s="793"/>
      <c r="G25" s="794"/>
      <c r="H25" s="794"/>
      <c r="I25" s="772"/>
      <c r="J25" s="778"/>
    </row>
    <row r="26" spans="2:10" ht="16.05" customHeight="1">
      <c r="B26" s="763" t="s">
        <v>2886</v>
      </c>
      <c r="C26" s="767" t="s">
        <v>2886</v>
      </c>
      <c r="D26" s="774" t="s">
        <v>2886</v>
      </c>
      <c r="E26" s="770" t="s">
        <v>2886</v>
      </c>
      <c r="F26" s="770" t="s">
        <v>2886</v>
      </c>
      <c r="G26" s="770" t="s">
        <v>2886</v>
      </c>
      <c r="H26" s="770" t="s">
        <v>2886</v>
      </c>
      <c r="I26" s="770" t="s">
        <v>2886</v>
      </c>
      <c r="J26" s="770" t="s">
        <v>2886</v>
      </c>
    </row>
    <row r="27" spans="2:10" ht="37.049999999999997" customHeight="1">
      <c r="B27" s="795" t="s">
        <v>2132</v>
      </c>
      <c r="C27" s="767" t="s">
        <v>2886</v>
      </c>
      <c r="D27" s="783" t="s">
        <v>2886</v>
      </c>
      <c r="E27" s="770" t="s">
        <v>2886</v>
      </c>
      <c r="F27" s="796"/>
      <c r="G27" s="797">
        <f>G28</f>
        <v>2501383.25999999</v>
      </c>
      <c r="H27" s="797">
        <f>G27+F27</f>
        <v>2501383.25999999</v>
      </c>
      <c r="I27" s="772"/>
      <c r="J27" s="773" t="s">
        <v>2125</v>
      </c>
    </row>
    <row r="28" spans="2:10" ht="37.049999999999997" customHeight="1">
      <c r="B28" s="784" t="s">
        <v>3246</v>
      </c>
      <c r="C28" s="767" t="s">
        <v>2886</v>
      </c>
      <c r="D28" s="784" t="s">
        <v>2886</v>
      </c>
      <c r="E28" s="770" t="s">
        <v>2886</v>
      </c>
      <c r="F28" s="785"/>
      <c r="G28" s="786">
        <f>G29</f>
        <v>2501383.25999999</v>
      </c>
      <c r="H28" s="787">
        <f>G28+F28</f>
        <v>2501383.25999999</v>
      </c>
      <c r="I28" s="772"/>
      <c r="J28" s="778"/>
    </row>
    <row r="29" spans="2:10" ht="37.049999999999997" customHeight="1">
      <c r="B29" s="788" t="s">
        <v>3348</v>
      </c>
      <c r="C29" s="767" t="s">
        <v>2886</v>
      </c>
      <c r="D29" s="783" t="s">
        <v>2886</v>
      </c>
      <c r="E29" s="770" t="s">
        <v>2886</v>
      </c>
      <c r="F29" s="789"/>
      <c r="G29" s="790">
        <f>'FC Spr.z syt.finans.'!B26</f>
        <v>2501383.25999999</v>
      </c>
      <c r="H29" s="791">
        <f>G29+F29</f>
        <v>2501383.25999999</v>
      </c>
      <c r="I29" s="772"/>
      <c r="J29" s="773" t="s">
        <v>2125</v>
      </c>
    </row>
    <row r="30" spans="2:10" ht="37.049999999999997" customHeight="1">
      <c r="B30" s="792" t="s">
        <v>3247</v>
      </c>
      <c r="C30" s="767" t="s">
        <v>2886</v>
      </c>
      <c r="D30" s="792" t="s">
        <v>2886</v>
      </c>
      <c r="E30" s="770" t="s">
        <v>2886</v>
      </c>
      <c r="F30" s="793"/>
      <c r="G30" s="794"/>
      <c r="H30" s="794"/>
      <c r="I30" s="772"/>
      <c r="J30" s="778"/>
    </row>
    <row r="31" spans="2:10" ht="12" customHeight="1">
      <c r="B31" s="763" t="s">
        <v>2886</v>
      </c>
      <c r="C31" s="767" t="s">
        <v>2886</v>
      </c>
      <c r="D31" s="774" t="s">
        <v>2886</v>
      </c>
      <c r="E31" s="770" t="s">
        <v>2886</v>
      </c>
      <c r="F31" s="770" t="s">
        <v>2886</v>
      </c>
      <c r="G31" s="770" t="s">
        <v>2886</v>
      </c>
      <c r="H31" s="770" t="s">
        <v>2886</v>
      </c>
      <c r="I31" s="770" t="s">
        <v>2886</v>
      </c>
      <c r="J31" s="770" t="s">
        <v>2886</v>
      </c>
    </row>
    <row r="32" spans="2:10" ht="52.05" customHeight="1">
      <c r="B32" s="795" t="s">
        <v>2133</v>
      </c>
      <c r="C32" s="767" t="s">
        <v>2886</v>
      </c>
      <c r="D32" s="783" t="s">
        <v>2886</v>
      </c>
      <c r="E32" s="770" t="s">
        <v>2886</v>
      </c>
      <c r="F32" s="796"/>
      <c r="G32" s="797"/>
      <c r="H32" s="797"/>
      <c r="I32" s="772"/>
      <c r="J32" s="773" t="s">
        <v>2125</v>
      </c>
    </row>
    <row r="33" spans="2:10" ht="52.05" customHeight="1">
      <c r="B33" s="798" t="s">
        <v>3248</v>
      </c>
      <c r="C33" s="767" t="s">
        <v>2886</v>
      </c>
      <c r="D33" s="798" t="s">
        <v>2886</v>
      </c>
      <c r="E33" s="770" t="s">
        <v>2886</v>
      </c>
      <c r="F33" s="799"/>
      <c r="G33" s="800"/>
      <c r="H33" s="801"/>
      <c r="I33" s="772"/>
      <c r="J33" s="778"/>
    </row>
    <row r="34" spans="2:10" ht="12" customHeight="1">
      <c r="B34" s="763" t="s">
        <v>2886</v>
      </c>
      <c r="C34" s="767" t="s">
        <v>2886</v>
      </c>
      <c r="D34" s="774" t="s">
        <v>2886</v>
      </c>
      <c r="E34" s="770" t="s">
        <v>2886</v>
      </c>
      <c r="F34" s="770" t="s">
        <v>2886</v>
      </c>
      <c r="G34" s="770" t="s">
        <v>2886</v>
      </c>
      <c r="H34" s="770" t="s">
        <v>2886</v>
      </c>
      <c r="I34" s="770" t="s">
        <v>2886</v>
      </c>
      <c r="J34" s="770" t="s">
        <v>2886</v>
      </c>
    </row>
    <row r="35" spans="2:10" ht="52.05" customHeight="1">
      <c r="B35" s="795" t="s">
        <v>2134</v>
      </c>
      <c r="C35" s="767" t="s">
        <v>2886</v>
      </c>
      <c r="D35" s="783" t="s">
        <v>2886</v>
      </c>
      <c r="E35" s="770" t="s">
        <v>2886</v>
      </c>
      <c r="F35" s="796"/>
      <c r="G35" s="797">
        <f>'bilans '!B221+'bilans '!B222+'bilans '!B224</f>
        <v>0</v>
      </c>
      <c r="H35" s="797">
        <f>G35+F35</f>
        <v>0</v>
      </c>
      <c r="I35" s="772"/>
      <c r="J35" s="778"/>
    </row>
    <row r="36" spans="2:10" ht="12" customHeight="1">
      <c r="B36" s="763" t="s">
        <v>2886</v>
      </c>
      <c r="C36" s="767" t="s">
        <v>2886</v>
      </c>
      <c r="D36" s="774" t="s">
        <v>2886</v>
      </c>
      <c r="E36" s="770" t="s">
        <v>2886</v>
      </c>
      <c r="F36" s="770" t="s">
        <v>2886</v>
      </c>
      <c r="G36" s="770" t="s">
        <v>2886</v>
      </c>
      <c r="H36" s="770" t="s">
        <v>2886</v>
      </c>
      <c r="I36" s="770" t="s">
        <v>2886</v>
      </c>
      <c r="J36" s="770" t="s">
        <v>2886</v>
      </c>
    </row>
    <row r="37" spans="2:10" ht="52.05" customHeight="1">
      <c r="B37" s="795" t="s">
        <v>2135</v>
      </c>
      <c r="C37" s="767" t="s">
        <v>2886</v>
      </c>
      <c r="D37" s="783" t="s">
        <v>2886</v>
      </c>
      <c r="E37" s="770" t="s">
        <v>2886</v>
      </c>
      <c r="F37" s="796"/>
      <c r="G37" s="797"/>
      <c r="H37" s="797"/>
      <c r="I37" s="772"/>
      <c r="J37" s="773" t="s">
        <v>2125</v>
      </c>
    </row>
    <row r="38" spans="2:10" ht="52.05" customHeight="1">
      <c r="B38" s="784" t="s">
        <v>3249</v>
      </c>
      <c r="C38" s="767" t="s">
        <v>2886</v>
      </c>
      <c r="D38" s="784" t="s">
        <v>2886</v>
      </c>
      <c r="E38" s="770" t="s">
        <v>2886</v>
      </c>
      <c r="F38" s="785"/>
      <c r="G38" s="786"/>
      <c r="H38" s="787"/>
      <c r="I38" s="772"/>
      <c r="J38" s="778"/>
    </row>
    <row r="39" spans="2:10" ht="52.05" customHeight="1">
      <c r="B39" s="788" t="s">
        <v>3250</v>
      </c>
      <c r="C39" s="767" t="s">
        <v>2886</v>
      </c>
      <c r="D39" s="783" t="s">
        <v>2886</v>
      </c>
      <c r="E39" s="770" t="s">
        <v>2886</v>
      </c>
      <c r="F39" s="789"/>
      <c r="G39" s="790"/>
      <c r="H39" s="791"/>
      <c r="I39" s="772"/>
      <c r="J39" s="773" t="s">
        <v>2125</v>
      </c>
    </row>
    <row r="40" spans="2:10" ht="52.05" customHeight="1">
      <c r="B40" s="792" t="s">
        <v>3251</v>
      </c>
      <c r="C40" s="767" t="s">
        <v>2886</v>
      </c>
      <c r="D40" s="792" t="s">
        <v>2886</v>
      </c>
      <c r="E40" s="770" t="s">
        <v>2886</v>
      </c>
      <c r="F40" s="793"/>
      <c r="G40" s="794"/>
      <c r="H40" s="794"/>
      <c r="I40" s="772"/>
      <c r="J40" s="778"/>
    </row>
    <row r="41" spans="2:10" ht="13.95" customHeight="1">
      <c r="B41" s="763" t="s">
        <v>2886</v>
      </c>
      <c r="C41" s="767" t="s">
        <v>2886</v>
      </c>
      <c r="D41" s="774" t="s">
        <v>2886</v>
      </c>
      <c r="E41" s="770" t="s">
        <v>2886</v>
      </c>
      <c r="F41" s="770" t="s">
        <v>2886</v>
      </c>
      <c r="G41" s="770" t="s">
        <v>2886</v>
      </c>
      <c r="H41" s="770" t="s">
        <v>2886</v>
      </c>
      <c r="I41" s="770" t="s">
        <v>2886</v>
      </c>
      <c r="J41" s="770" t="s">
        <v>2886</v>
      </c>
    </row>
    <row r="42" spans="2:10" ht="52.05" customHeight="1">
      <c r="B42" s="795" t="s">
        <v>2136</v>
      </c>
      <c r="C42" s="767" t="s">
        <v>2886</v>
      </c>
      <c r="D42" s="783" t="s">
        <v>2886</v>
      </c>
      <c r="E42" s="770" t="s">
        <v>2886</v>
      </c>
      <c r="F42" s="796"/>
      <c r="G42" s="797"/>
      <c r="H42" s="797"/>
      <c r="I42" s="772"/>
      <c r="J42" s="778"/>
    </row>
    <row r="43" spans="2:10" ht="10.95" customHeight="1">
      <c r="B43" s="763" t="s">
        <v>2886</v>
      </c>
      <c r="C43" s="767" t="s">
        <v>2886</v>
      </c>
      <c r="D43" s="774" t="s">
        <v>2886</v>
      </c>
      <c r="E43" s="770" t="s">
        <v>2886</v>
      </c>
      <c r="F43" s="770" t="s">
        <v>2886</v>
      </c>
      <c r="G43" s="770" t="s">
        <v>2886</v>
      </c>
      <c r="H43" s="770" t="s">
        <v>2886</v>
      </c>
      <c r="I43" s="770" t="s">
        <v>2886</v>
      </c>
      <c r="J43" s="770" t="s">
        <v>2886</v>
      </c>
    </row>
    <row r="44" spans="2:10" ht="52.05" customHeight="1">
      <c r="B44" s="1046" t="s">
        <v>2137</v>
      </c>
      <c r="C44" s="767" t="s">
        <v>2886</v>
      </c>
      <c r="D44" s="783" t="s">
        <v>2886</v>
      </c>
      <c r="E44" s="770" t="s">
        <v>2886</v>
      </c>
      <c r="F44" s="796">
        <f>F51+F52</f>
        <v>0</v>
      </c>
      <c r="G44" s="797">
        <f>G51+G52</f>
        <v>485102.13999999734</v>
      </c>
      <c r="H44" s="797">
        <f>G44+F44</f>
        <v>485102.13999999734</v>
      </c>
      <c r="I44" s="772"/>
      <c r="J44" s="773" t="s">
        <v>2125</v>
      </c>
    </row>
    <row r="45" spans="2:10" ht="32.4" customHeight="1">
      <c r="B45" s="847" t="s">
        <v>3252</v>
      </c>
      <c r="C45" s="767" t="s">
        <v>2886</v>
      </c>
      <c r="D45" s="798" t="s">
        <v>2886</v>
      </c>
      <c r="E45" s="770" t="s">
        <v>2886</v>
      </c>
      <c r="F45" s="799">
        <f t="shared" ref="F45:G48" si="0">F55</f>
        <v>0</v>
      </c>
      <c r="G45" s="799">
        <f t="shared" si="0"/>
        <v>0</v>
      </c>
      <c r="H45" s="801">
        <f t="shared" ref="H45:H62" si="1">G45+F45</f>
        <v>0</v>
      </c>
      <c r="I45" s="772"/>
      <c r="J45" s="773" t="s">
        <v>2125</v>
      </c>
    </row>
    <row r="46" spans="2:10" ht="32.4" customHeight="1">
      <c r="B46" s="847" t="s">
        <v>3291</v>
      </c>
      <c r="C46" s="767"/>
      <c r="D46" s="798"/>
      <c r="E46" s="770"/>
      <c r="F46" s="799">
        <f t="shared" si="0"/>
        <v>0</v>
      </c>
      <c r="G46" s="799">
        <f t="shared" si="0"/>
        <v>0</v>
      </c>
      <c r="H46" s="801">
        <f t="shared" si="1"/>
        <v>0</v>
      </c>
      <c r="I46" s="772"/>
      <c r="J46" s="773" t="s">
        <v>2125</v>
      </c>
    </row>
    <row r="47" spans="2:10" ht="32.4" customHeight="1">
      <c r="B47" s="847" t="s">
        <v>3948</v>
      </c>
      <c r="C47" s="767"/>
      <c r="D47" s="798"/>
      <c r="E47" s="770"/>
      <c r="F47" s="799">
        <f t="shared" si="0"/>
        <v>0</v>
      </c>
      <c r="G47" s="799">
        <f t="shared" si="0"/>
        <v>0</v>
      </c>
      <c r="H47" s="801">
        <f t="shared" si="1"/>
        <v>0</v>
      </c>
      <c r="I47" s="772"/>
      <c r="J47" s="773" t="s">
        <v>2125</v>
      </c>
    </row>
    <row r="48" spans="2:10" ht="32.4" customHeight="1">
      <c r="B48" s="847" t="s">
        <v>4059</v>
      </c>
      <c r="C48" s="767"/>
      <c r="D48" s="798"/>
      <c r="E48" s="770"/>
      <c r="F48" s="799">
        <f t="shared" si="0"/>
        <v>0</v>
      </c>
      <c r="G48" s="799">
        <f t="shared" si="0"/>
        <v>70000</v>
      </c>
      <c r="H48" s="801">
        <f t="shared" si="1"/>
        <v>70000</v>
      </c>
      <c r="I48" s="772"/>
      <c r="J48" s="773"/>
    </row>
    <row r="49" spans="2:12" ht="32.4" customHeight="1">
      <c r="B49" s="847" t="s">
        <v>3253</v>
      </c>
      <c r="C49" s="767" t="s">
        <v>2886</v>
      </c>
      <c r="D49" s="798" t="s">
        <v>2886</v>
      </c>
      <c r="E49" s="770" t="s">
        <v>2886</v>
      </c>
      <c r="F49" s="799">
        <f>F59</f>
        <v>0</v>
      </c>
      <c r="G49" s="799">
        <f>G59</f>
        <v>388324.53</v>
      </c>
      <c r="H49" s="801">
        <f t="shared" si="1"/>
        <v>388324.53</v>
      </c>
      <c r="I49" s="772"/>
      <c r="J49" s="773" t="s">
        <v>2125</v>
      </c>
    </row>
    <row r="50" spans="2:12" ht="32.4" customHeight="1">
      <c r="B50" s="848" t="s">
        <v>3254</v>
      </c>
      <c r="C50" s="767" t="s">
        <v>2886</v>
      </c>
      <c r="D50" s="784" t="s">
        <v>2886</v>
      </c>
      <c r="E50" s="770" t="s">
        <v>2886</v>
      </c>
      <c r="F50" s="799">
        <f>F60</f>
        <v>0</v>
      </c>
      <c r="G50" s="799">
        <f>G60</f>
        <v>12329.36</v>
      </c>
      <c r="H50" s="787">
        <f t="shared" si="1"/>
        <v>12329.36</v>
      </c>
      <c r="I50" s="772"/>
      <c r="J50" s="773" t="s">
        <v>2125</v>
      </c>
    </row>
    <row r="51" spans="2:12" ht="52.05" customHeight="1">
      <c r="B51" s="788" t="s">
        <v>3255</v>
      </c>
      <c r="C51" s="767" t="s">
        <v>2886</v>
      </c>
      <c r="D51" s="802"/>
      <c r="E51" s="770" t="s">
        <v>2886</v>
      </c>
      <c r="F51" s="789">
        <f>F45+F49+F50+F46+F47+F48</f>
        <v>0</v>
      </c>
      <c r="G51" s="789">
        <f>G45+G49+G50+G46+G47+G48</f>
        <v>470653.89</v>
      </c>
      <c r="H51" s="791">
        <f t="shared" si="1"/>
        <v>470653.89</v>
      </c>
      <c r="I51" s="772"/>
      <c r="J51" s="773" t="s">
        <v>2125</v>
      </c>
    </row>
    <row r="52" spans="2:12" ht="22.8">
      <c r="B52" s="792" t="s">
        <v>3256</v>
      </c>
      <c r="C52" s="767" t="s">
        <v>2886</v>
      </c>
      <c r="D52" s="792" t="s">
        <v>2886</v>
      </c>
      <c r="E52" s="770" t="s">
        <v>2886</v>
      </c>
      <c r="F52" s="793">
        <f>F62+F72+F77+F82</f>
        <v>0</v>
      </c>
      <c r="G52" s="793">
        <f>G62+G72+G77+G82</f>
        <v>14448.249999997319</v>
      </c>
      <c r="H52" s="794">
        <f t="shared" si="1"/>
        <v>14448.249999997319</v>
      </c>
      <c r="I52" s="772"/>
      <c r="J52" s="773" t="s">
        <v>2125</v>
      </c>
    </row>
    <row r="53" spans="2:12" ht="16.05" customHeight="1">
      <c r="B53" s="763" t="s">
        <v>2886</v>
      </c>
      <c r="C53" s="767" t="s">
        <v>2886</v>
      </c>
      <c r="D53" s="774" t="s">
        <v>2886</v>
      </c>
      <c r="E53" s="770" t="s">
        <v>2886</v>
      </c>
      <c r="F53" s="770" t="s">
        <v>2886</v>
      </c>
      <c r="G53" s="770" t="s">
        <v>2886</v>
      </c>
      <c r="H53" s="770"/>
      <c r="I53" s="770" t="s">
        <v>2886</v>
      </c>
      <c r="J53" s="770" t="s">
        <v>2886</v>
      </c>
    </row>
    <row r="54" spans="2:12" ht="52.05" customHeight="1">
      <c r="B54" s="803" t="s">
        <v>2138</v>
      </c>
      <c r="C54" s="767" t="s">
        <v>2886</v>
      </c>
      <c r="D54" s="804" t="s">
        <v>2886</v>
      </c>
      <c r="E54" s="770" t="s">
        <v>2886</v>
      </c>
      <c r="F54" s="805">
        <f>F61+F62</f>
        <v>0</v>
      </c>
      <c r="G54" s="805">
        <f>G61+G62</f>
        <v>470653.89</v>
      </c>
      <c r="H54" s="806">
        <f t="shared" si="1"/>
        <v>470653.89</v>
      </c>
      <c r="I54" s="772"/>
      <c r="J54" s="773" t="s">
        <v>2125</v>
      </c>
    </row>
    <row r="55" spans="2:12" ht="30" customHeight="1">
      <c r="C55" s="767" t="s">
        <v>2886</v>
      </c>
      <c r="D55" s="807" t="s">
        <v>2886</v>
      </c>
      <c r="E55" s="770" t="s">
        <v>2886</v>
      </c>
      <c r="F55" s="808"/>
      <c r="G55" s="809"/>
      <c r="H55" s="809">
        <f t="shared" si="1"/>
        <v>0</v>
      </c>
      <c r="I55" s="772"/>
      <c r="J55" s="778"/>
    </row>
    <row r="56" spans="2:12" ht="30" customHeight="1">
      <c r="B56" s="758" t="s">
        <v>3691</v>
      </c>
      <c r="C56" s="767"/>
      <c r="D56" s="807"/>
      <c r="E56" s="770"/>
      <c r="F56" s="808"/>
      <c r="G56" s="809"/>
      <c r="H56" s="809">
        <f t="shared" si="1"/>
        <v>0</v>
      </c>
      <c r="I56" s="772"/>
      <c r="J56" s="778"/>
    </row>
    <row r="57" spans="2:12" ht="30" customHeight="1">
      <c r="B57" s="758" t="s">
        <v>3950</v>
      </c>
      <c r="C57" s="767"/>
      <c r="D57" s="807"/>
      <c r="E57" s="770"/>
      <c r="F57" s="808"/>
      <c r="G57" s="809"/>
      <c r="H57" s="809">
        <f t="shared" si="1"/>
        <v>0</v>
      </c>
      <c r="I57" s="772"/>
      <c r="J57" s="778"/>
    </row>
    <row r="58" spans="2:12" ht="30" customHeight="1">
      <c r="B58" s="758" t="s">
        <v>4058</v>
      </c>
      <c r="C58" s="767"/>
      <c r="D58" s="807"/>
      <c r="E58" s="770"/>
      <c r="F58" s="808"/>
      <c r="G58" s="809">
        <v>70000</v>
      </c>
      <c r="H58" s="809">
        <f t="shared" si="1"/>
        <v>70000</v>
      </c>
      <c r="I58" s="772"/>
      <c r="J58" s="778"/>
    </row>
    <row r="59" spans="2:12" ht="30" customHeight="1">
      <c r="B59" s="758" t="s">
        <v>3692</v>
      </c>
      <c r="C59" s="767" t="s">
        <v>2886</v>
      </c>
      <c r="D59" s="807" t="s">
        <v>2886</v>
      </c>
      <c r="E59" s="770" t="s">
        <v>2886</v>
      </c>
      <c r="F59" s="808"/>
      <c r="G59" s="809">
        <f>192335.72+195988.81</f>
        <v>388324.53</v>
      </c>
      <c r="H59" s="809">
        <f t="shared" si="1"/>
        <v>388324.53</v>
      </c>
      <c r="I59" s="772"/>
      <c r="J59" s="778"/>
    </row>
    <row r="60" spans="2:12" ht="30" customHeight="1">
      <c r="B60" s="866" t="s">
        <v>3693</v>
      </c>
      <c r="C60" s="767" t="s">
        <v>2886</v>
      </c>
      <c r="D60" s="810" t="s">
        <v>2886</v>
      </c>
      <c r="E60" s="770" t="s">
        <v>2886</v>
      </c>
      <c r="F60" s="811"/>
      <c r="G60" s="812">
        <v>12329.36</v>
      </c>
      <c r="H60" s="812">
        <f t="shared" si="1"/>
        <v>12329.36</v>
      </c>
      <c r="I60" s="772"/>
      <c r="J60" s="778"/>
    </row>
    <row r="61" spans="2:12" ht="52.05" customHeight="1">
      <c r="B61" s="912" t="s">
        <v>3257</v>
      </c>
      <c r="C61" s="767" t="s">
        <v>2886</v>
      </c>
      <c r="D61" s="814"/>
      <c r="E61" s="770" t="s">
        <v>2886</v>
      </c>
      <c r="F61" s="816">
        <f>F55+F56+F59+F60+F57</f>
        <v>0</v>
      </c>
      <c r="G61" s="816">
        <f>G55+G56+G59+G60+G57+G58</f>
        <v>470653.89</v>
      </c>
      <c r="H61" s="1688">
        <f>H55+H56+H59+H60+H57+H58</f>
        <v>470653.89</v>
      </c>
      <c r="I61" s="772"/>
      <c r="J61" s="850" t="s">
        <v>3274</v>
      </c>
      <c r="K61" s="996">
        <f>F61-'bilans '!B70</f>
        <v>0</v>
      </c>
      <c r="L61" s="1069">
        <f>G61-'bilans '!B195</f>
        <v>0</v>
      </c>
    </row>
    <row r="62" spans="2:12" ht="52.05" customHeight="1">
      <c r="B62" s="818" t="s">
        <v>3258</v>
      </c>
      <c r="C62" s="767" t="s">
        <v>2886</v>
      </c>
      <c r="D62" s="818" t="s">
        <v>2886</v>
      </c>
      <c r="E62" s="770" t="s">
        <v>2886</v>
      </c>
      <c r="F62" s="819"/>
      <c r="G62" s="820"/>
      <c r="H62" s="820">
        <f t="shared" si="1"/>
        <v>0</v>
      </c>
      <c r="I62" s="772"/>
      <c r="J62" s="1639" t="s">
        <v>3970</v>
      </c>
    </row>
    <row r="63" spans="2:12" ht="10.95" customHeight="1">
      <c r="B63" s="763" t="s">
        <v>2886</v>
      </c>
      <c r="C63" s="767" t="s">
        <v>2886</v>
      </c>
      <c r="D63" s="774" t="s">
        <v>2886</v>
      </c>
      <c r="E63" s="770" t="s">
        <v>2886</v>
      </c>
      <c r="F63" s="770" t="s">
        <v>2886</v>
      </c>
      <c r="G63" s="770" t="s">
        <v>2886</v>
      </c>
      <c r="H63" s="770" t="s">
        <v>2886</v>
      </c>
      <c r="I63" s="770" t="s">
        <v>2886</v>
      </c>
      <c r="J63" s="770" t="s">
        <v>2886</v>
      </c>
    </row>
    <row r="64" spans="2:12" ht="52.05" customHeight="1">
      <c r="B64" s="803" t="s">
        <v>2139</v>
      </c>
      <c r="C64" s="767" t="s">
        <v>2886</v>
      </c>
      <c r="D64" s="804" t="s">
        <v>2886</v>
      </c>
      <c r="E64" s="770" t="s">
        <v>2886</v>
      </c>
      <c r="F64" s="805"/>
      <c r="G64" s="806"/>
      <c r="H64" s="806"/>
      <c r="I64" s="772"/>
      <c r="J64" s="773" t="s">
        <v>2125</v>
      </c>
    </row>
    <row r="65" spans="2:10" ht="52.05" customHeight="1">
      <c r="B65" s="810" t="s">
        <v>3259</v>
      </c>
      <c r="C65" s="767" t="s">
        <v>2886</v>
      </c>
      <c r="D65" s="810" t="s">
        <v>2886</v>
      </c>
      <c r="E65" s="770" t="s">
        <v>2886</v>
      </c>
      <c r="F65" s="811"/>
      <c r="G65" s="812"/>
      <c r="H65" s="812"/>
      <c r="I65" s="772"/>
      <c r="J65" s="778"/>
    </row>
    <row r="66" spans="2:10" ht="52.05" customHeight="1">
      <c r="B66" s="813" t="s">
        <v>3260</v>
      </c>
      <c r="C66" s="767" t="s">
        <v>2886</v>
      </c>
      <c r="D66" s="821" t="s">
        <v>2886</v>
      </c>
      <c r="E66" s="770" t="s">
        <v>2886</v>
      </c>
      <c r="F66" s="815"/>
      <c r="G66" s="816"/>
      <c r="H66" s="817"/>
      <c r="I66" s="772"/>
      <c r="J66" s="773" t="s">
        <v>2125</v>
      </c>
    </row>
    <row r="67" spans="2:10" ht="52.05" customHeight="1">
      <c r="B67" s="818" t="s">
        <v>3261</v>
      </c>
      <c r="C67" s="767" t="s">
        <v>2886</v>
      </c>
      <c r="D67" s="818" t="s">
        <v>2886</v>
      </c>
      <c r="E67" s="770" t="s">
        <v>2886</v>
      </c>
      <c r="F67" s="819"/>
      <c r="G67" s="820"/>
      <c r="H67" s="820"/>
      <c r="I67" s="772"/>
      <c r="J67" s="778"/>
    </row>
    <row r="68" spans="2:10" ht="22.05" customHeight="1">
      <c r="B68" s="763" t="s">
        <v>2886</v>
      </c>
      <c r="C68" s="767" t="s">
        <v>2886</v>
      </c>
      <c r="D68" s="774" t="s">
        <v>2886</v>
      </c>
      <c r="E68" s="770" t="s">
        <v>2886</v>
      </c>
      <c r="F68" s="770" t="s">
        <v>2886</v>
      </c>
      <c r="G68" s="770" t="s">
        <v>2886</v>
      </c>
      <c r="H68" s="770" t="s">
        <v>2886</v>
      </c>
      <c r="I68" s="770" t="s">
        <v>2886</v>
      </c>
      <c r="J68" s="770" t="s">
        <v>2886</v>
      </c>
    </row>
    <row r="69" spans="2:10" ht="52.05" customHeight="1">
      <c r="B69" s="803" t="s">
        <v>2140</v>
      </c>
      <c r="C69" s="767" t="s">
        <v>2886</v>
      </c>
      <c r="D69" s="804" t="s">
        <v>2886</v>
      </c>
      <c r="E69" s="770" t="s">
        <v>2886</v>
      </c>
      <c r="F69" s="805">
        <f>F71+F72</f>
        <v>0</v>
      </c>
      <c r="G69" s="805">
        <f>G71+G72</f>
        <v>0</v>
      </c>
      <c r="H69" s="806">
        <f>G69+F69</f>
        <v>0</v>
      </c>
      <c r="I69" s="772"/>
      <c r="J69" s="773" t="s">
        <v>2125</v>
      </c>
    </row>
    <row r="70" spans="2:10" ht="52.05" customHeight="1">
      <c r="B70" s="810" t="s">
        <v>3262</v>
      </c>
      <c r="C70" s="767" t="s">
        <v>2886</v>
      </c>
      <c r="D70" s="810" t="s">
        <v>2886</v>
      </c>
      <c r="E70" s="770" t="s">
        <v>2886</v>
      </c>
      <c r="F70" s="811"/>
      <c r="G70" s="812"/>
      <c r="H70" s="812"/>
      <c r="I70" s="772"/>
      <c r="J70" s="778"/>
    </row>
    <row r="71" spans="2:10" ht="52.05" customHeight="1">
      <c r="B71" s="813" t="s">
        <v>3263</v>
      </c>
      <c r="C71" s="767" t="s">
        <v>2886</v>
      </c>
      <c r="D71" s="821" t="s">
        <v>2886</v>
      </c>
      <c r="E71" s="770" t="s">
        <v>2886</v>
      </c>
      <c r="F71" s="815"/>
      <c r="G71" s="816"/>
      <c r="H71" s="817"/>
      <c r="I71" s="772"/>
      <c r="J71" s="773" t="s">
        <v>2125</v>
      </c>
    </row>
    <row r="72" spans="2:10" ht="52.05" customHeight="1">
      <c r="B72" s="818" t="s">
        <v>3264</v>
      </c>
      <c r="C72" s="767" t="s">
        <v>2886</v>
      </c>
      <c r="D72" s="818" t="s">
        <v>2886</v>
      </c>
      <c r="E72" s="770" t="s">
        <v>2886</v>
      </c>
      <c r="F72" s="819"/>
      <c r="G72" s="820"/>
      <c r="H72" s="820"/>
      <c r="I72" s="772"/>
      <c r="J72" s="778"/>
    </row>
    <row r="73" spans="2:10" ht="22.05" customHeight="1">
      <c r="B73" s="763" t="s">
        <v>2886</v>
      </c>
      <c r="C73" s="767" t="s">
        <v>2886</v>
      </c>
      <c r="D73" s="774" t="s">
        <v>2886</v>
      </c>
      <c r="E73" s="770" t="s">
        <v>2886</v>
      </c>
      <c r="F73" s="770" t="s">
        <v>2886</v>
      </c>
      <c r="G73" s="770" t="s">
        <v>2886</v>
      </c>
      <c r="H73" s="770" t="s">
        <v>2886</v>
      </c>
      <c r="I73" s="770" t="s">
        <v>2886</v>
      </c>
      <c r="J73" s="770" t="s">
        <v>2886</v>
      </c>
    </row>
    <row r="74" spans="2:10" ht="52.05" customHeight="1">
      <c r="B74" s="803" t="s">
        <v>2141</v>
      </c>
      <c r="C74" s="767" t="s">
        <v>2886</v>
      </c>
      <c r="D74" s="804" t="s">
        <v>2886</v>
      </c>
      <c r="E74" s="770" t="s">
        <v>2886</v>
      </c>
      <c r="F74" s="805"/>
      <c r="G74" s="806"/>
      <c r="H74" s="806">
        <f>G74+F74</f>
        <v>0</v>
      </c>
      <c r="I74" s="772"/>
      <c r="J74" s="773" t="s">
        <v>2125</v>
      </c>
    </row>
    <row r="75" spans="2:10" ht="52.05" customHeight="1">
      <c r="B75" s="810" t="s">
        <v>3265</v>
      </c>
      <c r="C75" s="767" t="s">
        <v>2886</v>
      </c>
      <c r="D75" s="810" t="s">
        <v>2886</v>
      </c>
      <c r="E75" s="770" t="s">
        <v>2886</v>
      </c>
      <c r="F75" s="811"/>
      <c r="G75" s="812"/>
      <c r="H75" s="812"/>
      <c r="I75" s="772"/>
      <c r="J75" s="778"/>
    </row>
    <row r="76" spans="2:10" ht="52.05" customHeight="1">
      <c r="B76" s="813" t="s">
        <v>3266</v>
      </c>
      <c r="C76" s="767" t="s">
        <v>2886</v>
      </c>
      <c r="D76" s="821" t="s">
        <v>2886</v>
      </c>
      <c r="E76" s="770" t="s">
        <v>2886</v>
      </c>
      <c r="F76" s="815"/>
      <c r="G76" s="816"/>
      <c r="H76" s="817"/>
      <c r="I76" s="772"/>
      <c r="J76" s="773" t="s">
        <v>2125</v>
      </c>
    </row>
    <row r="77" spans="2:10" ht="52.05" customHeight="1">
      <c r="B77" s="818" t="s">
        <v>3267</v>
      </c>
      <c r="C77" s="767" t="s">
        <v>2886</v>
      </c>
      <c r="D77" s="818" t="s">
        <v>2886</v>
      </c>
      <c r="E77" s="770" t="s">
        <v>2886</v>
      </c>
      <c r="F77" s="819"/>
      <c r="G77" s="820"/>
      <c r="H77" s="820"/>
      <c r="I77" s="772"/>
      <c r="J77" s="778"/>
    </row>
    <row r="78" spans="2:10" ht="22.05" customHeight="1">
      <c r="B78" s="763" t="s">
        <v>2886</v>
      </c>
      <c r="C78" s="767" t="s">
        <v>2886</v>
      </c>
      <c r="D78" s="774" t="s">
        <v>2886</v>
      </c>
      <c r="E78" s="770" t="s">
        <v>2886</v>
      </c>
      <c r="F78" s="770" t="s">
        <v>2886</v>
      </c>
      <c r="G78" s="770" t="s">
        <v>2886</v>
      </c>
      <c r="H78" s="770" t="s">
        <v>2886</v>
      </c>
      <c r="I78" s="770" t="s">
        <v>2886</v>
      </c>
      <c r="J78" s="770" t="s">
        <v>2886</v>
      </c>
    </row>
    <row r="79" spans="2:10" ht="52.05" customHeight="1">
      <c r="B79" s="803" t="s">
        <v>3268</v>
      </c>
      <c r="C79" s="767" t="s">
        <v>2886</v>
      </c>
      <c r="D79" s="804" t="s">
        <v>2886</v>
      </c>
      <c r="E79" s="770" t="s">
        <v>2886</v>
      </c>
      <c r="F79" s="805">
        <f>F81+F82</f>
        <v>0</v>
      </c>
      <c r="G79" s="805">
        <f>G81+G82</f>
        <v>14448.249999997319</v>
      </c>
      <c r="H79" s="806">
        <f>G79+F79</f>
        <v>14448.249999997319</v>
      </c>
      <c r="I79" s="772"/>
      <c r="J79" s="773" t="s">
        <v>2125</v>
      </c>
    </row>
    <row r="80" spans="2:10" ht="52.05" customHeight="1">
      <c r="B80" s="810" t="s">
        <v>3269</v>
      </c>
      <c r="C80" s="767" t="s">
        <v>2886</v>
      </c>
      <c r="D80" s="810" t="s">
        <v>2886</v>
      </c>
      <c r="E80" s="770" t="s">
        <v>2886</v>
      </c>
      <c r="F80" s="811"/>
      <c r="G80" s="812"/>
      <c r="H80" s="812"/>
      <c r="I80" s="772"/>
      <c r="J80" s="778"/>
    </row>
    <row r="81" spans="2:10" ht="52.05" customHeight="1">
      <c r="B81" s="813" t="s">
        <v>3270</v>
      </c>
      <c r="C81" s="767" t="s">
        <v>2886</v>
      </c>
      <c r="D81" s="821" t="s">
        <v>2886</v>
      </c>
      <c r="E81" s="770" t="s">
        <v>2886</v>
      </c>
      <c r="F81" s="815"/>
      <c r="G81" s="816"/>
      <c r="H81" s="817"/>
      <c r="I81" s="772"/>
      <c r="J81" s="773" t="s">
        <v>2125</v>
      </c>
    </row>
    <row r="82" spans="2:10" ht="52.05" customHeight="1">
      <c r="B82" s="818" t="s">
        <v>3271</v>
      </c>
      <c r="C82" s="767" t="s">
        <v>2886</v>
      </c>
      <c r="D82" s="818" t="s">
        <v>2886</v>
      </c>
      <c r="E82" s="770" t="s">
        <v>2886</v>
      </c>
      <c r="F82" s="819"/>
      <c r="G82" s="820">
        <f>G88+G89+G90</f>
        <v>14448.249999997319</v>
      </c>
      <c r="H82" s="820">
        <f>G82+F82</f>
        <v>14448.249999997319</v>
      </c>
      <c r="I82" s="772"/>
      <c r="J82" s="854"/>
    </row>
    <row r="83" spans="2:10" ht="22.05" customHeight="1">
      <c r="B83" s="763" t="s">
        <v>2886</v>
      </c>
      <c r="C83" s="767" t="s">
        <v>2886</v>
      </c>
      <c r="D83" s="774" t="s">
        <v>2886</v>
      </c>
      <c r="E83" s="770" t="s">
        <v>2886</v>
      </c>
      <c r="F83" s="770" t="s">
        <v>2886</v>
      </c>
      <c r="G83" s="770" t="s">
        <v>2886</v>
      </c>
      <c r="H83" s="770" t="s">
        <v>2886</v>
      </c>
      <c r="I83" s="770" t="s">
        <v>2886</v>
      </c>
      <c r="J83" s="770" t="s">
        <v>2886</v>
      </c>
    </row>
    <row r="84" spans="2:10" ht="52.05" customHeight="1">
      <c r="B84" s="795" t="s">
        <v>2142</v>
      </c>
      <c r="C84" s="767" t="s">
        <v>2886</v>
      </c>
      <c r="D84" s="783" t="s">
        <v>2886</v>
      </c>
      <c r="E84" s="770" t="s">
        <v>2886</v>
      </c>
      <c r="F84" s="796"/>
      <c r="G84" s="797"/>
      <c r="H84" s="797"/>
      <c r="I84" s="772"/>
      <c r="J84" s="778"/>
    </row>
    <row r="85" spans="2:10" ht="52.05" customHeight="1">
      <c r="B85" s="822" t="s">
        <v>2143</v>
      </c>
      <c r="C85" s="767" t="s">
        <v>2886</v>
      </c>
      <c r="D85" s="798" t="s">
        <v>2886</v>
      </c>
      <c r="E85" s="770" t="s">
        <v>2886</v>
      </c>
      <c r="F85" s="823"/>
      <c r="G85" s="824"/>
      <c r="H85" s="824"/>
      <c r="I85" s="772"/>
      <c r="J85" s="778"/>
    </row>
    <row r="86" spans="2:10" ht="63" customHeight="1">
      <c r="B86" s="763" t="s">
        <v>2886</v>
      </c>
      <c r="C86" s="767" t="s">
        <v>2886</v>
      </c>
      <c r="D86" s="774" t="s">
        <v>2886</v>
      </c>
      <c r="E86" s="770" t="s">
        <v>2886</v>
      </c>
      <c r="F86" s="770" t="s">
        <v>2886</v>
      </c>
      <c r="G86" s="770" t="s">
        <v>2886</v>
      </c>
      <c r="H86" s="770" t="s">
        <v>2886</v>
      </c>
      <c r="I86" s="770" t="s">
        <v>2886</v>
      </c>
      <c r="J86" s="770" t="s">
        <v>2886</v>
      </c>
    </row>
    <row r="87" spans="2:10" ht="49.05" customHeight="1">
      <c r="B87" s="825" t="s">
        <v>2144</v>
      </c>
      <c r="C87" s="767" t="s">
        <v>2886</v>
      </c>
      <c r="D87" s="766" t="s">
        <v>2886</v>
      </c>
      <c r="E87" s="770" t="s">
        <v>2886</v>
      </c>
      <c r="F87" s="772"/>
      <c r="G87" s="772"/>
      <c r="H87" s="826"/>
      <c r="I87" s="772"/>
      <c r="J87" s="778"/>
    </row>
    <row r="88" spans="2:10" ht="52.05" customHeight="1">
      <c r="B88" s="827" t="s">
        <v>2145</v>
      </c>
      <c r="C88" s="767" t="s">
        <v>2886</v>
      </c>
      <c r="D88" s="827" t="s">
        <v>3272</v>
      </c>
      <c r="E88" s="770" t="s">
        <v>2886</v>
      </c>
      <c r="F88" s="828"/>
      <c r="G88" s="829">
        <f>'bilans '!B210</f>
        <v>14448.25</v>
      </c>
      <c r="H88" s="830">
        <f>G88+F88</f>
        <v>14448.25</v>
      </c>
      <c r="I88" s="772"/>
      <c r="J88" s="1837" t="s">
        <v>3275</v>
      </c>
    </row>
    <row r="89" spans="2:10" ht="52.05" customHeight="1">
      <c r="B89" s="827" t="s">
        <v>2221</v>
      </c>
      <c r="C89" s="767"/>
      <c r="D89" s="853" t="s">
        <v>980</v>
      </c>
      <c r="E89" s="770"/>
      <c r="F89" s="851"/>
      <c r="G89" s="852">
        <f>'bilans '!B211-G35</f>
        <v>-2.6811903808265924E-9</v>
      </c>
      <c r="H89" s="830">
        <f>G89+F89</f>
        <v>-2.6811903808265924E-9</v>
      </c>
      <c r="I89" s="772"/>
      <c r="J89" s="1837"/>
    </row>
    <row r="90" spans="2:10" ht="52.05" customHeight="1">
      <c r="B90" s="827" t="s">
        <v>2414</v>
      </c>
      <c r="C90" s="767"/>
      <c r="D90" s="832"/>
      <c r="E90" s="770"/>
      <c r="F90" s="851"/>
      <c r="G90" s="852"/>
      <c r="H90" s="830">
        <f>G90+F90</f>
        <v>0</v>
      </c>
      <c r="I90" s="772"/>
      <c r="J90" s="1045"/>
    </row>
    <row r="91" spans="2:10" ht="42" customHeight="1" thickBot="1">
      <c r="B91" s="831" t="s">
        <v>2146</v>
      </c>
      <c r="C91" s="767" t="s">
        <v>2886</v>
      </c>
      <c r="D91" s="832" t="s">
        <v>2886</v>
      </c>
      <c r="E91" s="770" t="s">
        <v>2886</v>
      </c>
      <c r="F91" s="833">
        <f>F88</f>
        <v>0</v>
      </c>
      <c r="G91" s="834">
        <f>G88+G89+G90</f>
        <v>14448.249999997319</v>
      </c>
      <c r="H91" s="834">
        <f>G91+F91</f>
        <v>14448.249999997319</v>
      </c>
      <c r="I91" s="772"/>
      <c r="J91" s="778"/>
    </row>
    <row r="92" spans="2:10" ht="25.2" customHeight="1" thickTop="1">
      <c r="B92" s="763" t="s">
        <v>2886</v>
      </c>
      <c r="C92" s="767" t="s">
        <v>2886</v>
      </c>
      <c r="D92" s="774" t="s">
        <v>2886</v>
      </c>
      <c r="E92" s="770" t="s">
        <v>2886</v>
      </c>
      <c r="F92" s="849">
        <f>F91-F79</f>
        <v>0</v>
      </c>
      <c r="G92" s="849">
        <f>G91-G79</f>
        <v>0</v>
      </c>
      <c r="H92" s="849">
        <f>H91-H79</f>
        <v>0</v>
      </c>
      <c r="I92" s="770" t="s">
        <v>2886</v>
      </c>
      <c r="J92" s="770" t="s">
        <v>2886</v>
      </c>
    </row>
    <row r="93" spans="2:10" ht="22.05" customHeight="1">
      <c r="B93" s="835" t="s">
        <v>2147</v>
      </c>
      <c r="C93" s="767" t="s">
        <v>2886</v>
      </c>
      <c r="D93" s="836" t="s">
        <v>2886</v>
      </c>
      <c r="E93" s="770" t="s">
        <v>2886</v>
      </c>
      <c r="F93" s="837"/>
      <c r="G93" s="837"/>
      <c r="H93" s="837"/>
      <c r="I93" s="838"/>
      <c r="J93" s="839"/>
    </row>
    <row r="94" spans="2:10" ht="16.05" customHeight="1">
      <c r="B94" s="840" t="s">
        <v>2148</v>
      </c>
      <c r="C94" s="767" t="s">
        <v>2886</v>
      </c>
      <c r="D94" s="840" t="s">
        <v>2886</v>
      </c>
      <c r="E94" s="770" t="s">
        <v>2886</v>
      </c>
      <c r="F94" s="841"/>
      <c r="G94" s="842"/>
      <c r="H94" s="842"/>
      <c r="I94" s="826"/>
      <c r="J94" s="843"/>
    </row>
    <row r="95" spans="2:10" ht="16.05" customHeight="1">
      <c r="B95" s="844" t="s">
        <v>2149</v>
      </c>
      <c r="C95" s="767" t="s">
        <v>2886</v>
      </c>
      <c r="D95" s="844" t="s">
        <v>2886</v>
      </c>
      <c r="E95" s="770" t="s">
        <v>2886</v>
      </c>
      <c r="F95" s="845"/>
      <c r="G95" s="846"/>
      <c r="H95" s="846"/>
      <c r="I95" s="826"/>
      <c r="J95" s="843"/>
    </row>
    <row r="96" spans="2:10" ht="16.05" customHeight="1">
      <c r="B96" s="844" t="s">
        <v>2150</v>
      </c>
      <c r="C96" s="767" t="s">
        <v>2886</v>
      </c>
      <c r="D96" s="844" t="s">
        <v>2886</v>
      </c>
      <c r="E96" s="770" t="s">
        <v>2886</v>
      </c>
      <c r="F96" s="845"/>
      <c r="G96" s="846"/>
      <c r="H96" s="846"/>
      <c r="I96" s="826"/>
      <c r="J96" s="843"/>
    </row>
    <row r="97" spans="2:10" ht="16.05" customHeight="1">
      <c r="B97" s="844" t="s">
        <v>2151</v>
      </c>
      <c r="C97" s="767" t="s">
        <v>2886</v>
      </c>
      <c r="D97" s="844" t="s">
        <v>2886</v>
      </c>
      <c r="E97" s="770" t="s">
        <v>2886</v>
      </c>
      <c r="F97" s="845"/>
      <c r="G97" s="846"/>
      <c r="H97" s="846"/>
      <c r="I97" s="826"/>
      <c r="J97" s="843"/>
    </row>
    <row r="98" spans="2:10" ht="16.05" customHeight="1">
      <c r="B98" s="844" t="s">
        <v>2152</v>
      </c>
      <c r="C98" s="767" t="s">
        <v>2886</v>
      </c>
      <c r="D98" s="844" t="s">
        <v>2886</v>
      </c>
      <c r="E98" s="770" t="s">
        <v>2886</v>
      </c>
      <c r="F98" s="845"/>
      <c r="G98" s="846"/>
      <c r="H98" s="846"/>
      <c r="I98" s="826"/>
      <c r="J98" s="843"/>
    </row>
    <row r="99" spans="2:10" ht="16.05" customHeight="1">
      <c r="B99" s="844" t="s">
        <v>3273</v>
      </c>
      <c r="C99" s="767" t="s">
        <v>2886</v>
      </c>
      <c r="D99" s="844" t="s">
        <v>2886</v>
      </c>
      <c r="E99" s="770" t="s">
        <v>2886</v>
      </c>
      <c r="F99" s="845"/>
      <c r="G99" s="846"/>
      <c r="H99" s="846"/>
      <c r="I99" s="826"/>
      <c r="J99" s="843"/>
    </row>
    <row r="100" spans="2:10" ht="16.05" customHeight="1">
      <c r="B100" s="844" t="s">
        <v>2153</v>
      </c>
      <c r="C100" s="767" t="s">
        <v>2886</v>
      </c>
      <c r="D100" s="844" t="s">
        <v>2886</v>
      </c>
      <c r="E100" s="770" t="s">
        <v>2886</v>
      </c>
      <c r="F100" s="845"/>
      <c r="G100" s="846"/>
      <c r="H100" s="846"/>
      <c r="I100" s="826"/>
      <c r="J100" s="843"/>
    </row>
    <row r="101" spans="2:10" ht="16.05" customHeight="1">
      <c r="B101" s="844" t="s">
        <v>2154</v>
      </c>
      <c r="C101" s="767" t="s">
        <v>2886</v>
      </c>
      <c r="D101" s="844" t="s">
        <v>2886</v>
      </c>
      <c r="E101" s="770" t="s">
        <v>2886</v>
      </c>
      <c r="F101" s="845"/>
      <c r="G101" s="846"/>
      <c r="H101" s="846"/>
      <c r="I101" s="826"/>
      <c r="J101" s="843"/>
    </row>
    <row r="102" spans="2:10" ht="16.05" customHeight="1">
      <c r="B102" s="844" t="s">
        <v>2155</v>
      </c>
      <c r="C102" s="767" t="s">
        <v>2886</v>
      </c>
      <c r="D102" s="844" t="s">
        <v>2886</v>
      </c>
      <c r="E102" s="770" t="s">
        <v>2886</v>
      </c>
      <c r="F102" s="845"/>
      <c r="G102" s="846"/>
      <c r="H102" s="846"/>
      <c r="I102" s="826"/>
      <c r="J102" s="843">
        <v>0</v>
      </c>
    </row>
    <row r="103" spans="2:10" ht="16.05" customHeight="1">
      <c r="B103" s="844" t="s">
        <v>2156</v>
      </c>
      <c r="C103" s="767" t="s">
        <v>2886</v>
      </c>
      <c r="D103" s="844" t="s">
        <v>2886</v>
      </c>
      <c r="E103" s="770" t="s">
        <v>2886</v>
      </c>
      <c r="F103" s="845"/>
      <c r="G103" s="846"/>
      <c r="H103" s="846"/>
      <c r="I103" s="826"/>
      <c r="J103" s="843">
        <v>0</v>
      </c>
    </row>
  </sheetData>
  <mergeCells count="1">
    <mergeCell ref="J88:J89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6"/>
  <sheetViews>
    <sheetView workbookViewId="0">
      <pane xSplit="3" ySplit="3" topLeftCell="D4" activePane="bottomRight" state="frozen"/>
      <selection activeCell="M27" sqref="M27"/>
      <selection pane="topRight" activeCell="M27" sqref="M27"/>
      <selection pane="bottomLeft" activeCell="M27" sqref="M27"/>
      <selection pane="bottomRight" activeCell="E13" sqref="E13"/>
    </sheetView>
  </sheetViews>
  <sheetFormatPr defaultColWidth="8.88671875" defaultRowHeight="14.4"/>
  <cols>
    <col min="1" max="1" width="2.44140625" style="683" customWidth="1"/>
    <col min="2" max="2" width="56.44140625" style="683" customWidth="1"/>
    <col min="3" max="3" width="3.6640625" style="683" customWidth="1"/>
    <col min="4" max="5" width="22.6640625" style="683" customWidth="1"/>
    <col min="6" max="6" width="21.6640625" style="683" customWidth="1"/>
    <col min="7" max="7" width="1.88671875" style="683" customWidth="1"/>
    <col min="8" max="8" width="17.33203125" style="683" customWidth="1"/>
    <col min="9" max="12" width="13.5546875" style="683" customWidth="1"/>
    <col min="13" max="16384" width="8.88671875" style="683"/>
  </cols>
  <sheetData>
    <row r="1" spans="2:12" ht="19.95" customHeight="1">
      <c r="H1" s="1633">
        <f>H4</f>
        <v>1.0710209608078003E-8</v>
      </c>
    </row>
    <row r="2" spans="2:12" ht="37.049999999999997" customHeight="1">
      <c r="B2" s="924" t="s">
        <v>3431</v>
      </c>
      <c r="C2" s="684" t="s">
        <v>2886</v>
      </c>
      <c r="D2" s="922" t="s">
        <v>2122</v>
      </c>
      <c r="E2" s="923" t="s">
        <v>2123</v>
      </c>
      <c r="F2" s="922" t="s">
        <v>1501</v>
      </c>
      <c r="G2" s="921" t="s">
        <v>2886</v>
      </c>
      <c r="H2" s="921" t="s">
        <v>2886</v>
      </c>
    </row>
    <row r="3" spans="2:12" ht="19.95" customHeight="1">
      <c r="B3" s="684" t="s">
        <v>2886</v>
      </c>
      <c r="C3" s="684" t="s">
        <v>2886</v>
      </c>
      <c r="D3" s="689" t="s">
        <v>2886</v>
      </c>
      <c r="E3" s="689" t="s">
        <v>2886</v>
      </c>
      <c r="F3" s="689" t="s">
        <v>2886</v>
      </c>
      <c r="G3" s="689" t="s">
        <v>2886</v>
      </c>
      <c r="H3" s="689" t="s">
        <v>2886</v>
      </c>
    </row>
    <row r="4" spans="2:12" ht="33" customHeight="1" thickBot="1">
      <c r="B4" s="917" t="s">
        <v>3430</v>
      </c>
      <c r="C4" s="689" t="s">
        <v>2886</v>
      </c>
      <c r="D4" s="920">
        <f>D8+D26</f>
        <v>0</v>
      </c>
      <c r="E4" s="920">
        <f>E8+E26</f>
        <v>485102.14000000805</v>
      </c>
      <c r="F4" s="920">
        <f>E4+D4</f>
        <v>485102.14000000805</v>
      </c>
      <c r="G4" s="905"/>
      <c r="H4" s="904">
        <f>F4-'SF-A-050 Pożyczki i należn.'!H44</f>
        <v>1.0710209608078003E-8</v>
      </c>
      <c r="I4" s="937"/>
    </row>
    <row r="5" spans="2:12" ht="36" customHeight="1" thickTop="1">
      <c r="B5" s="919" t="s">
        <v>3429</v>
      </c>
      <c r="C5" s="689" t="s">
        <v>2886</v>
      </c>
      <c r="D5" s="918">
        <f>D15</f>
        <v>0</v>
      </c>
      <c r="E5" s="918">
        <f>E15</f>
        <v>470653.89</v>
      </c>
      <c r="F5" s="918">
        <f>F15</f>
        <v>470653.89</v>
      </c>
      <c r="G5" s="905"/>
      <c r="H5" s="910" t="s">
        <v>3417</v>
      </c>
    </row>
    <row r="6" spans="2:12" ht="34.950000000000003" customHeight="1">
      <c r="B6" s="703" t="s">
        <v>3428</v>
      </c>
      <c r="C6" s="689" t="s">
        <v>2886</v>
      </c>
      <c r="D6" s="714"/>
      <c r="E6" s="909">
        <f>E16+E26</f>
        <v>14448.250000007451</v>
      </c>
      <c r="F6" s="909">
        <f>F16+F26</f>
        <v>14448.250000007451</v>
      </c>
      <c r="G6" s="905"/>
      <c r="H6" s="910" t="s">
        <v>3417</v>
      </c>
    </row>
    <row r="7" spans="2:12" ht="22.05" customHeight="1">
      <c r="B7" s="686" t="s">
        <v>2886</v>
      </c>
      <c r="C7" s="689" t="s">
        <v>2886</v>
      </c>
      <c r="D7" s="692" t="s">
        <v>2886</v>
      </c>
      <c r="E7" s="692" t="s">
        <v>2886</v>
      </c>
      <c r="F7" s="692" t="s">
        <v>2886</v>
      </c>
      <c r="G7" s="692" t="s">
        <v>2886</v>
      </c>
      <c r="H7" s="692" t="s">
        <v>2886</v>
      </c>
    </row>
    <row r="8" spans="2:12" ht="40.950000000000003" customHeight="1" thickBot="1">
      <c r="B8" s="917" t="s">
        <v>3427</v>
      </c>
      <c r="C8" s="689" t="s">
        <v>2886</v>
      </c>
      <c r="D8" s="915">
        <f>D15+D16</f>
        <v>0</v>
      </c>
      <c r="E8" s="915">
        <f>E15+E16</f>
        <v>37595864.309999906</v>
      </c>
      <c r="F8" s="915">
        <f>F15+F16</f>
        <v>37595864.309999906</v>
      </c>
      <c r="G8" s="905"/>
      <c r="H8" s="910" t="s">
        <v>3417</v>
      </c>
      <c r="I8" s="931">
        <f>(IFERROR(VLOOKUP(J8,obrotówka!$A$3:$J$1600,6,0),0))</f>
        <v>0</v>
      </c>
      <c r="J8" s="932" t="s">
        <v>152</v>
      </c>
      <c r="K8" s="932"/>
      <c r="L8" s="932"/>
    </row>
    <row r="9" spans="2:12" ht="34.049999999999997" customHeight="1" thickTop="1">
      <c r="B9" s="703" t="s">
        <v>3426</v>
      </c>
      <c r="C9" s="689" t="s">
        <v>2886</v>
      </c>
      <c r="D9" s="714">
        <f>'SF-A-050 Pożyczki i należn.'!F49</f>
        <v>0</v>
      </c>
      <c r="E9" s="714">
        <f>'SF-A-050 Pożyczki i należn.'!G49</f>
        <v>388324.53</v>
      </c>
      <c r="F9" s="714">
        <f t="shared" ref="F9:F14" si="0">E9+D9</f>
        <v>388324.53</v>
      </c>
      <c r="G9" s="905"/>
      <c r="H9" s="904"/>
      <c r="I9" s="931">
        <f>(IFERROR(VLOOKUP(J9,obrotówka!$A$3:$J$1600,7,0),0))</f>
        <v>0</v>
      </c>
      <c r="J9" s="932" t="s">
        <v>152</v>
      </c>
      <c r="K9" s="932"/>
      <c r="L9" s="932"/>
    </row>
    <row r="10" spans="2:12" ht="34.049999999999997" customHeight="1">
      <c r="B10" s="847" t="s">
        <v>3252</v>
      </c>
      <c r="C10" s="689"/>
      <c r="D10" s="714">
        <f>'SF-A-050 Pożyczki i należn.'!F45</f>
        <v>0</v>
      </c>
      <c r="E10" s="714">
        <f>'SF-A-050 Pożyczki i należn.'!G45</f>
        <v>0</v>
      </c>
      <c r="F10" s="714">
        <f t="shared" si="0"/>
        <v>0</v>
      </c>
      <c r="G10" s="905"/>
      <c r="H10" s="904"/>
      <c r="I10" s="931"/>
      <c r="J10" s="932"/>
      <c r="K10" s="932"/>
      <c r="L10" s="932"/>
    </row>
    <row r="11" spans="2:12" ht="34.049999999999997" customHeight="1">
      <c r="B11" s="847" t="s">
        <v>3949</v>
      </c>
      <c r="C11" s="689"/>
      <c r="D11" s="714">
        <f>'SF-A-050 Pożyczki i należn.'!F57</f>
        <v>0</v>
      </c>
      <c r="E11" s="714">
        <f>'SF-A-050 Pożyczki i należn.'!G57</f>
        <v>0</v>
      </c>
      <c r="F11" s="714">
        <f t="shared" si="0"/>
        <v>0</v>
      </c>
      <c r="G11" s="905"/>
      <c r="H11" s="904"/>
      <c r="I11" s="931"/>
      <c r="J11" s="932"/>
      <c r="K11" s="932"/>
      <c r="L11" s="932"/>
    </row>
    <row r="12" spans="2:12" ht="34.049999999999997" customHeight="1">
      <c r="B12" s="847" t="s">
        <v>4059</v>
      </c>
      <c r="C12" s="689"/>
      <c r="D12" s="714">
        <f>'SF-A-050 Pożyczki i należn.'!F58</f>
        <v>0</v>
      </c>
      <c r="E12" s="714">
        <f>'SF-A-050 Pożyczki i należn.'!G58</f>
        <v>70000</v>
      </c>
      <c r="F12" s="714">
        <f t="shared" si="0"/>
        <v>70000</v>
      </c>
      <c r="G12" s="905"/>
      <c r="H12" s="904"/>
      <c r="I12" s="931"/>
      <c r="J12" s="932"/>
      <c r="K12" s="932"/>
      <c r="L12" s="932"/>
    </row>
    <row r="13" spans="2:12" ht="34.049999999999997" customHeight="1">
      <c r="B13" s="703" t="s">
        <v>3425</v>
      </c>
      <c r="C13" s="689" t="s">
        <v>2886</v>
      </c>
      <c r="D13" s="714"/>
      <c r="E13" s="909"/>
      <c r="F13" s="714">
        <f t="shared" si="0"/>
        <v>0</v>
      </c>
      <c r="G13" s="905"/>
      <c r="H13" s="904"/>
      <c r="I13" s="931">
        <f>(IFERROR(VLOOKUP(J13,obrotówka!$A$3:$J$1600,6,0),0))</f>
        <v>0</v>
      </c>
      <c r="J13" s="932" t="s">
        <v>2838</v>
      </c>
      <c r="K13" s="932"/>
      <c r="L13" s="932"/>
    </row>
    <row r="14" spans="2:12" ht="34.049999999999997" customHeight="1">
      <c r="B14" s="914" t="s">
        <v>3424</v>
      </c>
      <c r="C14" s="689" t="s">
        <v>2886</v>
      </c>
      <c r="D14" s="705">
        <f>'SF-A-050 Pożyczki i należn.'!F50</f>
        <v>0</v>
      </c>
      <c r="E14" s="705">
        <f>'SF-A-050 Pożyczki i należn.'!G50</f>
        <v>12329.36</v>
      </c>
      <c r="F14" s="714">
        <f t="shared" si="0"/>
        <v>12329.36</v>
      </c>
      <c r="G14" s="905"/>
      <c r="H14" s="904"/>
      <c r="I14" s="931">
        <f>(IFERROR(VLOOKUP(J14,obrotówka!$A$3:$J$1600,7,0),0))</f>
        <v>0</v>
      </c>
      <c r="J14" s="932" t="s">
        <v>2838</v>
      </c>
      <c r="K14" s="932"/>
      <c r="L14" s="932"/>
    </row>
    <row r="15" spans="2:12" ht="34.950000000000003" customHeight="1">
      <c r="B15" s="912" t="s">
        <v>3423</v>
      </c>
      <c r="C15" s="689" t="s">
        <v>2886</v>
      </c>
      <c r="D15" s="710">
        <f>D14+D13+D9+D10+D11+D12</f>
        <v>0</v>
      </c>
      <c r="E15" s="710">
        <f>E14+E13+E9+E10+E11+E12</f>
        <v>470653.89</v>
      </c>
      <c r="F15" s="710">
        <f>F14+F13+F9+F10+F11+F12</f>
        <v>470653.89</v>
      </c>
      <c r="G15" s="905"/>
      <c r="H15" s="910" t="s">
        <v>3417</v>
      </c>
      <c r="I15" s="931">
        <f>(IFERROR(VLOOKUP(J15,obrotówka!$A$3:$J$1600,6,0),0))</f>
        <v>357652.02</v>
      </c>
      <c r="J15" s="932" t="s">
        <v>154</v>
      </c>
      <c r="K15" s="933"/>
      <c r="L15" s="933"/>
    </row>
    <row r="16" spans="2:12" ht="36" customHeight="1">
      <c r="B16" s="703" t="s">
        <v>3422</v>
      </c>
      <c r="C16" s="689" t="s">
        <v>2886</v>
      </c>
      <c r="D16" s="714"/>
      <c r="E16" s="909">
        <f>'bilans '!B212+'bilans '!B225+'bilans '!B226+'bilans '!B205+'SF-A-050 Pożyczki i należn.'!G52</f>
        <v>37125210.419999905</v>
      </c>
      <c r="F16" s="714">
        <f>E16+D16</f>
        <v>37125210.419999905</v>
      </c>
      <c r="G16" s="905"/>
      <c r="H16" s="904"/>
      <c r="I16" s="931">
        <f>(IFERROR(VLOOKUP(J16,obrotówka!$A$3:$J$1600,7,0),0))</f>
        <v>3366.69</v>
      </c>
      <c r="J16" s="932" t="s">
        <v>154</v>
      </c>
      <c r="K16" s="933"/>
      <c r="L16" s="933"/>
    </row>
    <row r="17" spans="2:11" ht="22.05" customHeight="1">
      <c r="B17" s="686" t="s">
        <v>2886</v>
      </c>
      <c r="C17" s="689" t="s">
        <v>2886</v>
      </c>
      <c r="D17" s="692" t="s">
        <v>2886</v>
      </c>
      <c r="E17" s="692"/>
      <c r="F17" s="692" t="s">
        <v>2886</v>
      </c>
      <c r="G17" s="692" t="s">
        <v>2886</v>
      </c>
      <c r="H17" s="692" t="s">
        <v>2886</v>
      </c>
      <c r="I17" s="931">
        <f>(IFERROR(VLOOKUP(J17,obrotówka!$A$3:$J$1600,6,0),0))</f>
        <v>0</v>
      </c>
      <c r="J17" s="934" t="s">
        <v>156</v>
      </c>
    </row>
    <row r="18" spans="2:11" ht="39" customHeight="1" thickBot="1">
      <c r="B18" s="917" t="s">
        <v>3421</v>
      </c>
      <c r="C18" s="689" t="s">
        <v>2886</v>
      </c>
      <c r="D18" s="915"/>
      <c r="E18" s="916">
        <f>E26</f>
        <v>-37110762.169999897</v>
      </c>
      <c r="F18" s="916">
        <f>F26</f>
        <v>-37110762.169999897</v>
      </c>
      <c r="G18" s="905"/>
      <c r="H18" s="910" t="s">
        <v>3417</v>
      </c>
      <c r="I18" s="931">
        <f>(IFERROR(VLOOKUP(J18,obrotówka!$A$3:$J$1600,7,0),0))</f>
        <v>0</v>
      </c>
      <c r="J18" s="934" t="s">
        <v>156</v>
      </c>
    </row>
    <row r="19" spans="2:11" ht="43.95" customHeight="1" thickTop="1">
      <c r="B19" s="703" t="s">
        <v>3420</v>
      </c>
      <c r="C19" s="689" t="s">
        <v>2886</v>
      </c>
      <c r="D19" s="714"/>
      <c r="E19" s="909"/>
      <c r="F19" s="714"/>
      <c r="G19" s="905"/>
      <c r="H19" s="904"/>
      <c r="I19" s="931">
        <f>(IFERROR(VLOOKUP(J19,obrotówka!$A$3:$J$1600,6,0),0))</f>
        <v>0</v>
      </c>
      <c r="J19" s="932" t="s">
        <v>294</v>
      </c>
    </row>
    <row r="20" spans="2:11" ht="46.05" customHeight="1">
      <c r="B20" s="914" t="s">
        <v>3419</v>
      </c>
      <c r="C20" s="689" t="s">
        <v>2886</v>
      </c>
      <c r="D20" s="705"/>
      <c r="E20" s="913"/>
      <c r="F20" s="705"/>
      <c r="G20" s="905"/>
      <c r="H20" s="904"/>
      <c r="I20" s="931">
        <f>(IFERROR(VLOOKUP(J20,obrotówka!$A$3:$J$1600,7,0),0))</f>
        <v>0</v>
      </c>
      <c r="J20" s="932" t="s">
        <v>294</v>
      </c>
    </row>
    <row r="21" spans="2:11" ht="46.05" customHeight="1">
      <c r="B21" s="912" t="s">
        <v>3418</v>
      </c>
      <c r="C21" s="689" t="s">
        <v>2886</v>
      </c>
      <c r="D21" s="710"/>
      <c r="E21" s="911"/>
      <c r="F21" s="710"/>
      <c r="G21" s="905"/>
      <c r="H21" s="910" t="s">
        <v>3417</v>
      </c>
      <c r="I21" s="931">
        <f>(IFERROR(VLOOKUP(J21,obrotówka!$A$3:$J$1600,6,0),0))</f>
        <v>0</v>
      </c>
      <c r="J21" s="932" t="s">
        <v>296</v>
      </c>
    </row>
    <row r="22" spans="2:11" ht="46.05" customHeight="1">
      <c r="B22" s="703" t="s">
        <v>3416</v>
      </c>
      <c r="C22" s="689" t="s">
        <v>2886</v>
      </c>
      <c r="D22" s="714"/>
      <c r="E22" s="909">
        <v>-37465047.5</v>
      </c>
      <c r="F22" s="714">
        <f>E22+D22</f>
        <v>-37465047.5</v>
      </c>
      <c r="G22" s="905"/>
      <c r="H22" s="904"/>
      <c r="I22" s="931">
        <f>(IFERROR(VLOOKUP(J22,obrotówka!$A$3:$J$1600,7,0),0))</f>
        <v>0</v>
      </c>
      <c r="J22" s="932" t="s">
        <v>296</v>
      </c>
    </row>
    <row r="23" spans="2:11" ht="46.05" customHeight="1">
      <c r="B23" s="703" t="s">
        <v>3415</v>
      </c>
      <c r="C23" s="689" t="s">
        <v>2886</v>
      </c>
      <c r="D23" s="714"/>
      <c r="E23" s="936">
        <f>-J32</f>
        <v>-2595.0599999999899</v>
      </c>
      <c r="F23" s="714">
        <f>E23+D23</f>
        <v>-2595.0599999999899</v>
      </c>
      <c r="G23" s="905"/>
      <c r="H23" s="904"/>
      <c r="I23" s="935">
        <f>E22+I8-I9+I13-I14+I15-I16+I17-I18+I19-I20+I21-I22</f>
        <v>-37110762.169999994</v>
      </c>
      <c r="J23" s="935">
        <f>I23-E26</f>
        <v>-9.6857547760009766E-8</v>
      </c>
    </row>
    <row r="24" spans="2:11" ht="46.05" customHeight="1">
      <c r="B24" s="703" t="s">
        <v>3414</v>
      </c>
      <c r="C24" s="689" t="s">
        <v>2886</v>
      </c>
      <c r="D24" s="714"/>
      <c r="E24" s="936">
        <f>-J35</f>
        <v>356880.39</v>
      </c>
      <c r="F24" s="714">
        <f>E24+D24</f>
        <v>356880.39</v>
      </c>
      <c r="G24" s="905"/>
      <c r="H24" s="904"/>
    </row>
    <row r="25" spans="2:11" ht="46.05" customHeight="1">
      <c r="B25" s="703" t="s">
        <v>3413</v>
      </c>
      <c r="C25" s="689" t="s">
        <v>2886</v>
      </c>
      <c r="D25" s="714"/>
      <c r="E25" s="909"/>
      <c r="F25" s="714">
        <f>E25+D25</f>
        <v>0</v>
      </c>
      <c r="G25" s="905"/>
      <c r="H25" s="904"/>
    </row>
    <row r="26" spans="2:11" ht="54" customHeight="1">
      <c r="B26" s="908" t="s">
        <v>3412</v>
      </c>
      <c r="C26" s="689" t="s">
        <v>2886</v>
      </c>
      <c r="D26" s="906"/>
      <c r="E26" s="907">
        <f>'bilans '!B206+'bilans '!B215+'bilans '!B216+'bilans '!B227</f>
        <v>-37110762.169999897</v>
      </c>
      <c r="F26" s="906">
        <f>E26+D26</f>
        <v>-37110762.169999897</v>
      </c>
      <c r="G26" s="905"/>
      <c r="H26" s="904">
        <f>F26+(-'bilans '!B206-'bilans '!B215-'bilans '!B216-'bilans '!B217-'bilans '!B227)</f>
        <v>0</v>
      </c>
    </row>
    <row r="28" spans="2:11">
      <c r="E28" s="937">
        <f>E22+E23+E24-E26</f>
        <v>-1.0430812835693359E-7</v>
      </c>
    </row>
    <row r="30" spans="2:11">
      <c r="J30" s="295">
        <f>(IFERROR(VLOOKUP(K30,obrotówka!$A$3:$J$1600,10,0),0))</f>
        <v>0</v>
      </c>
      <c r="K30" s="1034" t="s">
        <v>838</v>
      </c>
    </row>
    <row r="31" spans="2:11">
      <c r="J31" s="295"/>
      <c r="K31" s="1034"/>
    </row>
    <row r="32" spans="2:11">
      <c r="J32" s="295">
        <f>(IFERROR(VLOOKUP(K32,obrotówka!$A$3:$J$1600,10,0),0))</f>
        <v>2595.0599999999899</v>
      </c>
      <c r="K32" s="1034" t="s">
        <v>841</v>
      </c>
    </row>
    <row r="33" spans="10:11">
      <c r="J33" s="1035">
        <f>J30+J31+J32</f>
        <v>2595.0599999999899</v>
      </c>
      <c r="K33" s="1036" t="s">
        <v>3695</v>
      </c>
    </row>
    <row r="34" spans="10:11">
      <c r="J34" s="295"/>
      <c r="K34" s="1034"/>
    </row>
    <row r="35" spans="10:11">
      <c r="J35" s="295">
        <f>(IFERROR(VLOOKUP(K35,obrotówka!$A$3:$J$1600,10,0),0))</f>
        <v>-356880.39</v>
      </c>
      <c r="K35" s="1034" t="s">
        <v>2416</v>
      </c>
    </row>
    <row r="36" spans="10:11">
      <c r="J36" s="1035">
        <f>J34+J35</f>
        <v>-356880.39</v>
      </c>
      <c r="K36" s="1036" t="s">
        <v>3696</v>
      </c>
    </row>
  </sheetData>
  <autoFilter ref="D1:F36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89"/>
  <sheetViews>
    <sheetView workbookViewId="0">
      <pane xSplit="3" ySplit="3" topLeftCell="D4" activePane="bottomRight" state="frozen"/>
      <selection pane="topRight"/>
      <selection pane="bottomLeft"/>
      <selection pane="bottomRight" activeCell="G31" sqref="G31"/>
    </sheetView>
  </sheetViews>
  <sheetFormatPr defaultColWidth="8.88671875" defaultRowHeight="14.4"/>
  <cols>
    <col min="1" max="1" width="0.6640625" style="683" customWidth="1"/>
    <col min="2" max="2" width="76.88671875" style="683" customWidth="1"/>
    <col min="3" max="3" width="2" style="683" customWidth="1"/>
    <col min="4" max="4" width="7.6640625" style="683" customWidth="1"/>
    <col min="5" max="5" width="2.109375" style="683" customWidth="1"/>
    <col min="6" max="8" width="26.44140625" style="683" customWidth="1"/>
    <col min="9" max="9" width="10.109375" style="683" customWidth="1"/>
    <col min="10" max="10" width="16.44140625" style="683" customWidth="1"/>
    <col min="11" max="16384" width="8.88671875" style="683"/>
  </cols>
  <sheetData>
    <row r="1" spans="2:10" ht="19.95" customHeight="1"/>
    <row r="2" spans="2:10" ht="37.049999999999997" customHeight="1">
      <c r="B2" s="761" t="s">
        <v>3235</v>
      </c>
      <c r="C2" s="684" t="s">
        <v>2886</v>
      </c>
      <c r="D2" s="685" t="s">
        <v>2121</v>
      </c>
      <c r="E2" s="686" t="s">
        <v>2886</v>
      </c>
      <c r="F2" s="685" t="s">
        <v>2122</v>
      </c>
      <c r="G2" s="687" t="s">
        <v>2123</v>
      </c>
      <c r="H2" s="687" t="s">
        <v>1501</v>
      </c>
      <c r="I2" s="686" t="s">
        <v>3228</v>
      </c>
      <c r="J2" s="688" t="s">
        <v>2886</v>
      </c>
    </row>
    <row r="3" spans="2:10" ht="19.95" customHeight="1">
      <c r="B3" s="684" t="s">
        <v>2886</v>
      </c>
      <c r="C3" s="684" t="s">
        <v>2886</v>
      </c>
      <c r="D3" s="689" t="s">
        <v>2886</v>
      </c>
      <c r="E3" s="689" t="s">
        <v>2886</v>
      </c>
      <c r="F3" s="689" t="s">
        <v>2886</v>
      </c>
      <c r="G3" s="689" t="s">
        <v>2886</v>
      </c>
      <c r="H3" s="689" t="s">
        <v>2886</v>
      </c>
      <c r="I3" s="689" t="s">
        <v>2886</v>
      </c>
      <c r="J3" s="689" t="s">
        <v>2886</v>
      </c>
    </row>
    <row r="4" spans="2:10" ht="31.05" customHeight="1" thickBot="1">
      <c r="B4" s="690" t="s">
        <v>2257</v>
      </c>
      <c r="C4" s="689" t="s">
        <v>2886</v>
      </c>
      <c r="D4" s="691" t="s">
        <v>2886</v>
      </c>
      <c r="E4" s="692" t="s">
        <v>2886</v>
      </c>
      <c r="F4" s="756">
        <f>F10+F15+F24+F29+F35+F40+F46+F51+F64+F6</f>
        <v>7259025.0899999999</v>
      </c>
      <c r="G4" s="756">
        <f>G10+G15+G24+G29+G35+G40+G46+G51+G64+G6</f>
        <v>14229270.549999896</v>
      </c>
      <c r="H4" s="756">
        <f>H10+H15+H24+H29+H35+H40+H46+H51+H64+H6</f>
        <v>21488295.639999896</v>
      </c>
      <c r="I4" s="760">
        <f>H4-'FC Spr.z syt.finans.'!G75</f>
        <v>0</v>
      </c>
      <c r="J4" s="693"/>
    </row>
    <row r="5" spans="2:10" ht="16.05" customHeight="1" thickTop="1">
      <c r="B5" s="686" t="s">
        <v>2886</v>
      </c>
      <c r="C5" s="689" t="s">
        <v>2886</v>
      </c>
      <c r="D5" s="694" t="s">
        <v>2886</v>
      </c>
      <c r="E5" s="692" t="s">
        <v>2886</v>
      </c>
      <c r="I5" s="692" t="s">
        <v>2886</v>
      </c>
      <c r="J5" s="692" t="s">
        <v>2886</v>
      </c>
    </row>
    <row r="6" spans="2:10" ht="18" customHeight="1">
      <c r="B6" s="695" t="s">
        <v>2258</v>
      </c>
      <c r="C6" s="689" t="s">
        <v>2886</v>
      </c>
      <c r="D6" s="691" t="s">
        <v>2886</v>
      </c>
      <c r="E6" s="692" t="s">
        <v>2886</v>
      </c>
      <c r="F6" s="696"/>
      <c r="G6" s="755">
        <f>'FC Spr.z syt.finans.'!B65</f>
        <v>12409750.059999898</v>
      </c>
      <c r="H6" s="697">
        <f>G6+F6</f>
        <v>12409750.059999898</v>
      </c>
      <c r="I6" s="692" t="s">
        <v>2886</v>
      </c>
      <c r="J6" s="698" t="s">
        <v>2125</v>
      </c>
    </row>
    <row r="7" spans="2:10" ht="21" customHeight="1">
      <c r="B7" s="699" t="s">
        <v>2259</v>
      </c>
      <c r="C7" s="689" t="s">
        <v>2886</v>
      </c>
      <c r="D7" s="699" t="s">
        <v>2886</v>
      </c>
      <c r="E7" s="692" t="s">
        <v>2886</v>
      </c>
      <c r="F7" s="700"/>
      <c r="G7" s="701"/>
      <c r="H7" s="701"/>
      <c r="I7" s="692" t="s">
        <v>2886</v>
      </c>
      <c r="J7" s="702"/>
    </row>
    <row r="8" spans="2:10" ht="25.05" customHeight="1">
      <c r="B8" s="699" t="s">
        <v>2260</v>
      </c>
      <c r="C8" s="689" t="s">
        <v>2886</v>
      </c>
      <c r="D8" s="699" t="s">
        <v>2886</v>
      </c>
      <c r="E8" s="692" t="s">
        <v>2886</v>
      </c>
      <c r="F8" s="700"/>
      <c r="G8" s="701"/>
      <c r="H8" s="701"/>
      <c r="I8" s="692" t="s">
        <v>2886</v>
      </c>
      <c r="J8" s="702"/>
    </row>
    <row r="9" spans="2:10" ht="16.05" customHeight="1">
      <c r="B9" s="686" t="s">
        <v>2886</v>
      </c>
      <c r="C9" s="689" t="s">
        <v>2886</v>
      </c>
      <c r="D9" s="694" t="s">
        <v>2886</v>
      </c>
      <c r="E9" s="692" t="s">
        <v>2886</v>
      </c>
      <c r="F9" s="759">
        <v>2108050008</v>
      </c>
      <c r="G9" s="759" t="s">
        <v>3229</v>
      </c>
      <c r="H9" s="692" t="s">
        <v>2886</v>
      </c>
      <c r="I9" s="757">
        <v>2108050000</v>
      </c>
      <c r="J9" s="692" t="s">
        <v>2886</v>
      </c>
    </row>
    <row r="10" spans="2:10" ht="16.05" customHeight="1">
      <c r="B10" s="695" t="s">
        <v>2261</v>
      </c>
      <c r="C10" s="689" t="s">
        <v>2886</v>
      </c>
      <c r="D10" s="691" t="s">
        <v>2886</v>
      </c>
      <c r="E10" s="692" t="s">
        <v>2886</v>
      </c>
      <c r="F10" s="696">
        <f>F12+F13</f>
        <v>0</v>
      </c>
      <c r="G10" s="696">
        <f>G12+G13</f>
        <v>1405.41</v>
      </c>
      <c r="H10" s="696">
        <f>H12+H13</f>
        <v>1405.41</v>
      </c>
      <c r="I10" s="760">
        <f>H10+'bilans '!B465</f>
        <v>0</v>
      </c>
      <c r="J10" s="698" t="s">
        <v>2125</v>
      </c>
    </row>
    <row r="11" spans="2:10" ht="30" customHeight="1">
      <c r="B11" s="758" t="s">
        <v>3230</v>
      </c>
      <c r="C11" s="689" t="s">
        <v>2886</v>
      </c>
      <c r="D11" s="704" t="s">
        <v>2886</v>
      </c>
      <c r="E11" s="692" t="s">
        <v>2886</v>
      </c>
      <c r="F11" s="705">
        <f>-'bilans '!B359</f>
        <v>0</v>
      </c>
      <c r="G11" s="706">
        <f>-'bilans '!B465-F11</f>
        <v>1405.41</v>
      </c>
      <c r="H11" s="707">
        <f>G11+F11</f>
        <v>1405.41</v>
      </c>
      <c r="I11" s="692" t="s">
        <v>2886</v>
      </c>
      <c r="J11" s="693"/>
    </row>
    <row r="12" spans="2:10" ht="33" customHeight="1">
      <c r="B12" s="708" t="s">
        <v>3191</v>
      </c>
      <c r="C12" s="689" t="s">
        <v>2886</v>
      </c>
      <c r="D12" s="709"/>
      <c r="E12" s="692" t="s">
        <v>2886</v>
      </c>
      <c r="F12" s="710">
        <f>F11</f>
        <v>0</v>
      </c>
      <c r="G12" s="711">
        <f>G11</f>
        <v>1405.41</v>
      </c>
      <c r="H12" s="711">
        <f>G12+F12</f>
        <v>1405.41</v>
      </c>
      <c r="I12" s="692" t="s">
        <v>2886</v>
      </c>
      <c r="J12" s="698" t="s">
        <v>2125</v>
      </c>
    </row>
    <row r="13" spans="2:10" ht="33" customHeight="1">
      <c r="B13" s="712" t="s">
        <v>3192</v>
      </c>
      <c r="C13" s="689" t="s">
        <v>2886</v>
      </c>
      <c r="D13" s="713" t="s">
        <v>2886</v>
      </c>
      <c r="E13" s="692" t="s">
        <v>2886</v>
      </c>
      <c r="F13" s="714"/>
      <c r="G13" s="715"/>
      <c r="H13" s="716"/>
      <c r="I13" s="692" t="s">
        <v>2886</v>
      </c>
      <c r="J13" s="693"/>
    </row>
    <row r="14" spans="2:10" ht="16.05" customHeight="1">
      <c r="B14" s="686" t="s">
        <v>2886</v>
      </c>
      <c r="C14" s="689" t="s">
        <v>2886</v>
      </c>
      <c r="D14" s="694" t="s">
        <v>2886</v>
      </c>
      <c r="E14" s="692" t="s">
        <v>2886</v>
      </c>
      <c r="F14" s="692" t="s">
        <v>2886</v>
      </c>
      <c r="G14" s="759">
        <v>2108140000</v>
      </c>
      <c r="H14" s="692" t="s">
        <v>2886</v>
      </c>
      <c r="I14" s="692" t="s">
        <v>2886</v>
      </c>
      <c r="J14" s="692" t="s">
        <v>2886</v>
      </c>
    </row>
    <row r="15" spans="2:10" ht="16.05" customHeight="1">
      <c r="B15" s="695" t="s">
        <v>2262</v>
      </c>
      <c r="C15" s="689" t="s">
        <v>2886</v>
      </c>
      <c r="D15" s="691" t="s">
        <v>2886</v>
      </c>
      <c r="E15" s="692" t="s">
        <v>2886</v>
      </c>
      <c r="F15" s="697">
        <f>F21+F22</f>
        <v>6728383.5299999993</v>
      </c>
      <c r="G15" s="697">
        <f>G21+G22</f>
        <v>464120.09000000008</v>
      </c>
      <c r="H15" s="697">
        <f>G15+F15</f>
        <v>7192503.6199999992</v>
      </c>
      <c r="I15" s="692" t="s">
        <v>2886</v>
      </c>
      <c r="J15" s="698" t="s">
        <v>2125</v>
      </c>
    </row>
    <row r="16" spans="2:10" ht="34.049999999999997" customHeight="1">
      <c r="B16" s="758" t="s">
        <v>3231</v>
      </c>
      <c r="C16" s="689" t="s">
        <v>2886</v>
      </c>
      <c r="D16" s="713" t="s">
        <v>2886</v>
      </c>
      <c r="E16" s="692" t="s">
        <v>2886</v>
      </c>
      <c r="F16" s="714"/>
      <c r="G16" s="715">
        <v>11726.22</v>
      </c>
      <c r="H16" s="716">
        <f t="shared" ref="H16:H22" si="0">G16+F16</f>
        <v>11726.22</v>
      </c>
      <c r="I16" s="692" t="s">
        <v>2886</v>
      </c>
      <c r="J16" s="693"/>
    </row>
    <row r="17" spans="2:10" ht="34.049999999999997" customHeight="1">
      <c r="B17" s="758" t="s">
        <v>3232</v>
      </c>
      <c r="C17" s="689" t="s">
        <v>2886</v>
      </c>
      <c r="D17" s="713" t="s">
        <v>2886</v>
      </c>
      <c r="E17" s="692" t="s">
        <v>2886</v>
      </c>
      <c r="F17" s="714"/>
      <c r="G17" s="715">
        <v>28316.09</v>
      </c>
      <c r="H17" s="716">
        <f t="shared" si="0"/>
        <v>28316.09</v>
      </c>
      <c r="I17" s="692" t="s">
        <v>2886</v>
      </c>
      <c r="J17" s="693"/>
    </row>
    <row r="18" spans="2:10" ht="34.049999999999997" customHeight="1">
      <c r="B18" s="758" t="s">
        <v>3233</v>
      </c>
      <c r="C18" s="689" t="s">
        <v>2886</v>
      </c>
      <c r="D18" s="713" t="s">
        <v>2886</v>
      </c>
      <c r="E18" s="692" t="s">
        <v>2886</v>
      </c>
      <c r="F18" s="714"/>
      <c r="G18" s="715">
        <v>1476</v>
      </c>
      <c r="H18" s="716">
        <f t="shared" si="0"/>
        <v>1476</v>
      </c>
      <c r="I18" s="692" t="s">
        <v>2886</v>
      </c>
      <c r="J18" s="693"/>
    </row>
    <row r="19" spans="2:10" ht="34.049999999999997" customHeight="1">
      <c r="B19" s="758" t="s">
        <v>4054</v>
      </c>
      <c r="C19" s="689"/>
      <c r="D19" s="704"/>
      <c r="E19" s="692"/>
      <c r="F19" s="705"/>
      <c r="G19" s="706"/>
      <c r="H19" s="707">
        <f t="shared" si="0"/>
        <v>0</v>
      </c>
      <c r="I19" s="692"/>
      <c r="J19" s="693"/>
    </row>
    <row r="20" spans="2:10" ht="34.049999999999997" customHeight="1">
      <c r="B20" s="758" t="s">
        <v>3234</v>
      </c>
      <c r="C20" s="689" t="s">
        <v>2886</v>
      </c>
      <c r="D20" s="704" t="s">
        <v>2886</v>
      </c>
      <c r="E20" s="692" t="s">
        <v>2886</v>
      </c>
      <c r="F20" s="705"/>
      <c r="G20" s="706">
        <v>95791.66</v>
      </c>
      <c r="H20" s="707">
        <f t="shared" si="0"/>
        <v>95791.66</v>
      </c>
      <c r="I20" s="692" t="s">
        <v>2886</v>
      </c>
      <c r="J20" s="693"/>
    </row>
    <row r="21" spans="2:10" ht="34.049999999999997" customHeight="1">
      <c r="B21" s="708" t="s">
        <v>3193</v>
      </c>
      <c r="C21" s="689" t="s">
        <v>2886</v>
      </c>
      <c r="D21" s="709"/>
      <c r="E21" s="692" t="s">
        <v>2886</v>
      </c>
      <c r="F21" s="710"/>
      <c r="G21" s="711">
        <f>SUM(G16:G20)</f>
        <v>137309.97</v>
      </c>
      <c r="H21" s="711">
        <f t="shared" si="0"/>
        <v>137309.97</v>
      </c>
      <c r="I21" s="754">
        <f>G21+'bilans '!B468</f>
        <v>0</v>
      </c>
      <c r="J21" s="698" t="s">
        <v>2125</v>
      </c>
    </row>
    <row r="22" spans="2:10" ht="34.049999999999997" customHeight="1">
      <c r="B22" s="712" t="s">
        <v>3194</v>
      </c>
      <c r="C22" s="689" t="s">
        <v>2886</v>
      </c>
      <c r="D22" s="713" t="s">
        <v>2886</v>
      </c>
      <c r="E22" s="692" t="s">
        <v>2886</v>
      </c>
      <c r="F22" s="714">
        <f>-('bilans '!B361+'bilans '!B364+'bilans '!B367+'bilans '!B368)</f>
        <v>6728383.5299999993</v>
      </c>
      <c r="G22" s="715">
        <f>'bilans '!B364+'bilans '!B368</f>
        <v>326810.12000000005</v>
      </c>
      <c r="H22" s="716">
        <f t="shared" si="0"/>
        <v>7055193.6499999994</v>
      </c>
      <c r="I22" s="692" t="s">
        <v>2886</v>
      </c>
      <c r="J22" s="693"/>
    </row>
    <row r="23" spans="2:10" ht="22.05" customHeight="1">
      <c r="B23" s="686" t="s">
        <v>2886</v>
      </c>
      <c r="C23" s="689" t="s">
        <v>2886</v>
      </c>
      <c r="D23" s="694" t="s">
        <v>2886</v>
      </c>
      <c r="E23" s="692" t="s">
        <v>2886</v>
      </c>
      <c r="F23" s="692" t="s">
        <v>2886</v>
      </c>
      <c r="G23" s="692" t="s">
        <v>2886</v>
      </c>
      <c r="H23" s="692" t="s">
        <v>2886</v>
      </c>
      <c r="I23" s="692" t="s">
        <v>2886</v>
      </c>
      <c r="J23" s="692" t="s">
        <v>2886</v>
      </c>
    </row>
    <row r="24" spans="2:10" ht="16.05" customHeight="1">
      <c r="B24" s="695" t="s">
        <v>2263</v>
      </c>
      <c r="C24" s="689" t="s">
        <v>2886</v>
      </c>
      <c r="D24" s="691" t="s">
        <v>2886</v>
      </c>
      <c r="E24" s="692" t="s">
        <v>2886</v>
      </c>
      <c r="F24" s="696"/>
      <c r="G24" s="697"/>
      <c r="H24" s="697"/>
      <c r="I24" s="692" t="s">
        <v>2886</v>
      </c>
      <c r="J24" s="698" t="s">
        <v>2125</v>
      </c>
    </row>
    <row r="25" spans="2:10" ht="31.05" customHeight="1">
      <c r="B25" s="703" t="s">
        <v>3195</v>
      </c>
      <c r="C25" s="689" t="s">
        <v>2886</v>
      </c>
      <c r="D25" s="704" t="s">
        <v>2886</v>
      </c>
      <c r="E25" s="692" t="s">
        <v>2886</v>
      </c>
      <c r="F25" s="705"/>
      <c r="G25" s="706"/>
      <c r="H25" s="707"/>
      <c r="I25" s="692" t="s">
        <v>2886</v>
      </c>
      <c r="J25" s="693"/>
    </row>
    <row r="26" spans="2:10" ht="34.049999999999997" customHeight="1">
      <c r="B26" s="708" t="s">
        <v>3196</v>
      </c>
      <c r="C26" s="689" t="s">
        <v>2886</v>
      </c>
      <c r="D26" s="691" t="s">
        <v>2886</v>
      </c>
      <c r="E26" s="692" t="s">
        <v>2886</v>
      </c>
      <c r="F26" s="710"/>
      <c r="G26" s="711"/>
      <c r="H26" s="711"/>
      <c r="I26" s="692" t="s">
        <v>2886</v>
      </c>
      <c r="J26" s="698" t="s">
        <v>2125</v>
      </c>
    </row>
    <row r="27" spans="2:10" ht="31.95" customHeight="1">
      <c r="B27" s="712" t="s">
        <v>3197</v>
      </c>
      <c r="C27" s="689" t="s">
        <v>2886</v>
      </c>
      <c r="D27" s="713" t="s">
        <v>2886</v>
      </c>
      <c r="E27" s="692" t="s">
        <v>2886</v>
      </c>
      <c r="F27" s="714"/>
      <c r="G27" s="715"/>
      <c r="H27" s="716"/>
      <c r="I27" s="692" t="s">
        <v>2886</v>
      </c>
      <c r="J27" s="693"/>
    </row>
    <row r="28" spans="2:10" ht="22.05" customHeight="1">
      <c r="B28" s="686" t="s">
        <v>2886</v>
      </c>
      <c r="C28" s="689" t="s">
        <v>2886</v>
      </c>
      <c r="D28" s="694" t="s">
        <v>2886</v>
      </c>
      <c r="E28" s="692" t="s">
        <v>2886</v>
      </c>
      <c r="F28" s="692" t="s">
        <v>2886</v>
      </c>
      <c r="G28" s="692" t="s">
        <v>2886</v>
      </c>
      <c r="H28" s="692" t="s">
        <v>2886</v>
      </c>
      <c r="I28" s="692" t="s">
        <v>2886</v>
      </c>
      <c r="J28" s="692" t="s">
        <v>2886</v>
      </c>
    </row>
    <row r="29" spans="2:10" ht="19.05" customHeight="1">
      <c r="B29" s="695" t="s">
        <v>2264</v>
      </c>
      <c r="C29" s="689" t="s">
        <v>2886</v>
      </c>
      <c r="D29" s="691" t="s">
        <v>2886</v>
      </c>
      <c r="E29" s="692" t="s">
        <v>2886</v>
      </c>
      <c r="F29" s="697">
        <f>F32+F33</f>
        <v>0</v>
      </c>
      <c r="G29" s="697">
        <f>G32+G33</f>
        <v>0</v>
      </c>
      <c r="H29" s="697">
        <f>G29+F29</f>
        <v>0</v>
      </c>
      <c r="I29" s="692" t="s">
        <v>2886</v>
      </c>
      <c r="J29" s="698" t="s">
        <v>2125</v>
      </c>
    </row>
    <row r="30" spans="2:10" ht="37.049999999999997" customHeight="1">
      <c r="B30" s="758" t="s">
        <v>3436</v>
      </c>
      <c r="C30" s="689" t="s">
        <v>2886</v>
      </c>
      <c r="D30" s="704" t="s">
        <v>2886</v>
      </c>
      <c r="E30" s="692" t="s">
        <v>2886</v>
      </c>
      <c r="F30" s="705"/>
      <c r="G30" s="706">
        <f>-('bilans '!B461+'bilans '!B462)</f>
        <v>0</v>
      </c>
      <c r="H30" s="707">
        <f>G30+F30</f>
        <v>0</v>
      </c>
      <c r="I30" s="692" t="s">
        <v>2886</v>
      </c>
      <c r="J30" s="693"/>
    </row>
    <row r="31" spans="2:10" ht="37.049999999999997" customHeight="1">
      <c r="B31" s="758" t="s">
        <v>3198</v>
      </c>
      <c r="C31" s="689"/>
      <c r="D31" s="704"/>
      <c r="E31" s="692"/>
      <c r="F31" s="705"/>
      <c r="G31" s="706"/>
      <c r="H31" s="707"/>
      <c r="I31" s="692"/>
      <c r="J31" s="693"/>
    </row>
    <row r="32" spans="2:10" ht="37.049999999999997" customHeight="1">
      <c r="B32" s="708" t="s">
        <v>3199</v>
      </c>
      <c r="C32" s="689" t="s">
        <v>2886</v>
      </c>
      <c r="D32" s="709"/>
      <c r="E32" s="692" t="s">
        <v>2886</v>
      </c>
      <c r="F32" s="710"/>
      <c r="G32" s="711">
        <f>G30</f>
        <v>0</v>
      </c>
      <c r="H32" s="711">
        <f>G32+F32</f>
        <v>0</v>
      </c>
      <c r="I32" s="692" t="s">
        <v>2886</v>
      </c>
      <c r="J32" s="698" t="s">
        <v>2125</v>
      </c>
    </row>
    <row r="33" spans="2:10" ht="37.049999999999997" customHeight="1">
      <c r="B33" s="712" t="s">
        <v>3200</v>
      </c>
      <c r="C33" s="689" t="s">
        <v>2886</v>
      </c>
      <c r="D33" s="713" t="s">
        <v>2886</v>
      </c>
      <c r="E33" s="692" t="s">
        <v>2886</v>
      </c>
      <c r="F33" s="714"/>
      <c r="G33" s="715"/>
      <c r="H33" s="716"/>
      <c r="I33" s="692" t="s">
        <v>2886</v>
      </c>
      <c r="J33" s="693"/>
    </row>
    <row r="34" spans="2:10" ht="16.05" customHeight="1">
      <c r="B34" s="686" t="s">
        <v>2886</v>
      </c>
      <c r="C34" s="689" t="s">
        <v>2886</v>
      </c>
      <c r="D34" s="694" t="s">
        <v>2886</v>
      </c>
      <c r="E34" s="692" t="s">
        <v>2886</v>
      </c>
      <c r="F34" s="692" t="s">
        <v>2886</v>
      </c>
      <c r="G34" s="692" t="s">
        <v>2886</v>
      </c>
      <c r="H34" s="692" t="s">
        <v>2886</v>
      </c>
      <c r="I34" s="692" t="s">
        <v>2886</v>
      </c>
      <c r="J34" s="692" t="s">
        <v>2886</v>
      </c>
    </row>
    <row r="35" spans="2:10" ht="24" customHeight="1">
      <c r="B35" s="695" t="s">
        <v>2265</v>
      </c>
      <c r="C35" s="689" t="s">
        <v>2886</v>
      </c>
      <c r="D35" s="691" t="s">
        <v>2886</v>
      </c>
      <c r="E35" s="692" t="s">
        <v>2886</v>
      </c>
      <c r="F35" s="696"/>
      <c r="G35" s="697">
        <f>G37+G38</f>
        <v>0</v>
      </c>
      <c r="H35" s="697">
        <f>G35+F35</f>
        <v>0</v>
      </c>
      <c r="I35" s="692" t="s">
        <v>2886</v>
      </c>
      <c r="J35" s="698" t="s">
        <v>2125</v>
      </c>
    </row>
    <row r="36" spans="2:10" ht="37.049999999999997" customHeight="1">
      <c r="B36" s="758" t="s">
        <v>3201</v>
      </c>
      <c r="C36" s="689" t="s">
        <v>2886</v>
      </c>
      <c r="D36" s="704" t="s">
        <v>2886</v>
      </c>
      <c r="E36" s="692" t="s">
        <v>2886</v>
      </c>
      <c r="F36" s="705"/>
      <c r="G36" s="706">
        <f>-('bilans '!B459+'bilans '!B460)</f>
        <v>0</v>
      </c>
      <c r="H36" s="707">
        <f>G36+F36</f>
        <v>0</v>
      </c>
      <c r="I36" s="692" t="s">
        <v>2886</v>
      </c>
      <c r="J36" s="693"/>
    </row>
    <row r="37" spans="2:10" ht="37.049999999999997" customHeight="1">
      <c r="B37" s="708" t="s">
        <v>3202</v>
      </c>
      <c r="C37" s="689" t="s">
        <v>2886</v>
      </c>
      <c r="D37" s="709"/>
      <c r="E37" s="692" t="s">
        <v>2886</v>
      </c>
      <c r="F37" s="710"/>
      <c r="G37" s="711">
        <f>G36</f>
        <v>0</v>
      </c>
      <c r="H37" s="711">
        <f>G37+F37</f>
        <v>0</v>
      </c>
      <c r="I37" s="692" t="s">
        <v>2886</v>
      </c>
      <c r="J37" s="698" t="s">
        <v>2125</v>
      </c>
    </row>
    <row r="38" spans="2:10" ht="37.049999999999997" customHeight="1">
      <c r="B38" s="712" t="s">
        <v>3203</v>
      </c>
      <c r="C38" s="689" t="s">
        <v>2886</v>
      </c>
      <c r="D38" s="713" t="s">
        <v>2886</v>
      </c>
      <c r="E38" s="692" t="s">
        <v>2886</v>
      </c>
      <c r="F38" s="714"/>
      <c r="G38" s="715"/>
      <c r="H38" s="716"/>
      <c r="I38" s="692" t="s">
        <v>2886</v>
      </c>
      <c r="J38" s="693"/>
    </row>
    <row r="39" spans="2:10" ht="16.05" customHeight="1">
      <c r="B39" s="686" t="s">
        <v>2886</v>
      </c>
      <c r="C39" s="689" t="s">
        <v>2886</v>
      </c>
      <c r="D39" s="694" t="s">
        <v>2886</v>
      </c>
      <c r="E39" s="692" t="s">
        <v>2886</v>
      </c>
      <c r="F39" s="692" t="s">
        <v>2886</v>
      </c>
      <c r="G39" s="692" t="s">
        <v>2886</v>
      </c>
      <c r="H39" s="692" t="s">
        <v>2886</v>
      </c>
      <c r="I39" s="692" t="s">
        <v>2886</v>
      </c>
      <c r="J39" s="692" t="s">
        <v>2886</v>
      </c>
    </row>
    <row r="40" spans="2:10" ht="22.05" customHeight="1">
      <c r="B40" s="695" t="s">
        <v>2266</v>
      </c>
      <c r="C40" s="689" t="s">
        <v>2886</v>
      </c>
      <c r="D40" s="691" t="s">
        <v>2886</v>
      </c>
      <c r="E40" s="692" t="s">
        <v>2886</v>
      </c>
      <c r="F40" s="696">
        <f>F42+F44</f>
        <v>0</v>
      </c>
      <c r="G40" s="696">
        <f>G42+G44</f>
        <v>278055.59999999899</v>
      </c>
      <c r="H40" s="697">
        <f>G40+F40</f>
        <v>278055.59999999899</v>
      </c>
      <c r="I40" s="692" t="s">
        <v>2886</v>
      </c>
      <c r="J40" s="698" t="s">
        <v>2125</v>
      </c>
    </row>
    <row r="41" spans="2:10" ht="30" customHeight="1">
      <c r="B41" s="703" t="s">
        <v>3204</v>
      </c>
      <c r="C41" s="689" t="s">
        <v>2886</v>
      </c>
      <c r="D41" s="704" t="s">
        <v>2886</v>
      </c>
      <c r="E41" s="692" t="s">
        <v>2886</v>
      </c>
      <c r="F41" s="705"/>
      <c r="G41" s="706"/>
      <c r="H41" s="707"/>
      <c r="I41" s="692" t="s">
        <v>2886</v>
      </c>
      <c r="J41" s="693"/>
    </row>
    <row r="42" spans="2:10" ht="34.049999999999997" customHeight="1">
      <c r="B42" s="708" t="s">
        <v>3205</v>
      </c>
      <c r="C42" s="689" t="s">
        <v>2886</v>
      </c>
      <c r="D42" s="691" t="s">
        <v>2886</v>
      </c>
      <c r="E42" s="692" t="s">
        <v>2886</v>
      </c>
      <c r="F42" s="710"/>
      <c r="G42" s="711">
        <f>-'bilans '!B484</f>
        <v>0</v>
      </c>
      <c r="H42" s="711"/>
      <c r="I42" s="692" t="s">
        <v>2886</v>
      </c>
      <c r="J42" s="698" t="s">
        <v>2125</v>
      </c>
    </row>
    <row r="43" spans="2:10" ht="22.2" customHeight="1">
      <c r="B43" s="758" t="s">
        <v>3770</v>
      </c>
      <c r="C43" s="868"/>
      <c r="D43" s="869"/>
      <c r="E43" s="870"/>
      <c r="F43" s="871"/>
      <c r="G43" s="872"/>
      <c r="H43" s="872"/>
      <c r="I43" s="692"/>
      <c r="J43" s="698"/>
    </row>
    <row r="44" spans="2:10" ht="34.950000000000003" customHeight="1">
      <c r="B44" s="712" t="s">
        <v>3206</v>
      </c>
      <c r="C44" s="689" t="s">
        <v>2886</v>
      </c>
      <c r="D44" s="713" t="s">
        <v>2886</v>
      </c>
      <c r="E44" s="692" t="s">
        <v>2886</v>
      </c>
      <c r="F44" s="714"/>
      <c r="G44" s="715">
        <f>-'bilans '!B486</f>
        <v>278055.59999999899</v>
      </c>
      <c r="H44" s="716">
        <f>G44+F44</f>
        <v>278055.59999999899</v>
      </c>
      <c r="I44" s="692" t="s">
        <v>2886</v>
      </c>
      <c r="J44" s="693"/>
    </row>
    <row r="45" spans="2:10" ht="22.05" customHeight="1">
      <c r="B45" s="686" t="s">
        <v>2886</v>
      </c>
      <c r="C45" s="689" t="s">
        <v>2886</v>
      </c>
      <c r="D45" s="694" t="s">
        <v>2886</v>
      </c>
      <c r="E45" s="692" t="s">
        <v>2886</v>
      </c>
      <c r="F45" s="692" t="s">
        <v>2886</v>
      </c>
      <c r="G45" s="692" t="s">
        <v>2886</v>
      </c>
      <c r="H45" s="692" t="s">
        <v>2886</v>
      </c>
      <c r="I45" s="692" t="s">
        <v>2886</v>
      </c>
      <c r="J45" s="692" t="s">
        <v>2886</v>
      </c>
    </row>
    <row r="46" spans="2:10" ht="21" customHeight="1">
      <c r="B46" s="695" t="s">
        <v>2267</v>
      </c>
      <c r="C46" s="689" t="s">
        <v>2886</v>
      </c>
      <c r="D46" s="691" t="s">
        <v>2886</v>
      </c>
      <c r="E46" s="692" t="s">
        <v>2886</v>
      </c>
      <c r="F46" s="696"/>
      <c r="G46" s="697"/>
      <c r="H46" s="697"/>
      <c r="I46" s="692" t="s">
        <v>2886</v>
      </c>
      <c r="J46" s="698" t="s">
        <v>2125</v>
      </c>
    </row>
    <row r="47" spans="2:10" ht="36" customHeight="1">
      <c r="B47" s="703" t="s">
        <v>3207</v>
      </c>
      <c r="C47" s="689" t="s">
        <v>2886</v>
      </c>
      <c r="D47" s="704" t="s">
        <v>2886</v>
      </c>
      <c r="E47" s="692" t="s">
        <v>2886</v>
      </c>
      <c r="F47" s="705"/>
      <c r="G47" s="706"/>
      <c r="H47" s="707"/>
      <c r="I47" s="692" t="s">
        <v>2886</v>
      </c>
      <c r="J47" s="693"/>
    </row>
    <row r="48" spans="2:10" ht="36" customHeight="1">
      <c r="B48" s="708" t="s">
        <v>3208</v>
      </c>
      <c r="C48" s="689" t="s">
        <v>2886</v>
      </c>
      <c r="D48" s="691" t="s">
        <v>2886</v>
      </c>
      <c r="E48" s="692" t="s">
        <v>2886</v>
      </c>
      <c r="F48" s="710"/>
      <c r="G48" s="711"/>
      <c r="H48" s="711"/>
      <c r="I48" s="692" t="s">
        <v>2886</v>
      </c>
      <c r="J48" s="698" t="s">
        <v>2125</v>
      </c>
    </row>
    <row r="49" spans="2:10" ht="34.950000000000003" customHeight="1">
      <c r="B49" s="712" t="s">
        <v>3209</v>
      </c>
      <c r="C49" s="689" t="s">
        <v>2886</v>
      </c>
      <c r="D49" s="713" t="s">
        <v>2886</v>
      </c>
      <c r="E49" s="692" t="s">
        <v>2886</v>
      </c>
      <c r="F49" s="714"/>
      <c r="G49" s="715"/>
      <c r="H49" s="716"/>
      <c r="I49" s="692" t="s">
        <v>2886</v>
      </c>
      <c r="J49" s="693"/>
    </row>
    <row r="50" spans="2:10" ht="22.05" customHeight="1">
      <c r="B50" s="686" t="s">
        <v>2886</v>
      </c>
      <c r="C50" s="689" t="s">
        <v>2886</v>
      </c>
      <c r="D50" s="694" t="s">
        <v>2886</v>
      </c>
      <c r="E50" s="692" t="s">
        <v>2886</v>
      </c>
      <c r="F50" s="692" t="s">
        <v>2886</v>
      </c>
      <c r="G50" s="692" t="s">
        <v>2886</v>
      </c>
      <c r="H50" s="692" t="s">
        <v>2886</v>
      </c>
      <c r="I50" s="692" t="s">
        <v>2886</v>
      </c>
      <c r="J50" s="692" t="s">
        <v>2886</v>
      </c>
    </row>
    <row r="51" spans="2:10" ht="22.95" customHeight="1">
      <c r="B51" s="695" t="s">
        <v>2268</v>
      </c>
      <c r="C51" s="689" t="s">
        <v>2886</v>
      </c>
      <c r="D51" s="691" t="s">
        <v>2886</v>
      </c>
      <c r="E51" s="692" t="s">
        <v>2886</v>
      </c>
      <c r="F51" s="696"/>
      <c r="G51" s="697"/>
      <c r="H51" s="697"/>
      <c r="I51" s="692" t="s">
        <v>2886</v>
      </c>
      <c r="J51" s="693"/>
    </row>
    <row r="52" spans="2:10" ht="22.05" customHeight="1">
      <c r="B52" s="686" t="s">
        <v>2886</v>
      </c>
      <c r="C52" s="689" t="s">
        <v>2886</v>
      </c>
      <c r="D52" s="694" t="s">
        <v>2886</v>
      </c>
      <c r="E52" s="692" t="s">
        <v>2886</v>
      </c>
      <c r="F52" s="692" t="s">
        <v>2886</v>
      </c>
      <c r="G52" s="692" t="s">
        <v>2886</v>
      </c>
      <c r="H52" s="692" t="s">
        <v>2886</v>
      </c>
      <c r="I52" s="692" t="s">
        <v>2886</v>
      </c>
      <c r="J52" s="692" t="s">
        <v>2886</v>
      </c>
    </row>
    <row r="53" spans="2:10" ht="21" customHeight="1">
      <c r="B53" s="717" t="s">
        <v>2269</v>
      </c>
      <c r="C53" s="689" t="s">
        <v>2886</v>
      </c>
      <c r="D53" s="718" t="s">
        <v>2886</v>
      </c>
      <c r="E53" s="692" t="s">
        <v>2886</v>
      </c>
      <c r="F53" s="719"/>
      <c r="G53" s="720"/>
      <c r="H53" s="720"/>
      <c r="I53" s="692" t="s">
        <v>2886</v>
      </c>
      <c r="J53" s="698" t="s">
        <v>2125</v>
      </c>
    </row>
    <row r="54" spans="2:10" ht="16.05" customHeight="1">
      <c r="B54" s="721" t="s">
        <v>2270</v>
      </c>
      <c r="C54" s="689" t="s">
        <v>2886</v>
      </c>
      <c r="D54" s="722" t="s">
        <v>2886</v>
      </c>
      <c r="E54" s="692" t="s">
        <v>2886</v>
      </c>
      <c r="F54" s="723"/>
      <c r="G54" s="724"/>
      <c r="H54" s="724"/>
      <c r="I54" s="692" t="s">
        <v>2886</v>
      </c>
      <c r="J54" s="698" t="s">
        <v>2125</v>
      </c>
    </row>
    <row r="55" spans="2:10" ht="37.049999999999997" customHeight="1">
      <c r="B55" s="725" t="s">
        <v>3210</v>
      </c>
      <c r="C55" s="689" t="s">
        <v>2886</v>
      </c>
      <c r="D55" s="726" t="s">
        <v>2886</v>
      </c>
      <c r="E55" s="692" t="s">
        <v>2886</v>
      </c>
      <c r="F55" s="727"/>
      <c r="G55" s="728"/>
      <c r="H55" s="729"/>
      <c r="I55" s="692" t="s">
        <v>2886</v>
      </c>
      <c r="J55" s="693"/>
    </row>
    <row r="56" spans="2:10" ht="36" customHeight="1">
      <c r="B56" s="730" t="s">
        <v>3211</v>
      </c>
      <c r="C56" s="689" t="s">
        <v>2886</v>
      </c>
      <c r="D56" s="718" t="s">
        <v>2886</v>
      </c>
      <c r="E56" s="692" t="s">
        <v>2886</v>
      </c>
      <c r="F56" s="731"/>
      <c r="G56" s="732"/>
      <c r="H56" s="732"/>
      <c r="I56" s="692" t="s">
        <v>2886</v>
      </c>
      <c r="J56" s="698" t="s">
        <v>2125</v>
      </c>
    </row>
    <row r="57" spans="2:10" ht="34.049999999999997" customHeight="1">
      <c r="B57" s="733" t="s">
        <v>3212</v>
      </c>
      <c r="C57" s="689" t="s">
        <v>2886</v>
      </c>
      <c r="D57" s="722" t="s">
        <v>2886</v>
      </c>
      <c r="E57" s="692" t="s">
        <v>2886</v>
      </c>
      <c r="F57" s="734"/>
      <c r="G57" s="735"/>
      <c r="H57" s="724"/>
      <c r="I57" s="692" t="s">
        <v>2886</v>
      </c>
      <c r="J57" s="693"/>
    </row>
    <row r="58" spans="2:10" ht="16.05" customHeight="1">
      <c r="B58" s="721" t="s">
        <v>2271</v>
      </c>
      <c r="C58" s="689" t="s">
        <v>2886</v>
      </c>
      <c r="D58" s="722" t="s">
        <v>2886</v>
      </c>
      <c r="E58" s="692" t="s">
        <v>2886</v>
      </c>
      <c r="F58" s="723"/>
      <c r="G58" s="724"/>
      <c r="H58" s="724"/>
      <c r="I58" s="692" t="s">
        <v>2886</v>
      </c>
      <c r="J58" s="698" t="s">
        <v>2125</v>
      </c>
    </row>
    <row r="59" spans="2:10" ht="36" customHeight="1">
      <c r="B59" s="725" t="s">
        <v>3213</v>
      </c>
      <c r="C59" s="689" t="s">
        <v>2886</v>
      </c>
      <c r="D59" s="726" t="s">
        <v>2886</v>
      </c>
      <c r="E59" s="692" t="s">
        <v>2886</v>
      </c>
      <c r="F59" s="727"/>
      <c r="G59" s="728"/>
      <c r="H59" s="729"/>
      <c r="I59" s="692" t="s">
        <v>2886</v>
      </c>
      <c r="J59" s="693"/>
    </row>
    <row r="60" spans="2:10" ht="33" customHeight="1">
      <c r="B60" s="730" t="s">
        <v>3214</v>
      </c>
      <c r="C60" s="689" t="s">
        <v>2886</v>
      </c>
      <c r="D60" s="718" t="s">
        <v>2886</v>
      </c>
      <c r="E60" s="692" t="s">
        <v>2886</v>
      </c>
      <c r="F60" s="731"/>
      <c r="G60" s="732"/>
      <c r="H60" s="732"/>
      <c r="I60" s="692" t="s">
        <v>2886</v>
      </c>
      <c r="J60" s="698" t="s">
        <v>2125</v>
      </c>
    </row>
    <row r="61" spans="2:10" ht="31.05" customHeight="1">
      <c r="B61" s="733" t="s">
        <v>3215</v>
      </c>
      <c r="C61" s="689" t="s">
        <v>2886</v>
      </c>
      <c r="D61" s="722" t="s">
        <v>2886</v>
      </c>
      <c r="E61" s="692" t="s">
        <v>2886</v>
      </c>
      <c r="F61" s="734"/>
      <c r="G61" s="735"/>
      <c r="H61" s="724"/>
      <c r="I61" s="692" t="s">
        <v>2886</v>
      </c>
      <c r="J61" s="693"/>
    </row>
    <row r="62" spans="2:10" ht="16.05" customHeight="1">
      <c r="B62" s="721" t="s">
        <v>2272</v>
      </c>
      <c r="C62" s="689" t="s">
        <v>2886</v>
      </c>
      <c r="D62" s="722" t="s">
        <v>2886</v>
      </c>
      <c r="E62" s="692" t="s">
        <v>2886</v>
      </c>
      <c r="F62" s="723"/>
      <c r="G62" s="724"/>
      <c r="H62" s="724"/>
      <c r="I62" s="692" t="s">
        <v>2886</v>
      </c>
      <c r="J62" s="693"/>
    </row>
    <row r="63" spans="2:10" ht="22.05" customHeight="1">
      <c r="B63" s="686" t="s">
        <v>2886</v>
      </c>
      <c r="C63" s="689" t="s">
        <v>2886</v>
      </c>
      <c r="D63" s="694" t="s">
        <v>2886</v>
      </c>
      <c r="E63" s="692" t="s">
        <v>2886</v>
      </c>
      <c r="F63" s="692" t="s">
        <v>2886</v>
      </c>
      <c r="G63" s="692" t="s">
        <v>2886</v>
      </c>
      <c r="H63" s="692" t="s">
        <v>2886</v>
      </c>
      <c r="I63" s="692" t="s">
        <v>2886</v>
      </c>
      <c r="J63" s="692" t="s">
        <v>2886</v>
      </c>
    </row>
    <row r="64" spans="2:10" ht="22.95" customHeight="1">
      <c r="B64" s="736" t="s">
        <v>2273</v>
      </c>
      <c r="C64" s="689" t="s">
        <v>2886</v>
      </c>
      <c r="D64" s="691" t="s">
        <v>2886</v>
      </c>
      <c r="E64" s="692" t="s">
        <v>2886</v>
      </c>
      <c r="F64" s="737">
        <f>F66+F67</f>
        <v>530641.56000000006</v>
      </c>
      <c r="G64" s="737">
        <f>G66+G67</f>
        <v>1075939.3899999999</v>
      </c>
      <c r="H64" s="738">
        <f>G64+F64</f>
        <v>1606580.95</v>
      </c>
      <c r="I64" s="692" t="s">
        <v>2886</v>
      </c>
      <c r="J64" s="698" t="s">
        <v>2125</v>
      </c>
    </row>
    <row r="65" spans="2:10" ht="31.05" customHeight="1">
      <c r="B65" s="703" t="s">
        <v>3216</v>
      </c>
      <c r="C65" s="689" t="s">
        <v>2886</v>
      </c>
      <c r="D65" s="704" t="s">
        <v>2886</v>
      </c>
      <c r="E65" s="692" t="s">
        <v>2886</v>
      </c>
      <c r="F65" s="705"/>
      <c r="G65" s="706"/>
      <c r="H65" s="707"/>
      <c r="I65" s="692" t="s">
        <v>2886</v>
      </c>
      <c r="J65" s="698" t="s">
        <v>2125</v>
      </c>
    </row>
    <row r="66" spans="2:10" ht="28.95" customHeight="1">
      <c r="B66" s="708" t="s">
        <v>3217</v>
      </c>
      <c r="C66" s="689" t="s">
        <v>2886</v>
      </c>
      <c r="D66" s="691" t="s">
        <v>2886</v>
      </c>
      <c r="E66" s="692" t="s">
        <v>2886</v>
      </c>
      <c r="F66" s="710">
        <f>F71+F76+F83</f>
        <v>0</v>
      </c>
      <c r="G66" s="710">
        <f>G71+G76+G83</f>
        <v>0</v>
      </c>
      <c r="H66" s="711"/>
      <c r="I66" s="692" t="s">
        <v>2886</v>
      </c>
      <c r="J66" s="698" t="s">
        <v>2125</v>
      </c>
    </row>
    <row r="67" spans="2:10" ht="31.95" customHeight="1">
      <c r="B67" s="712" t="s">
        <v>3218</v>
      </c>
      <c r="C67" s="689" t="s">
        <v>2886</v>
      </c>
      <c r="D67" s="713" t="s">
        <v>2886</v>
      </c>
      <c r="E67" s="692" t="s">
        <v>2886</v>
      </c>
      <c r="F67" s="714">
        <f>F72+F78+F84</f>
        <v>530641.56000000006</v>
      </c>
      <c r="G67" s="714">
        <f>G72+G78+G84</f>
        <v>1075939.3899999999</v>
      </c>
      <c r="H67" s="716">
        <f>G67+F67</f>
        <v>1606580.95</v>
      </c>
      <c r="I67" s="692" t="s">
        <v>2886</v>
      </c>
      <c r="J67" s="698" t="s">
        <v>2125</v>
      </c>
    </row>
    <row r="68" spans="2:10" ht="22.05" customHeight="1">
      <c r="B68" s="686" t="s">
        <v>2886</v>
      </c>
      <c r="C68" s="689" t="s">
        <v>2886</v>
      </c>
      <c r="D68" s="694" t="s">
        <v>2886</v>
      </c>
      <c r="E68" s="692" t="s">
        <v>2886</v>
      </c>
      <c r="F68" s="692" t="s">
        <v>2886</v>
      </c>
      <c r="G68" s="692" t="s">
        <v>2886</v>
      </c>
      <c r="H68" s="692" t="s">
        <v>2886</v>
      </c>
      <c r="I68" s="692" t="s">
        <v>2886</v>
      </c>
      <c r="J68" s="692" t="s">
        <v>2886</v>
      </c>
    </row>
    <row r="69" spans="2:10" ht="19.05" customHeight="1">
      <c r="B69" s="739" t="s">
        <v>2274</v>
      </c>
      <c r="C69" s="689" t="s">
        <v>2886</v>
      </c>
      <c r="D69" s="691" t="s">
        <v>2886</v>
      </c>
      <c r="E69" s="692" t="s">
        <v>2886</v>
      </c>
      <c r="F69" s="740">
        <f>F71+F72</f>
        <v>530641.56000000006</v>
      </c>
      <c r="G69" s="740">
        <f>G71+G72</f>
        <v>1075939.3899999999</v>
      </c>
      <c r="H69" s="741">
        <f>G69+F69</f>
        <v>1606580.95</v>
      </c>
      <c r="I69" s="692" t="s">
        <v>2886</v>
      </c>
      <c r="J69" s="698" t="s">
        <v>2125</v>
      </c>
    </row>
    <row r="70" spans="2:10" ht="33" customHeight="1">
      <c r="B70" s="703" t="s">
        <v>3219</v>
      </c>
      <c r="C70" s="689" t="s">
        <v>2886</v>
      </c>
      <c r="D70" s="704" t="s">
        <v>2886</v>
      </c>
      <c r="E70" s="692" t="s">
        <v>2886</v>
      </c>
      <c r="F70" s="705"/>
      <c r="G70" s="706"/>
      <c r="H70" s="707"/>
      <c r="I70" s="692" t="s">
        <v>2886</v>
      </c>
      <c r="J70" s="693"/>
    </row>
    <row r="71" spans="2:10" ht="31.95" customHeight="1">
      <c r="B71" s="708" t="s">
        <v>3220</v>
      </c>
      <c r="C71" s="689" t="s">
        <v>2886</v>
      </c>
      <c r="D71" s="691" t="s">
        <v>2886</v>
      </c>
      <c r="E71" s="692" t="s">
        <v>2886</v>
      </c>
      <c r="F71" s="710">
        <f>-'bilans '!B378</f>
        <v>0</v>
      </c>
      <c r="G71" s="711">
        <f>-'bilans '!B493</f>
        <v>0</v>
      </c>
      <c r="H71" s="711"/>
      <c r="I71" s="692" t="s">
        <v>2886</v>
      </c>
      <c r="J71" s="698" t="s">
        <v>2125</v>
      </c>
    </row>
    <row r="72" spans="2:10" ht="31.05" customHeight="1">
      <c r="B72" s="712" t="s">
        <v>3221</v>
      </c>
      <c r="C72" s="689" t="s">
        <v>2886</v>
      </c>
      <c r="D72" s="713" t="s">
        <v>2886</v>
      </c>
      <c r="E72" s="692" t="s">
        <v>2886</v>
      </c>
      <c r="F72" s="714">
        <f>-'bilans '!B380</f>
        <v>530641.56000000006</v>
      </c>
      <c r="G72" s="715">
        <f>-'bilans '!B497</f>
        <v>1075939.3899999999</v>
      </c>
      <c r="H72" s="716">
        <f>G72+F72</f>
        <v>1606580.95</v>
      </c>
      <c r="I72" s="692" t="s">
        <v>2886</v>
      </c>
      <c r="J72" s="693"/>
    </row>
    <row r="73" spans="2:10" ht="22.05" customHeight="1">
      <c r="B73" s="686" t="s">
        <v>2886</v>
      </c>
      <c r="C73" s="689" t="s">
        <v>2886</v>
      </c>
      <c r="D73" s="694" t="s">
        <v>2886</v>
      </c>
      <c r="E73" s="692" t="s">
        <v>2886</v>
      </c>
      <c r="F73" s="692" t="s">
        <v>2886</v>
      </c>
      <c r="G73" s="692" t="s">
        <v>2886</v>
      </c>
      <c r="H73" s="692" t="s">
        <v>2886</v>
      </c>
      <c r="I73" s="692" t="s">
        <v>2886</v>
      </c>
      <c r="J73" s="692" t="s">
        <v>2886</v>
      </c>
    </row>
    <row r="74" spans="2:10" ht="19.95" customHeight="1">
      <c r="B74" s="739" t="s">
        <v>2275</v>
      </c>
      <c r="C74" s="689" t="s">
        <v>2886</v>
      </c>
      <c r="D74" s="691" t="s">
        <v>2886</v>
      </c>
      <c r="E74" s="692" t="s">
        <v>2886</v>
      </c>
      <c r="F74" s="740"/>
      <c r="G74" s="741">
        <f>G75</f>
        <v>0</v>
      </c>
      <c r="H74" s="741">
        <f>G74+F74</f>
        <v>0</v>
      </c>
      <c r="I74" s="692" t="s">
        <v>2886</v>
      </c>
      <c r="J74" s="698" t="s">
        <v>2125</v>
      </c>
    </row>
    <row r="75" spans="2:10" ht="33" customHeight="1">
      <c r="B75" s="703" t="s">
        <v>3222</v>
      </c>
      <c r="C75" s="689" t="s">
        <v>2886</v>
      </c>
      <c r="D75" s="704" t="s">
        <v>2886</v>
      </c>
      <c r="E75" s="692" t="s">
        <v>2886</v>
      </c>
      <c r="F75" s="705"/>
      <c r="G75" s="706">
        <f>G76+G78</f>
        <v>0</v>
      </c>
      <c r="H75" s="707"/>
      <c r="I75" s="692" t="s">
        <v>2886</v>
      </c>
      <c r="J75" s="693"/>
    </row>
    <row r="76" spans="2:10" ht="30" customHeight="1">
      <c r="B76" s="708" t="s">
        <v>3223</v>
      </c>
      <c r="C76" s="689" t="s">
        <v>2886</v>
      </c>
      <c r="D76" s="691" t="s">
        <v>2886</v>
      </c>
      <c r="E76" s="692" t="s">
        <v>2886</v>
      </c>
      <c r="F76" s="710"/>
      <c r="G76" s="711">
        <f>G77</f>
        <v>0</v>
      </c>
      <c r="H76" s="711"/>
      <c r="I76" s="692" t="s">
        <v>2886</v>
      </c>
      <c r="J76" s="698" t="s">
        <v>2125</v>
      </c>
    </row>
    <row r="77" spans="2:10" ht="30" customHeight="1">
      <c r="B77" s="873" t="s">
        <v>3349</v>
      </c>
      <c r="C77" s="868"/>
      <c r="D77" s="869"/>
      <c r="E77" s="870"/>
      <c r="F77" s="871"/>
      <c r="G77" s="872"/>
      <c r="H77" s="872"/>
      <c r="I77" s="692"/>
      <c r="J77" s="698"/>
    </row>
    <row r="78" spans="2:10" ht="34.049999999999997" customHeight="1">
      <c r="B78" s="712" t="s">
        <v>3224</v>
      </c>
      <c r="C78" s="689" t="s">
        <v>2886</v>
      </c>
      <c r="D78" s="713" t="s">
        <v>2886</v>
      </c>
      <c r="E78" s="692" t="s">
        <v>2886</v>
      </c>
      <c r="F78" s="714"/>
      <c r="G78" s="715"/>
      <c r="H78" s="716"/>
      <c r="I78" s="692" t="s">
        <v>2886</v>
      </c>
      <c r="J78" s="693"/>
    </row>
    <row r="79" spans="2:10" ht="16.05" customHeight="1">
      <c r="B79" s="686" t="s">
        <v>2886</v>
      </c>
      <c r="C79" s="689" t="s">
        <v>2886</v>
      </c>
      <c r="D79" s="694" t="s">
        <v>2886</v>
      </c>
      <c r="E79" s="692" t="s">
        <v>2886</v>
      </c>
      <c r="F79" s="692" t="s">
        <v>2886</v>
      </c>
      <c r="G79" s="692" t="s">
        <v>2886</v>
      </c>
      <c r="H79" s="692" t="s">
        <v>2886</v>
      </c>
      <c r="I79" s="692" t="s">
        <v>2886</v>
      </c>
      <c r="J79" s="692" t="s">
        <v>2886</v>
      </c>
    </row>
    <row r="80" spans="2:10" ht="21" customHeight="1">
      <c r="B80" s="739" t="s">
        <v>2276</v>
      </c>
      <c r="C80" s="689" t="s">
        <v>2886</v>
      </c>
      <c r="D80" s="691" t="s">
        <v>2886</v>
      </c>
      <c r="E80" s="692" t="s">
        <v>2886</v>
      </c>
      <c r="F80" s="740"/>
      <c r="G80" s="741">
        <f>G84</f>
        <v>0</v>
      </c>
      <c r="H80" s="741">
        <f>G80</f>
        <v>0</v>
      </c>
      <c r="I80" s="692" t="s">
        <v>2886</v>
      </c>
      <c r="J80" s="698" t="s">
        <v>2125</v>
      </c>
    </row>
    <row r="81" spans="2:10" ht="34.049999999999997" customHeight="1">
      <c r="B81" s="703" t="s">
        <v>3225</v>
      </c>
      <c r="C81" s="689" t="s">
        <v>2886</v>
      </c>
      <c r="D81" s="704" t="s">
        <v>2886</v>
      </c>
      <c r="E81" s="692" t="s">
        <v>2886</v>
      </c>
      <c r="F81" s="705"/>
      <c r="G81" s="706"/>
      <c r="H81" s="707"/>
      <c r="I81" s="692" t="s">
        <v>2886</v>
      </c>
      <c r="J81" s="693"/>
    </row>
    <row r="82" spans="2:10" ht="34.049999999999997" customHeight="1">
      <c r="B82" s="758" t="s">
        <v>3971</v>
      </c>
      <c r="C82" s="689"/>
      <c r="D82" s="704"/>
      <c r="E82" s="692"/>
      <c r="F82" s="705"/>
      <c r="G82" s="706"/>
      <c r="H82" s="707">
        <f>G82+F82</f>
        <v>0</v>
      </c>
      <c r="I82" s="754">
        <f>H82+'bilans '!B503</f>
        <v>0</v>
      </c>
      <c r="J82" s="693"/>
    </row>
    <row r="83" spans="2:10" ht="33" customHeight="1">
      <c r="B83" s="708" t="s">
        <v>3226</v>
      </c>
      <c r="C83" s="689" t="s">
        <v>2886</v>
      </c>
      <c r="D83" s="691" t="s">
        <v>2886</v>
      </c>
      <c r="E83" s="692" t="s">
        <v>2886</v>
      </c>
      <c r="F83" s="710"/>
      <c r="G83" s="711">
        <f>G82</f>
        <v>0</v>
      </c>
      <c r="H83" s="711">
        <f>H82</f>
        <v>0</v>
      </c>
      <c r="I83" s="692" t="s">
        <v>2886</v>
      </c>
      <c r="J83" s="698" t="s">
        <v>2125</v>
      </c>
    </row>
    <row r="84" spans="2:10" ht="34.950000000000003" customHeight="1">
      <c r="B84" s="712" t="s">
        <v>3227</v>
      </c>
      <c r="C84" s="689" t="s">
        <v>2886</v>
      </c>
      <c r="D84" s="713" t="s">
        <v>2886</v>
      </c>
      <c r="E84" s="692" t="s">
        <v>2886</v>
      </c>
      <c r="F84" s="714"/>
      <c r="G84" s="715">
        <f>-'bilans '!B508</f>
        <v>0</v>
      </c>
      <c r="H84" s="716">
        <f>G84</f>
        <v>0</v>
      </c>
      <c r="I84" s="754">
        <f>H84+'bilans '!B508</f>
        <v>0</v>
      </c>
      <c r="J84" s="693"/>
    </row>
    <row r="85" spans="2:10" ht="35.4" customHeight="1">
      <c r="B85" s="686" t="s">
        <v>2886</v>
      </c>
      <c r="C85" s="689" t="s">
        <v>2886</v>
      </c>
      <c r="D85" s="694" t="s">
        <v>2886</v>
      </c>
      <c r="E85" s="692" t="s">
        <v>2886</v>
      </c>
      <c r="F85" s="692" t="s">
        <v>2886</v>
      </c>
      <c r="G85" s="692" t="s">
        <v>2886</v>
      </c>
      <c r="H85" s="692" t="s">
        <v>2886</v>
      </c>
      <c r="I85" s="692" t="s">
        <v>2886</v>
      </c>
      <c r="J85" s="692" t="s">
        <v>2886</v>
      </c>
    </row>
    <row r="86" spans="2:10" ht="22.05" customHeight="1">
      <c r="B86" s="742" t="s">
        <v>2277</v>
      </c>
      <c r="C86" s="689" t="s">
        <v>2886</v>
      </c>
      <c r="D86" s="686" t="s">
        <v>2886</v>
      </c>
      <c r="E86" s="692" t="s">
        <v>2886</v>
      </c>
      <c r="F86" s="743"/>
      <c r="G86" s="743"/>
      <c r="H86" s="744"/>
      <c r="I86" s="692" t="s">
        <v>2886</v>
      </c>
      <c r="J86" s="693"/>
    </row>
    <row r="87" spans="2:10" ht="22.05" customHeight="1">
      <c r="B87" s="745" t="s">
        <v>2886</v>
      </c>
      <c r="C87" s="689" t="s">
        <v>2886</v>
      </c>
      <c r="D87" s="745" t="s">
        <v>2886</v>
      </c>
      <c r="E87" s="692" t="s">
        <v>2886</v>
      </c>
      <c r="F87" s="746"/>
      <c r="G87" s="747"/>
      <c r="H87" s="748"/>
      <c r="I87" s="692" t="s">
        <v>2886</v>
      </c>
      <c r="J87" s="693"/>
    </row>
    <row r="88" spans="2:10" ht="28.95" customHeight="1" thickBot="1">
      <c r="B88" s="749" t="s">
        <v>2278</v>
      </c>
      <c r="C88" s="689" t="s">
        <v>2886</v>
      </c>
      <c r="D88" s="749" t="s">
        <v>2886</v>
      </c>
      <c r="E88" s="692" t="s">
        <v>2886</v>
      </c>
      <c r="F88" s="750"/>
      <c r="G88" s="751"/>
      <c r="H88" s="751"/>
      <c r="I88" s="692" t="s">
        <v>2886</v>
      </c>
      <c r="J88" s="693"/>
    </row>
    <row r="89" spans="2:10" ht="22.05" customHeight="1" thickTop="1">
      <c r="B89" s="686" t="s">
        <v>2886</v>
      </c>
      <c r="C89" s="689" t="s">
        <v>2886</v>
      </c>
      <c r="D89" s="686" t="s">
        <v>2886</v>
      </c>
      <c r="E89" s="692" t="s">
        <v>2886</v>
      </c>
      <c r="F89" s="743"/>
      <c r="G89" s="743"/>
      <c r="H89" s="744"/>
      <c r="I89" s="692" t="s">
        <v>2886</v>
      </c>
      <c r="J89" s="69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9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0" sqref="B20:G20"/>
    </sheetView>
  </sheetViews>
  <sheetFormatPr defaultColWidth="8.88671875" defaultRowHeight="10.199999999999999"/>
  <cols>
    <col min="1" max="1" width="36.109375" style="242" customWidth="1"/>
    <col min="2" max="2" width="18.5546875" style="243" customWidth="1"/>
    <col min="3" max="7" width="13.5546875" style="243" customWidth="1"/>
    <col min="8" max="9" width="13.5546875" style="242" customWidth="1"/>
    <col min="10" max="16384" width="8.88671875" style="242"/>
  </cols>
  <sheetData>
    <row r="2" spans="1:7" s="241" customFormat="1" ht="63">
      <c r="A2" s="254" t="s">
        <v>3336</v>
      </c>
      <c r="B2" s="240" t="s">
        <v>1954</v>
      </c>
      <c r="C2" s="240" t="s">
        <v>1955</v>
      </c>
      <c r="D2" s="240" t="s">
        <v>1956</v>
      </c>
      <c r="E2" s="240" t="s">
        <v>1957</v>
      </c>
      <c r="F2" s="240" t="s">
        <v>1958</v>
      </c>
      <c r="G2" s="240" t="s">
        <v>1959</v>
      </c>
    </row>
    <row r="3" spans="1:7">
      <c r="B3" s="243" t="s">
        <v>923</v>
      </c>
      <c r="C3" s="243" t="s">
        <v>923</v>
      </c>
      <c r="D3" s="243" t="s">
        <v>923</v>
      </c>
      <c r="E3" s="243" t="s">
        <v>923</v>
      </c>
      <c r="F3" s="243" t="s">
        <v>923</v>
      </c>
      <c r="G3" s="243" t="s">
        <v>923</v>
      </c>
    </row>
    <row r="5" spans="1:7" ht="10.8" customHeight="1">
      <c r="A5" s="242" t="s">
        <v>2472</v>
      </c>
      <c r="B5" s="243">
        <v>34874500</v>
      </c>
      <c r="C5" s="243">
        <v>-23974462.109999906</v>
      </c>
      <c r="D5" s="243">
        <v>239142.0600009663</v>
      </c>
      <c r="E5" s="243">
        <v>11139179.950001061</v>
      </c>
      <c r="G5" s="245">
        <v>11139179.950001061</v>
      </c>
    </row>
    <row r="6" spans="1:7" ht="10.8" customHeight="1">
      <c r="A6" s="242" t="s">
        <v>3312</v>
      </c>
      <c r="C6" s="243">
        <f>C24</f>
        <v>0</v>
      </c>
      <c r="E6" s="243">
        <f t="shared" ref="E6:E11" si="0">D6+C6+B6</f>
        <v>0</v>
      </c>
      <c r="G6" s="245">
        <f t="shared" ref="G6:G12" si="1">F6+E6</f>
        <v>0</v>
      </c>
    </row>
    <row r="7" spans="1:7" ht="10.8" customHeight="1">
      <c r="A7" s="242" t="s">
        <v>3313</v>
      </c>
      <c r="C7" s="243">
        <f>C25</f>
        <v>0</v>
      </c>
      <c r="E7" s="243">
        <f t="shared" si="0"/>
        <v>0</v>
      </c>
      <c r="G7" s="245">
        <f t="shared" si="1"/>
        <v>0</v>
      </c>
    </row>
    <row r="8" spans="1:7" ht="10.8" customHeight="1">
      <c r="A8" s="242" t="s">
        <v>2046</v>
      </c>
      <c r="C8" s="243">
        <f>C29</f>
        <v>0</v>
      </c>
      <c r="E8" s="243">
        <f t="shared" si="0"/>
        <v>0</v>
      </c>
      <c r="G8" s="245">
        <f t="shared" si="1"/>
        <v>0</v>
      </c>
    </row>
    <row r="9" spans="1:7">
      <c r="A9" s="242" t="s">
        <v>3134</v>
      </c>
      <c r="D9" s="243">
        <f>'RZiS, koszty rodz.'!B190</f>
        <v>7919232.7899999972</v>
      </c>
      <c r="E9" s="243">
        <f t="shared" si="0"/>
        <v>7919232.7899999972</v>
      </c>
      <c r="G9" s="245">
        <f t="shared" si="1"/>
        <v>7919232.7899999972</v>
      </c>
    </row>
    <row r="10" spans="1:7">
      <c r="A10" s="242" t="s">
        <v>3135</v>
      </c>
      <c r="C10" s="243">
        <f>D5</f>
        <v>239142.0600009663</v>
      </c>
      <c r="D10" s="243">
        <f>-C10</f>
        <v>-239142.0600009663</v>
      </c>
      <c r="E10" s="243">
        <f t="shared" si="0"/>
        <v>0</v>
      </c>
      <c r="G10" s="245">
        <f t="shared" si="1"/>
        <v>0</v>
      </c>
    </row>
    <row r="11" spans="1:7">
      <c r="A11" s="242" t="s">
        <v>3136</v>
      </c>
      <c r="E11" s="243">
        <f t="shared" si="0"/>
        <v>0</v>
      </c>
      <c r="G11" s="245">
        <f t="shared" si="1"/>
        <v>0</v>
      </c>
    </row>
    <row r="12" spans="1:7">
      <c r="B12" s="243">
        <f>B11+B10+B9+B5+B6+B7</f>
        <v>34874500</v>
      </c>
      <c r="C12" s="243">
        <f>C11+C10+C9+C5+C6+C7+C8</f>
        <v>-23735320.049998939</v>
      </c>
      <c r="D12" s="243">
        <f>D11+D10+D9+D5+D6+D7+D8</f>
        <v>7919232.7899999972</v>
      </c>
      <c r="E12" s="243">
        <f>E11+E10+E9+E5+E6+E7+E8</f>
        <v>19058412.74000106</v>
      </c>
      <c r="G12" s="245">
        <f t="shared" si="1"/>
        <v>19058412.74000106</v>
      </c>
    </row>
    <row r="13" spans="1:7">
      <c r="E13" s="252">
        <f>E12-'FC Spr.z syt.finans.'!B51</f>
        <v>1.0579824447631836E-6</v>
      </c>
    </row>
    <row r="20" spans="1:7">
      <c r="A20" s="244" t="s">
        <v>1943</v>
      </c>
      <c r="B20" s="245">
        <v>34874500</v>
      </c>
      <c r="C20" s="245">
        <v>-23974462.109999906</v>
      </c>
      <c r="D20" s="245">
        <v>239142.0600009663</v>
      </c>
      <c r="E20" s="245">
        <v>11139179.950001061</v>
      </c>
      <c r="F20" s="246"/>
      <c r="G20" s="245">
        <v>11139179.950001061</v>
      </c>
    </row>
    <row r="21" spans="1:7">
      <c r="A21" s="242" t="s">
        <v>923</v>
      </c>
      <c r="E21" s="247">
        <f t="shared" ref="E21:E51" si="2">SUM(B21:D21)</f>
        <v>0</v>
      </c>
      <c r="G21" s="247">
        <f t="shared" ref="G21:G53" si="3">F21+E21</f>
        <v>0</v>
      </c>
    </row>
    <row r="22" spans="1:7">
      <c r="A22" s="248" t="s">
        <v>1960</v>
      </c>
      <c r="B22" s="246"/>
      <c r="C22" s="246"/>
      <c r="D22" s="246"/>
      <c r="E22" s="245">
        <f t="shared" si="2"/>
        <v>0</v>
      </c>
      <c r="F22" s="246"/>
      <c r="G22" s="245">
        <f t="shared" si="3"/>
        <v>0</v>
      </c>
    </row>
    <row r="23" spans="1:7">
      <c r="A23" s="248" t="s">
        <v>1961</v>
      </c>
      <c r="B23" s="246"/>
      <c r="C23" s="246"/>
      <c r="D23" s="246"/>
      <c r="E23" s="245">
        <f t="shared" si="2"/>
        <v>0</v>
      </c>
      <c r="F23" s="246"/>
      <c r="G23" s="245">
        <f t="shared" si="3"/>
        <v>0</v>
      </c>
    </row>
    <row r="24" spans="1:7">
      <c r="A24" s="248" t="s">
        <v>1962</v>
      </c>
      <c r="B24" s="246"/>
      <c r="C24" s="249">
        <f>-'wycena rezerw aktuarialnych'!K5</f>
        <v>0</v>
      </c>
      <c r="D24" s="246"/>
      <c r="E24" s="245">
        <f t="shared" si="2"/>
        <v>0</v>
      </c>
      <c r="F24" s="246"/>
      <c r="G24" s="245">
        <f t="shared" si="3"/>
        <v>0</v>
      </c>
    </row>
    <row r="25" spans="1:7">
      <c r="A25" s="248" t="s">
        <v>1963</v>
      </c>
      <c r="B25" s="246"/>
      <c r="C25" s="249">
        <f>-'wycena rezerw aktuarialnych'!K8</f>
        <v>0</v>
      </c>
      <c r="D25" s="246"/>
      <c r="E25" s="245">
        <f t="shared" si="2"/>
        <v>0</v>
      </c>
      <c r="F25" s="246"/>
      <c r="G25" s="245">
        <f t="shared" si="3"/>
        <v>0</v>
      </c>
    </row>
    <row r="26" spans="1:7">
      <c r="A26" s="248" t="s">
        <v>1964</v>
      </c>
      <c r="B26" s="246"/>
      <c r="C26" s="246"/>
      <c r="D26" s="246"/>
      <c r="E26" s="245">
        <f t="shared" si="2"/>
        <v>0</v>
      </c>
      <c r="F26" s="246"/>
      <c r="G26" s="245">
        <f t="shared" si="3"/>
        <v>0</v>
      </c>
    </row>
    <row r="27" spans="1:7">
      <c r="A27" s="248" t="s">
        <v>1965</v>
      </c>
      <c r="B27" s="246"/>
      <c r="C27" s="246"/>
      <c r="D27" s="246"/>
      <c r="E27" s="245">
        <f t="shared" si="2"/>
        <v>0</v>
      </c>
      <c r="F27" s="246"/>
      <c r="G27" s="245">
        <f t="shared" si="3"/>
        <v>0</v>
      </c>
    </row>
    <row r="28" spans="1:7">
      <c r="A28" s="248" t="s">
        <v>1966</v>
      </c>
      <c r="B28" s="246"/>
      <c r="C28" s="246"/>
      <c r="D28" s="246"/>
      <c r="E28" s="245">
        <f t="shared" si="2"/>
        <v>0</v>
      </c>
      <c r="F28" s="246"/>
      <c r="G28" s="245">
        <f t="shared" si="3"/>
        <v>0</v>
      </c>
    </row>
    <row r="29" spans="1:7">
      <c r="A29" s="248" t="s">
        <v>1967</v>
      </c>
      <c r="B29" s="246"/>
      <c r="C29" s="249">
        <f>'wycena rezerw aktuarialnych'!D19</f>
        <v>0</v>
      </c>
      <c r="D29" s="246"/>
      <c r="E29" s="245">
        <f t="shared" si="2"/>
        <v>0</v>
      </c>
      <c r="F29" s="246"/>
      <c r="G29" s="245">
        <f t="shared" si="3"/>
        <v>0</v>
      </c>
    </row>
    <row r="30" spans="1:7">
      <c r="A30" s="248" t="s">
        <v>923</v>
      </c>
      <c r="B30" s="246"/>
      <c r="C30" s="246"/>
      <c r="D30" s="246"/>
      <c r="E30" s="246"/>
      <c r="F30" s="246"/>
      <c r="G30" s="246"/>
    </row>
    <row r="31" spans="1:7">
      <c r="A31" s="250" t="s">
        <v>1968</v>
      </c>
      <c r="B31" s="251"/>
      <c r="C31" s="251">
        <f>SUM(C22:C30)</f>
        <v>0</v>
      </c>
      <c r="D31" s="251">
        <f>SUM(D22:D30)</f>
        <v>0</v>
      </c>
      <c r="E31" s="245">
        <f>SUM(E22:E30)</f>
        <v>0</v>
      </c>
      <c r="F31" s="251">
        <f>SUM(F22:F30)</f>
        <v>0</v>
      </c>
      <c r="G31" s="245">
        <f>SUM(G22:G30)</f>
        <v>0</v>
      </c>
    </row>
    <row r="32" spans="1:7">
      <c r="A32" s="242" t="s">
        <v>923</v>
      </c>
    </row>
    <row r="33" spans="1:7">
      <c r="A33" s="248" t="s">
        <v>1969</v>
      </c>
      <c r="B33" s="246"/>
      <c r="C33" s="246"/>
      <c r="D33" s="249">
        <f>'FC Spraw.z całk.doch'!E39</f>
        <v>7919232.7899999972</v>
      </c>
      <c r="E33" s="245">
        <f t="shared" si="2"/>
        <v>7919232.7899999972</v>
      </c>
      <c r="F33" s="246"/>
      <c r="G33" s="245">
        <f t="shared" si="3"/>
        <v>7919232.7899999972</v>
      </c>
    </row>
    <row r="34" spans="1:7">
      <c r="A34" s="242" t="s">
        <v>923</v>
      </c>
    </row>
    <row r="35" spans="1:7">
      <c r="A35" s="244" t="s">
        <v>1970</v>
      </c>
      <c r="B35" s="245"/>
      <c r="C35" s="245">
        <f>C33+C31</f>
        <v>0</v>
      </c>
      <c r="D35" s="245">
        <f>D33+D31</f>
        <v>7919232.7899999972</v>
      </c>
      <c r="E35" s="245">
        <f>E33+E31</f>
        <v>7919232.7899999972</v>
      </c>
      <c r="F35" s="245">
        <f>F33+F31</f>
        <v>0</v>
      </c>
      <c r="G35" s="245">
        <f>G33+G31</f>
        <v>7919232.7899999972</v>
      </c>
    </row>
    <row r="36" spans="1:7">
      <c r="A36" s="242" t="s">
        <v>923</v>
      </c>
    </row>
    <row r="37" spans="1:7">
      <c r="A37" s="248" t="s">
        <v>1971</v>
      </c>
      <c r="B37" s="246"/>
      <c r="C37" s="246">
        <f>D20</f>
        <v>239142.0600009663</v>
      </c>
      <c r="D37" s="246">
        <f>-D20</f>
        <v>-239142.0600009663</v>
      </c>
      <c r="E37" s="245">
        <f t="shared" si="2"/>
        <v>0</v>
      </c>
      <c r="F37" s="246"/>
      <c r="G37" s="245">
        <f t="shared" si="3"/>
        <v>0</v>
      </c>
    </row>
    <row r="38" spans="1:7">
      <c r="A38" s="248" t="s">
        <v>1972</v>
      </c>
      <c r="B38" s="246"/>
      <c r="C38" s="246"/>
      <c r="D38" s="246"/>
      <c r="E38" s="245">
        <f t="shared" si="2"/>
        <v>0</v>
      </c>
      <c r="F38" s="246"/>
      <c r="G38" s="245">
        <f t="shared" si="3"/>
        <v>0</v>
      </c>
    </row>
    <row r="39" spans="1:7">
      <c r="A39" s="248" t="s">
        <v>1973</v>
      </c>
      <c r="B39" s="246"/>
      <c r="C39" s="246"/>
      <c r="D39" s="246"/>
      <c r="E39" s="245">
        <f t="shared" si="2"/>
        <v>0</v>
      </c>
      <c r="F39" s="246"/>
      <c r="G39" s="245">
        <f t="shared" si="3"/>
        <v>0</v>
      </c>
    </row>
    <row r="40" spans="1:7">
      <c r="A40" s="248" t="s">
        <v>1974</v>
      </c>
      <c r="B40" s="246"/>
      <c r="C40" s="246"/>
      <c r="D40" s="246"/>
      <c r="E40" s="245">
        <f t="shared" si="2"/>
        <v>0</v>
      </c>
      <c r="F40" s="246"/>
      <c r="G40" s="245">
        <f t="shared" si="3"/>
        <v>0</v>
      </c>
    </row>
    <row r="41" spans="1:7">
      <c r="A41" s="248" t="s">
        <v>1975</v>
      </c>
      <c r="B41" s="246"/>
      <c r="C41" s="246"/>
      <c r="D41" s="246"/>
      <c r="E41" s="245">
        <f t="shared" si="2"/>
        <v>0</v>
      </c>
      <c r="F41" s="246"/>
      <c r="G41" s="245">
        <f t="shared" si="3"/>
        <v>0</v>
      </c>
    </row>
    <row r="42" spans="1:7">
      <c r="A42" s="248" t="s">
        <v>1976</v>
      </c>
      <c r="B42" s="246"/>
      <c r="C42" s="246"/>
      <c r="D42" s="246"/>
      <c r="E42" s="245">
        <f t="shared" si="2"/>
        <v>0</v>
      </c>
      <c r="F42" s="246"/>
      <c r="G42" s="245">
        <f t="shared" si="3"/>
        <v>0</v>
      </c>
    </row>
    <row r="43" spans="1:7">
      <c r="A43" s="248" t="s">
        <v>1977</v>
      </c>
      <c r="B43" s="246"/>
      <c r="C43" s="246"/>
      <c r="D43" s="246"/>
      <c r="E43" s="245">
        <f t="shared" si="2"/>
        <v>0</v>
      </c>
      <c r="F43" s="246"/>
      <c r="G43" s="245">
        <f t="shared" si="3"/>
        <v>0</v>
      </c>
    </row>
    <row r="44" spans="1:7">
      <c r="A44" s="248" t="s">
        <v>1978</v>
      </c>
      <c r="B44" s="246"/>
      <c r="C44" s="246"/>
      <c r="D44" s="246"/>
      <c r="E44" s="245">
        <f t="shared" si="2"/>
        <v>0</v>
      </c>
      <c r="F44" s="246"/>
      <c r="G44" s="245">
        <f t="shared" si="3"/>
        <v>0</v>
      </c>
    </row>
    <row r="45" spans="1:7">
      <c r="A45" s="248" t="s">
        <v>1979</v>
      </c>
      <c r="B45" s="246"/>
      <c r="C45" s="246"/>
      <c r="D45" s="246"/>
      <c r="E45" s="245">
        <f t="shared" si="2"/>
        <v>0</v>
      </c>
      <c r="F45" s="246"/>
      <c r="G45" s="245">
        <f t="shared" si="3"/>
        <v>0</v>
      </c>
    </row>
    <row r="46" spans="1:7">
      <c r="A46" s="248" t="s">
        <v>1980</v>
      </c>
      <c r="B46" s="246"/>
      <c r="C46" s="246"/>
      <c r="D46" s="246"/>
      <c r="E46" s="245">
        <f t="shared" si="2"/>
        <v>0</v>
      </c>
      <c r="F46" s="246"/>
      <c r="G46" s="245">
        <f t="shared" si="3"/>
        <v>0</v>
      </c>
    </row>
    <row r="47" spans="1:7">
      <c r="A47" s="248" t="s">
        <v>1981</v>
      </c>
      <c r="B47" s="246"/>
      <c r="C47" s="246"/>
      <c r="D47" s="246"/>
      <c r="E47" s="245">
        <f t="shared" si="2"/>
        <v>0</v>
      </c>
      <c r="F47" s="246"/>
      <c r="G47" s="245">
        <f t="shared" si="3"/>
        <v>0</v>
      </c>
    </row>
    <row r="48" spans="1:7">
      <c r="A48" s="248" t="s">
        <v>1982</v>
      </c>
      <c r="B48" s="246"/>
      <c r="C48" s="246"/>
      <c r="D48" s="246"/>
      <c r="E48" s="245">
        <f t="shared" si="2"/>
        <v>0</v>
      </c>
      <c r="F48" s="246"/>
      <c r="G48" s="245">
        <f t="shared" si="3"/>
        <v>0</v>
      </c>
    </row>
    <row r="49" spans="1:8">
      <c r="A49" s="248" t="s">
        <v>1983</v>
      </c>
      <c r="B49" s="246"/>
      <c r="C49" s="246"/>
      <c r="D49" s="246"/>
      <c r="E49" s="245">
        <f t="shared" si="2"/>
        <v>0</v>
      </c>
      <c r="F49" s="246"/>
      <c r="G49" s="245">
        <f t="shared" si="3"/>
        <v>0</v>
      </c>
    </row>
    <row r="50" spans="1:8">
      <c r="A50" s="248" t="s">
        <v>1984</v>
      </c>
      <c r="B50" s="246"/>
      <c r="C50" s="246"/>
      <c r="D50" s="246"/>
      <c r="E50" s="245">
        <f t="shared" si="2"/>
        <v>0</v>
      </c>
      <c r="F50" s="246"/>
      <c r="G50" s="245">
        <f t="shared" si="3"/>
        <v>0</v>
      </c>
    </row>
    <row r="51" spans="1:8">
      <c r="A51" s="248" t="s">
        <v>1985</v>
      </c>
      <c r="B51" s="246"/>
      <c r="C51" s="249"/>
      <c r="D51" s="246"/>
      <c r="E51" s="245">
        <f t="shared" si="2"/>
        <v>0</v>
      </c>
      <c r="F51" s="246"/>
      <c r="G51" s="245">
        <f t="shared" si="3"/>
        <v>0</v>
      </c>
    </row>
    <row r="52" spans="1:8">
      <c r="A52" s="242" t="s">
        <v>923</v>
      </c>
    </row>
    <row r="53" spans="1:8">
      <c r="A53" s="244" t="s">
        <v>1942</v>
      </c>
      <c r="B53" s="245">
        <f>B20</f>
        <v>34874500</v>
      </c>
      <c r="C53" s="245">
        <f>C20+C35+C37+C51</f>
        <v>-23735320.049998939</v>
      </c>
      <c r="D53" s="245">
        <f>D20+D35+D37+D51</f>
        <v>7919232.7899999972</v>
      </c>
      <c r="E53" s="245">
        <f>E20+E35+E37+E51</f>
        <v>19058412.74000106</v>
      </c>
      <c r="F53" s="245"/>
      <c r="G53" s="245">
        <f t="shared" si="3"/>
        <v>19058412.74000106</v>
      </c>
      <c r="H53" s="252">
        <f>G53-'SF Spr.z syt.finans.'!C25</f>
        <v>1.0542571544647217E-6</v>
      </c>
    </row>
    <row r="57" spans="1:8" s="241" customFormat="1" ht="63" hidden="1">
      <c r="A57" s="254" t="s">
        <v>2535</v>
      </c>
      <c r="B57" s="240" t="s">
        <v>1954</v>
      </c>
      <c r="C57" s="240" t="s">
        <v>1955</v>
      </c>
      <c r="D57" s="240" t="s">
        <v>1956</v>
      </c>
      <c r="E57" s="240" t="s">
        <v>1957</v>
      </c>
      <c r="F57" s="240" t="s">
        <v>1958</v>
      </c>
      <c r="G57" s="240" t="s">
        <v>1959</v>
      </c>
    </row>
    <row r="58" spans="1:8" hidden="1">
      <c r="B58" s="243" t="s">
        <v>923</v>
      </c>
      <c r="C58" s="243" t="s">
        <v>923</v>
      </c>
      <c r="D58" s="243" t="s">
        <v>923</v>
      </c>
      <c r="E58" s="243" t="s">
        <v>923</v>
      </c>
      <c r="F58" s="243" t="s">
        <v>923</v>
      </c>
      <c r="G58" s="243" t="s">
        <v>923</v>
      </c>
    </row>
    <row r="59" spans="1:8" hidden="1">
      <c r="A59" s="248" t="s">
        <v>1943</v>
      </c>
      <c r="B59" s="253">
        <v>34874500</v>
      </c>
      <c r="C59" s="253">
        <v>-25977610.510000002</v>
      </c>
      <c r="D59" s="253">
        <v>4809996.0199999996</v>
      </c>
      <c r="E59" s="245">
        <f>SUM(B59:D59)</f>
        <v>13706885.509999998</v>
      </c>
      <c r="F59" s="246"/>
      <c r="G59" s="245">
        <f>F59+E59</f>
        <v>13706885.509999998</v>
      </c>
    </row>
    <row r="60" spans="1:8" hidden="1">
      <c r="A60" s="242" t="s">
        <v>923</v>
      </c>
      <c r="E60" s="247">
        <f t="shared" ref="E60:E68" si="4">SUM(B60:D60)</f>
        <v>0</v>
      </c>
      <c r="G60" s="247">
        <f t="shared" ref="G60:G68" si="5">F60+E60</f>
        <v>0</v>
      </c>
    </row>
    <row r="61" spans="1:8" hidden="1">
      <c r="A61" s="248" t="s">
        <v>1960</v>
      </c>
      <c r="B61" s="246"/>
      <c r="C61" s="246"/>
      <c r="D61" s="246"/>
      <c r="E61" s="245">
        <f t="shared" si="4"/>
        <v>0</v>
      </c>
      <c r="F61" s="246"/>
      <c r="G61" s="245">
        <f t="shared" si="5"/>
        <v>0</v>
      </c>
    </row>
    <row r="62" spans="1:8" hidden="1">
      <c r="A62" s="248" t="s">
        <v>1961</v>
      </c>
      <c r="B62" s="246"/>
      <c r="C62" s="246"/>
      <c r="D62" s="246"/>
      <c r="E62" s="245">
        <f t="shared" si="4"/>
        <v>0</v>
      </c>
      <c r="F62" s="246"/>
      <c r="G62" s="245">
        <f t="shared" si="5"/>
        <v>0</v>
      </c>
    </row>
    <row r="63" spans="1:8" hidden="1">
      <c r="A63" s="248" t="s">
        <v>1962</v>
      </c>
      <c r="B63" s="246"/>
      <c r="C63" s="249">
        <v>-33936.86</v>
      </c>
      <c r="D63" s="246"/>
      <c r="E63" s="245">
        <f t="shared" si="4"/>
        <v>-33936.86</v>
      </c>
      <c r="F63" s="246"/>
      <c r="G63" s="245">
        <f t="shared" si="5"/>
        <v>-33936.86</v>
      </c>
    </row>
    <row r="64" spans="1:8" hidden="1">
      <c r="A64" s="248" t="s">
        <v>1963</v>
      </c>
      <c r="B64" s="246"/>
      <c r="C64" s="249">
        <v>-174993</v>
      </c>
      <c r="D64" s="246"/>
      <c r="E64" s="245">
        <f t="shared" si="4"/>
        <v>-174993</v>
      </c>
      <c r="F64" s="246"/>
      <c r="G64" s="245">
        <f t="shared" si="5"/>
        <v>-174993</v>
      </c>
    </row>
    <row r="65" spans="1:7" hidden="1">
      <c r="A65" s="248" t="s">
        <v>1964</v>
      </c>
      <c r="B65" s="246"/>
      <c r="C65" s="246"/>
      <c r="D65" s="246"/>
      <c r="E65" s="245">
        <f t="shared" si="4"/>
        <v>0</v>
      </c>
      <c r="F65" s="246"/>
      <c r="G65" s="245">
        <f t="shared" si="5"/>
        <v>0</v>
      </c>
    </row>
    <row r="66" spans="1:7" hidden="1">
      <c r="A66" s="248" t="s">
        <v>1965</v>
      </c>
      <c r="B66" s="246"/>
      <c r="C66" s="246"/>
      <c r="D66" s="246"/>
      <c r="E66" s="245">
        <f t="shared" si="4"/>
        <v>0</v>
      </c>
      <c r="F66" s="246"/>
      <c r="G66" s="245">
        <f t="shared" si="5"/>
        <v>0</v>
      </c>
    </row>
    <row r="67" spans="1:7" hidden="1">
      <c r="A67" s="248" t="s">
        <v>1966</v>
      </c>
      <c r="B67" s="246"/>
      <c r="C67" s="246"/>
      <c r="D67" s="246"/>
      <c r="E67" s="245">
        <f t="shared" si="4"/>
        <v>0</v>
      </c>
      <c r="F67" s="246"/>
      <c r="G67" s="245">
        <f t="shared" si="5"/>
        <v>0</v>
      </c>
    </row>
    <row r="68" spans="1:7" hidden="1">
      <c r="A68" s="248" t="s">
        <v>1967</v>
      </c>
      <c r="B68" s="246"/>
      <c r="C68" s="249">
        <v>39696.67</v>
      </c>
      <c r="D68" s="246"/>
      <c r="E68" s="245">
        <f t="shared" si="4"/>
        <v>39696.67</v>
      </c>
      <c r="F68" s="246"/>
      <c r="G68" s="245">
        <f t="shared" si="5"/>
        <v>39696.67</v>
      </c>
    </row>
    <row r="69" spans="1:7" hidden="1">
      <c r="A69" s="248" t="s">
        <v>923</v>
      </c>
      <c r="B69" s="246"/>
      <c r="C69" s="246"/>
      <c r="D69" s="246"/>
      <c r="E69" s="246"/>
      <c r="F69" s="246"/>
      <c r="G69" s="246"/>
    </row>
    <row r="70" spans="1:7" hidden="1">
      <c r="A70" s="250" t="s">
        <v>1968</v>
      </c>
      <c r="B70" s="251"/>
      <c r="C70" s="251">
        <f>SUM(C61:C69)</f>
        <v>-169233.19</v>
      </c>
      <c r="D70" s="251">
        <f>SUM(D61:D69)</f>
        <v>0</v>
      </c>
      <c r="E70" s="245">
        <f>SUM(E61:E69)</f>
        <v>-169233.19</v>
      </c>
      <c r="F70" s="251">
        <f>SUM(F61:F69)</f>
        <v>0</v>
      </c>
      <c r="G70" s="245">
        <f>SUM(G61:G69)</f>
        <v>-169233.19</v>
      </c>
    </row>
    <row r="71" spans="1:7" hidden="1">
      <c r="A71" s="242" t="s">
        <v>923</v>
      </c>
    </row>
    <row r="72" spans="1:7" hidden="1">
      <c r="A72" s="248" t="s">
        <v>1969</v>
      </c>
      <c r="B72" s="246"/>
      <c r="C72" s="246"/>
      <c r="D72" s="249">
        <v>144651.82999999999</v>
      </c>
      <c r="E72" s="245">
        <f>SUM(B72:D72)</f>
        <v>144651.82999999999</v>
      </c>
      <c r="F72" s="246"/>
      <c r="G72" s="245">
        <f>F72+E72</f>
        <v>144651.82999999999</v>
      </c>
    </row>
    <row r="73" spans="1:7" hidden="1">
      <c r="A73" s="242" t="s">
        <v>923</v>
      </c>
    </row>
    <row r="74" spans="1:7" hidden="1">
      <c r="A74" s="244" t="s">
        <v>1970</v>
      </c>
      <c r="B74" s="245"/>
      <c r="C74" s="245">
        <f>C72+C70</f>
        <v>-169233.19</v>
      </c>
      <c r="D74" s="245">
        <f>D72+D70</f>
        <v>144651.82999999999</v>
      </c>
      <c r="E74" s="245">
        <f>E72+E70</f>
        <v>-24581.360000000015</v>
      </c>
      <c r="F74" s="245">
        <f>F72+F70</f>
        <v>0</v>
      </c>
      <c r="G74" s="245">
        <f>G72+G70</f>
        <v>-24581.360000000015</v>
      </c>
    </row>
    <row r="75" spans="1:7" hidden="1">
      <c r="A75" s="242" t="s">
        <v>923</v>
      </c>
    </row>
    <row r="76" spans="1:7" hidden="1">
      <c r="A76" s="248" t="s">
        <v>1971</v>
      </c>
      <c r="B76" s="246"/>
      <c r="C76" s="246">
        <f>D59</f>
        <v>4809996.0199999996</v>
      </c>
      <c r="D76" s="246">
        <f>-D59</f>
        <v>-4809996.0199999996</v>
      </c>
      <c r="E76" s="245">
        <f t="shared" ref="E76:E90" si="6">SUM(B76:D76)</f>
        <v>0</v>
      </c>
      <c r="F76" s="246"/>
      <c r="G76" s="245">
        <f t="shared" ref="G76:G90" si="7">F76+E76</f>
        <v>0</v>
      </c>
    </row>
    <row r="77" spans="1:7" hidden="1">
      <c r="A77" s="248" t="s">
        <v>1972</v>
      </c>
      <c r="B77" s="246"/>
      <c r="C77" s="246"/>
      <c r="D77" s="246"/>
      <c r="E77" s="245">
        <f t="shared" si="6"/>
        <v>0</v>
      </c>
      <c r="F77" s="246"/>
      <c r="G77" s="245">
        <f t="shared" si="7"/>
        <v>0</v>
      </c>
    </row>
    <row r="78" spans="1:7" hidden="1">
      <c r="A78" s="248" t="s">
        <v>1973</v>
      </c>
      <c r="B78" s="246"/>
      <c r="C78" s="246"/>
      <c r="D78" s="246"/>
      <c r="E78" s="245">
        <f t="shared" si="6"/>
        <v>0</v>
      </c>
      <c r="F78" s="246"/>
      <c r="G78" s="245">
        <f t="shared" si="7"/>
        <v>0</v>
      </c>
    </row>
    <row r="79" spans="1:7" hidden="1">
      <c r="A79" s="248" t="s">
        <v>1974</v>
      </c>
      <c r="B79" s="246"/>
      <c r="C79" s="246"/>
      <c r="D79" s="246"/>
      <c r="E79" s="245">
        <f t="shared" si="6"/>
        <v>0</v>
      </c>
      <c r="F79" s="246"/>
      <c r="G79" s="245">
        <f t="shared" si="7"/>
        <v>0</v>
      </c>
    </row>
    <row r="80" spans="1:7" hidden="1">
      <c r="A80" s="248" t="s">
        <v>1975</v>
      </c>
      <c r="B80" s="246"/>
      <c r="C80" s="246"/>
      <c r="D80" s="246"/>
      <c r="E80" s="245">
        <f t="shared" si="6"/>
        <v>0</v>
      </c>
      <c r="F80" s="246"/>
      <c r="G80" s="245">
        <f t="shared" si="7"/>
        <v>0</v>
      </c>
    </row>
    <row r="81" spans="1:8" hidden="1">
      <c r="A81" s="248" t="s">
        <v>1976</v>
      </c>
      <c r="B81" s="246"/>
      <c r="C81" s="246"/>
      <c r="D81" s="246"/>
      <c r="E81" s="245">
        <f t="shared" si="6"/>
        <v>0</v>
      </c>
      <c r="F81" s="246"/>
      <c r="G81" s="245">
        <f t="shared" si="7"/>
        <v>0</v>
      </c>
    </row>
    <row r="82" spans="1:8" hidden="1">
      <c r="A82" s="248" t="s">
        <v>1977</v>
      </c>
      <c r="B82" s="246"/>
      <c r="C82" s="246"/>
      <c r="D82" s="246"/>
      <c r="E82" s="245">
        <f t="shared" si="6"/>
        <v>0</v>
      </c>
      <c r="F82" s="246"/>
      <c r="G82" s="245">
        <f t="shared" si="7"/>
        <v>0</v>
      </c>
    </row>
    <row r="83" spans="1:8" hidden="1">
      <c r="A83" s="248" t="s">
        <v>1978</v>
      </c>
      <c r="B83" s="246"/>
      <c r="C83" s="246"/>
      <c r="D83" s="246"/>
      <c r="E83" s="245">
        <f t="shared" si="6"/>
        <v>0</v>
      </c>
      <c r="F83" s="246"/>
      <c r="G83" s="245">
        <f t="shared" si="7"/>
        <v>0</v>
      </c>
    </row>
    <row r="84" spans="1:8" hidden="1">
      <c r="A84" s="248" t="s">
        <v>1979</v>
      </c>
      <c r="B84" s="246"/>
      <c r="C84" s="246"/>
      <c r="D84" s="246"/>
      <c r="E84" s="245">
        <f t="shared" si="6"/>
        <v>0</v>
      </c>
      <c r="F84" s="246"/>
      <c r="G84" s="245">
        <f t="shared" si="7"/>
        <v>0</v>
      </c>
    </row>
    <row r="85" spans="1:8" hidden="1">
      <c r="A85" s="248" t="s">
        <v>1980</v>
      </c>
      <c r="B85" s="246"/>
      <c r="C85" s="246"/>
      <c r="D85" s="246"/>
      <c r="E85" s="245">
        <f t="shared" si="6"/>
        <v>0</v>
      </c>
      <c r="F85" s="246"/>
      <c r="G85" s="245">
        <f t="shared" si="7"/>
        <v>0</v>
      </c>
    </row>
    <row r="86" spans="1:8" hidden="1">
      <c r="A86" s="248" t="s">
        <v>1981</v>
      </c>
      <c r="B86" s="246"/>
      <c r="C86" s="246"/>
      <c r="D86" s="246"/>
      <c r="E86" s="245">
        <f t="shared" si="6"/>
        <v>0</v>
      </c>
      <c r="F86" s="246"/>
      <c r="G86" s="245">
        <f t="shared" si="7"/>
        <v>0</v>
      </c>
    </row>
    <row r="87" spans="1:8" hidden="1">
      <c r="A87" s="248" t="s">
        <v>1982</v>
      </c>
      <c r="B87" s="246"/>
      <c r="C87" s="246"/>
      <c r="D87" s="246"/>
      <c r="E87" s="245">
        <f t="shared" si="6"/>
        <v>0</v>
      </c>
      <c r="F87" s="246"/>
      <c r="G87" s="245">
        <f t="shared" si="7"/>
        <v>0</v>
      </c>
    </row>
    <row r="88" spans="1:8" hidden="1">
      <c r="A88" s="248" t="s">
        <v>1983</v>
      </c>
      <c r="B88" s="246"/>
      <c r="C88" s="246"/>
      <c r="D88" s="246"/>
      <c r="E88" s="245">
        <f t="shared" si="6"/>
        <v>0</v>
      </c>
      <c r="F88" s="246"/>
      <c r="G88" s="245">
        <f t="shared" si="7"/>
        <v>0</v>
      </c>
    </row>
    <row r="89" spans="1:8" hidden="1">
      <c r="A89" s="248" t="s">
        <v>1984</v>
      </c>
      <c r="B89" s="246"/>
      <c r="C89" s="246"/>
      <c r="D89" s="246"/>
      <c r="E89" s="245">
        <f t="shared" si="6"/>
        <v>0</v>
      </c>
      <c r="F89" s="246"/>
      <c r="G89" s="245">
        <f t="shared" si="7"/>
        <v>0</v>
      </c>
    </row>
    <row r="90" spans="1:8" hidden="1">
      <c r="A90" s="248" t="s">
        <v>1985</v>
      </c>
      <c r="B90" s="246"/>
      <c r="C90" s="249">
        <v>35217</v>
      </c>
      <c r="D90" s="246"/>
      <c r="E90" s="245">
        <f t="shared" si="6"/>
        <v>35217</v>
      </c>
      <c r="F90" s="246"/>
      <c r="G90" s="245">
        <f t="shared" si="7"/>
        <v>35217</v>
      </c>
    </row>
    <row r="91" spans="1:8" hidden="1">
      <c r="A91" s="242" t="s">
        <v>923</v>
      </c>
    </row>
    <row r="92" spans="1:8" hidden="1">
      <c r="A92" s="244" t="s">
        <v>1942</v>
      </c>
      <c r="B92" s="245">
        <f>B59</f>
        <v>34874500</v>
      </c>
      <c r="C92" s="245">
        <f>C59+C74+C76+C90</f>
        <v>-21301630.680000003</v>
      </c>
      <c r="D92" s="245">
        <f>D59+D74+D76+D90</f>
        <v>144651.83000000007</v>
      </c>
      <c r="E92" s="245">
        <f>E59+E74+E76+E90</f>
        <v>13717521.149999999</v>
      </c>
      <c r="F92" s="245"/>
      <c r="G92" s="245">
        <f>F92+E92</f>
        <v>13717521.149999999</v>
      </c>
      <c r="H92" s="252">
        <f>G92-'SF Kapitały'!G14</f>
        <v>2963829.8500007037</v>
      </c>
    </row>
    <row r="93" spans="1:8" hidden="1"/>
    <row r="94" spans="1:8" hidden="1"/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4"/>
  <sheetViews>
    <sheetView workbookViewId="0">
      <pane xSplit="3" ySplit="3" topLeftCell="D22" activePane="bottomRight" state="frozen"/>
      <selection pane="topRight"/>
      <selection pane="bottomLeft"/>
      <selection pane="bottomRight" activeCell="L40" sqref="L40"/>
    </sheetView>
  </sheetViews>
  <sheetFormatPr defaultColWidth="8.88671875" defaultRowHeight="14.4"/>
  <cols>
    <col min="1" max="1" width="7.44140625" style="683" customWidth="1"/>
    <col min="2" max="2" width="41" style="683" customWidth="1"/>
    <col min="3" max="3" width="7.44140625" style="683" customWidth="1"/>
    <col min="4" max="4" width="22.5546875" style="683" customWidth="1"/>
    <col min="5" max="5" width="21.44140625" style="683" customWidth="1"/>
    <col min="6" max="6" width="20.33203125" style="683" customWidth="1"/>
    <col min="7" max="7" width="1.5546875" style="683" customWidth="1"/>
    <col min="8" max="8" width="13.109375" style="683" bestFit="1" customWidth="1"/>
    <col min="9" max="16384" width="8.88671875" style="683"/>
  </cols>
  <sheetData>
    <row r="1" spans="2:7" ht="16.95" customHeight="1"/>
    <row r="2" spans="2:7" ht="61.95" customHeight="1">
      <c r="B2" s="902">
        <f>'SF-Z-020 Zobow.z tyt.dost.i usł'!B1</f>
        <v>45930</v>
      </c>
      <c r="C2" s="684" t="s">
        <v>2886</v>
      </c>
      <c r="D2" s="901" t="s">
        <v>3411</v>
      </c>
      <c r="E2" s="901" t="s">
        <v>3410</v>
      </c>
      <c r="F2" s="901" t="s">
        <v>3409</v>
      </c>
      <c r="G2" s="900" t="s">
        <v>2886</v>
      </c>
    </row>
    <row r="3" spans="2:7" ht="16.95" customHeight="1">
      <c r="B3" s="684" t="s">
        <v>2886</v>
      </c>
      <c r="C3" s="684" t="s">
        <v>2886</v>
      </c>
      <c r="D3" s="876" t="s">
        <v>2886</v>
      </c>
      <c r="E3" s="876" t="s">
        <v>2886</v>
      </c>
      <c r="F3" s="876" t="s">
        <v>2886</v>
      </c>
      <c r="G3" s="876" t="s">
        <v>2886</v>
      </c>
    </row>
    <row r="4" spans="2:7" ht="15.6" customHeight="1">
      <c r="B4" s="886" t="s">
        <v>3408</v>
      </c>
      <c r="C4" s="876" t="s">
        <v>2886</v>
      </c>
      <c r="D4" s="885">
        <f>D6+D27</f>
        <v>2733692.5899999901</v>
      </c>
      <c r="E4" s="885">
        <f>E6+E27</f>
        <v>-975315.68999999901</v>
      </c>
      <c r="F4" s="885">
        <f>F6+F27</f>
        <v>1758376.8999999911</v>
      </c>
      <c r="G4" s="874"/>
    </row>
    <row r="5" spans="2:7" ht="15.6" customHeight="1">
      <c r="B5" s="879" t="s">
        <v>2886</v>
      </c>
      <c r="C5" s="876" t="s">
        <v>2886</v>
      </c>
      <c r="D5" s="878" t="s">
        <v>2886</v>
      </c>
      <c r="E5" s="878" t="s">
        <v>2886</v>
      </c>
      <c r="F5" s="878" t="s">
        <v>2886</v>
      </c>
      <c r="G5" s="878" t="s">
        <v>2886</v>
      </c>
    </row>
    <row r="6" spans="2:7" ht="15.6" customHeight="1">
      <c r="B6" s="899" t="s">
        <v>3407</v>
      </c>
      <c r="C6" s="876" t="s">
        <v>2886</v>
      </c>
      <c r="D6" s="892"/>
      <c r="E6" s="892"/>
      <c r="F6" s="892"/>
      <c r="G6" s="874"/>
    </row>
    <row r="7" spans="2:7" ht="15.6" customHeight="1">
      <c r="B7" s="879" t="s">
        <v>2886</v>
      </c>
      <c r="C7" s="876" t="s">
        <v>2886</v>
      </c>
      <c r="D7" s="878" t="s">
        <v>2886</v>
      </c>
      <c r="E7" s="878" t="s">
        <v>2886</v>
      </c>
      <c r="F7" s="878" t="s">
        <v>2886</v>
      </c>
      <c r="G7" s="878" t="s">
        <v>2886</v>
      </c>
    </row>
    <row r="8" spans="2:7" ht="15.6" customHeight="1">
      <c r="B8" s="898" t="s">
        <v>3406</v>
      </c>
      <c r="C8" s="876" t="s">
        <v>2886</v>
      </c>
      <c r="D8" s="897"/>
      <c r="E8" s="896"/>
      <c r="F8" s="896"/>
      <c r="G8" s="874"/>
    </row>
    <row r="9" spans="2:7" ht="15.6" customHeight="1">
      <c r="B9" s="884" t="s">
        <v>3405</v>
      </c>
      <c r="C9" s="876" t="s">
        <v>2886</v>
      </c>
      <c r="D9" s="883"/>
      <c r="E9" s="882"/>
      <c r="F9" s="882"/>
      <c r="G9" s="874"/>
    </row>
    <row r="10" spans="2:7" ht="15.6" customHeight="1">
      <c r="B10" s="884" t="s">
        <v>3404</v>
      </c>
      <c r="C10" s="876" t="s">
        <v>2886</v>
      </c>
      <c r="D10" s="883"/>
      <c r="E10" s="882"/>
      <c r="F10" s="882"/>
      <c r="G10" s="874"/>
    </row>
    <row r="11" spans="2:7" ht="15.6" customHeight="1">
      <c r="B11" s="884" t="s">
        <v>3403</v>
      </c>
      <c r="C11" s="876" t="s">
        <v>2886</v>
      </c>
      <c r="D11" s="883"/>
      <c r="E11" s="882"/>
      <c r="F11" s="882"/>
      <c r="G11" s="874"/>
    </row>
    <row r="12" spans="2:7" ht="15.6" customHeight="1">
      <c r="B12" s="884" t="s">
        <v>3402</v>
      </c>
      <c r="C12" s="876" t="s">
        <v>2886</v>
      </c>
      <c r="D12" s="883"/>
      <c r="E12" s="882"/>
      <c r="F12" s="882"/>
      <c r="G12" s="874"/>
    </row>
    <row r="13" spans="2:7" ht="15.6" customHeight="1">
      <c r="B13" s="884" t="s">
        <v>3401</v>
      </c>
      <c r="C13" s="876" t="s">
        <v>2886</v>
      </c>
      <c r="D13" s="883"/>
      <c r="E13" s="882"/>
      <c r="F13" s="882"/>
      <c r="G13" s="874"/>
    </row>
    <row r="14" spans="2:7" ht="15.6" customHeight="1">
      <c r="B14" s="879" t="s">
        <v>2886</v>
      </c>
      <c r="C14" s="876" t="s">
        <v>2886</v>
      </c>
      <c r="D14" s="878" t="s">
        <v>2886</v>
      </c>
      <c r="E14" s="878" t="s">
        <v>2886</v>
      </c>
      <c r="F14" s="878" t="s">
        <v>2886</v>
      </c>
      <c r="G14" s="878" t="s">
        <v>2886</v>
      </c>
    </row>
    <row r="15" spans="2:7" ht="15.6" customHeight="1">
      <c r="B15" s="898" t="s">
        <v>3400</v>
      </c>
      <c r="C15" s="876" t="s">
        <v>2886</v>
      </c>
      <c r="D15" s="897"/>
      <c r="E15" s="896"/>
      <c r="F15" s="896"/>
      <c r="G15" s="874"/>
    </row>
    <row r="16" spans="2:7" ht="15.6" customHeight="1">
      <c r="B16" s="884" t="s">
        <v>3399</v>
      </c>
      <c r="C16" s="876" t="s">
        <v>2886</v>
      </c>
      <c r="D16" s="883"/>
      <c r="E16" s="882"/>
      <c r="F16" s="882"/>
      <c r="G16" s="874"/>
    </row>
    <row r="17" spans="2:7" ht="15.6" customHeight="1">
      <c r="B17" s="884" t="s">
        <v>3398</v>
      </c>
      <c r="C17" s="876" t="s">
        <v>2886</v>
      </c>
      <c r="D17" s="883"/>
      <c r="E17" s="882"/>
      <c r="F17" s="882"/>
      <c r="G17" s="874"/>
    </row>
    <row r="18" spans="2:7" ht="15.6" customHeight="1">
      <c r="B18" s="884" t="s">
        <v>3397</v>
      </c>
      <c r="C18" s="876" t="s">
        <v>2886</v>
      </c>
      <c r="D18" s="883"/>
      <c r="E18" s="882"/>
      <c r="F18" s="882"/>
      <c r="G18" s="874"/>
    </row>
    <row r="19" spans="2:7" ht="15.6" customHeight="1">
      <c r="B19" s="884" t="s">
        <v>3396</v>
      </c>
      <c r="C19" s="876" t="s">
        <v>2886</v>
      </c>
      <c r="D19" s="883"/>
      <c r="E19" s="882"/>
      <c r="F19" s="882"/>
      <c r="G19" s="874"/>
    </row>
    <row r="20" spans="2:7" ht="15.6" customHeight="1">
      <c r="B20" s="879" t="s">
        <v>2886</v>
      </c>
      <c r="C20" s="876" t="s">
        <v>2886</v>
      </c>
      <c r="D20" s="878" t="s">
        <v>2886</v>
      </c>
      <c r="E20" s="878" t="s">
        <v>2886</v>
      </c>
      <c r="F20" s="878" t="s">
        <v>2886</v>
      </c>
      <c r="G20" s="878" t="s">
        <v>2886</v>
      </c>
    </row>
    <row r="21" spans="2:7" ht="15.6" customHeight="1">
      <c r="B21" s="898" t="s">
        <v>3395</v>
      </c>
      <c r="C21" s="876" t="s">
        <v>2886</v>
      </c>
      <c r="D21" s="897"/>
      <c r="E21" s="896"/>
      <c r="F21" s="896"/>
      <c r="G21" s="874"/>
    </row>
    <row r="22" spans="2:7" ht="15.6" customHeight="1">
      <c r="B22" s="884" t="s">
        <v>3394</v>
      </c>
      <c r="C22" s="876" t="s">
        <v>2886</v>
      </c>
      <c r="D22" s="883"/>
      <c r="E22" s="882"/>
      <c r="F22" s="882"/>
      <c r="G22" s="874"/>
    </row>
    <row r="23" spans="2:7" ht="15.6" customHeight="1">
      <c r="B23" s="884" t="s">
        <v>3393</v>
      </c>
      <c r="C23" s="876" t="s">
        <v>2886</v>
      </c>
      <c r="D23" s="883"/>
      <c r="E23" s="882"/>
      <c r="F23" s="882"/>
      <c r="G23" s="874"/>
    </row>
    <row r="24" spans="2:7" ht="15.6" customHeight="1">
      <c r="B24" s="884" t="s">
        <v>3392</v>
      </c>
      <c r="C24" s="876" t="s">
        <v>2886</v>
      </c>
      <c r="D24" s="883"/>
      <c r="E24" s="882"/>
      <c r="F24" s="882"/>
      <c r="G24" s="874"/>
    </row>
    <row r="25" spans="2:7" ht="15.6" customHeight="1">
      <c r="B25" s="884" t="s">
        <v>3391</v>
      </c>
      <c r="C25" s="876" t="s">
        <v>2886</v>
      </c>
      <c r="D25" s="883"/>
      <c r="E25" s="882"/>
      <c r="F25" s="882"/>
      <c r="G25" s="874"/>
    </row>
    <row r="26" spans="2:7" ht="15.6" customHeight="1">
      <c r="B26" s="879" t="s">
        <v>2886</v>
      </c>
      <c r="C26" s="876" t="s">
        <v>2886</v>
      </c>
      <c r="D26" s="878" t="s">
        <v>2886</v>
      </c>
      <c r="E26" s="878" t="s">
        <v>2886</v>
      </c>
      <c r="F26" s="878" t="s">
        <v>2886</v>
      </c>
      <c r="G26" s="878" t="s">
        <v>2886</v>
      </c>
    </row>
    <row r="27" spans="2:7" ht="15.6" customHeight="1">
      <c r="B27" s="895" t="s">
        <v>3390</v>
      </c>
      <c r="C27" s="876" t="s">
        <v>2886</v>
      </c>
      <c r="D27" s="894">
        <f>D28+D29</f>
        <v>2733692.5899999901</v>
      </c>
      <c r="E27" s="894">
        <f>E28+E29</f>
        <v>-975315.68999999901</v>
      </c>
      <c r="F27" s="894">
        <f>F28+F29</f>
        <v>1758376.8999999911</v>
      </c>
      <c r="G27" s="874"/>
    </row>
    <row r="28" spans="2:7" ht="15.6" customHeight="1">
      <c r="B28" s="884" t="s">
        <v>3389</v>
      </c>
      <c r="C28" s="876" t="s">
        <v>2886</v>
      </c>
      <c r="D28" s="883"/>
      <c r="E28" s="882"/>
      <c r="F28" s="882"/>
      <c r="G28" s="874"/>
    </row>
    <row r="29" spans="2:7" ht="15.6" customHeight="1">
      <c r="B29" s="884" t="s">
        <v>3388</v>
      </c>
      <c r="C29" s="876" t="s">
        <v>2886</v>
      </c>
      <c r="D29" s="883">
        <f>'bilans '!B108-'bilans '!B116</f>
        <v>2733692.5899999901</v>
      </c>
      <c r="E29" s="882">
        <f>'bilans '!B116</f>
        <v>-975315.68999999901</v>
      </c>
      <c r="F29" s="882">
        <f>E29+D29</f>
        <v>1758376.8999999911</v>
      </c>
      <c r="G29" s="874"/>
    </row>
    <row r="30" spans="2:7" ht="15.6" customHeight="1">
      <c r="B30" s="879" t="s">
        <v>2886</v>
      </c>
      <c r="C30" s="876" t="s">
        <v>2886</v>
      </c>
      <c r="D30" s="878" t="s">
        <v>2886</v>
      </c>
      <c r="E30" s="878" t="s">
        <v>2886</v>
      </c>
      <c r="F30" s="878" t="s">
        <v>2886</v>
      </c>
      <c r="G30" s="878" t="s">
        <v>2886</v>
      </c>
    </row>
    <row r="31" spans="2:7" ht="15.6" customHeight="1">
      <c r="B31" s="893" t="s">
        <v>3387</v>
      </c>
      <c r="C31" s="876" t="s">
        <v>2886</v>
      </c>
      <c r="D31" s="892"/>
      <c r="E31" s="892"/>
      <c r="F31" s="892"/>
      <c r="G31" s="874"/>
    </row>
    <row r="32" spans="2:7" ht="15.6" customHeight="1">
      <c r="B32" s="879" t="s">
        <v>2886</v>
      </c>
      <c r="C32" s="876" t="s">
        <v>2886</v>
      </c>
      <c r="D32" s="878" t="s">
        <v>2886</v>
      </c>
      <c r="E32" s="878" t="s">
        <v>2886</v>
      </c>
      <c r="F32" s="878" t="s">
        <v>2886</v>
      </c>
      <c r="G32" s="878" t="s">
        <v>2886</v>
      </c>
    </row>
    <row r="33" spans="2:8" ht="15.6" customHeight="1">
      <c r="B33" s="886" t="s">
        <v>3386</v>
      </c>
      <c r="C33" s="876" t="s">
        <v>2886</v>
      </c>
      <c r="D33" s="885"/>
      <c r="E33" s="885"/>
      <c r="F33" s="885"/>
      <c r="G33" s="874"/>
    </row>
    <row r="34" spans="2:8" ht="15.6" customHeight="1">
      <c r="B34" s="891" t="s">
        <v>3385</v>
      </c>
      <c r="C34" s="876" t="s">
        <v>2886</v>
      </c>
      <c r="D34" s="890">
        <f>'bilans '!B120</f>
        <v>6082157.79</v>
      </c>
      <c r="E34" s="890"/>
      <c r="F34" s="890">
        <f>E34+D34</f>
        <v>6082157.79</v>
      </c>
      <c r="G34" s="874"/>
    </row>
    <row r="35" spans="2:8" ht="15.6" customHeight="1">
      <c r="B35" s="879" t="s">
        <v>2886</v>
      </c>
      <c r="C35" s="876" t="s">
        <v>2886</v>
      </c>
      <c r="D35" s="878" t="s">
        <v>2886</v>
      </c>
      <c r="E35" s="878" t="s">
        <v>2886</v>
      </c>
      <c r="F35" s="878" t="s">
        <v>2886</v>
      </c>
      <c r="G35" s="878" t="s">
        <v>2886</v>
      </c>
    </row>
    <row r="36" spans="2:8" ht="15.6" customHeight="1">
      <c r="B36" s="889" t="s">
        <v>3384</v>
      </c>
      <c r="C36" s="876" t="s">
        <v>2886</v>
      </c>
      <c r="D36" s="888"/>
      <c r="E36" s="887"/>
      <c r="F36" s="887"/>
      <c r="G36" s="874"/>
    </row>
    <row r="37" spans="2:8" ht="15.6" customHeight="1">
      <c r="B37" s="884" t="s">
        <v>2886</v>
      </c>
      <c r="C37" s="876" t="s">
        <v>2886</v>
      </c>
      <c r="D37" s="883"/>
      <c r="E37" s="882"/>
      <c r="F37" s="882"/>
      <c r="G37" s="874"/>
    </row>
    <row r="38" spans="2:8" ht="15.6" customHeight="1">
      <c r="B38" s="879" t="s">
        <v>2886</v>
      </c>
      <c r="C38" s="876" t="s">
        <v>2886</v>
      </c>
      <c r="D38" s="878" t="s">
        <v>2886</v>
      </c>
      <c r="E38" s="878" t="s">
        <v>2886</v>
      </c>
      <c r="F38" s="878" t="s">
        <v>2886</v>
      </c>
      <c r="G38" s="878" t="s">
        <v>2886</v>
      </c>
    </row>
    <row r="39" spans="2:8" ht="15.6" customHeight="1">
      <c r="B39" s="886" t="s">
        <v>3383</v>
      </c>
      <c r="C39" s="876" t="s">
        <v>2886</v>
      </c>
      <c r="D39" s="885"/>
      <c r="E39" s="885"/>
      <c r="F39" s="885"/>
      <c r="G39" s="874"/>
    </row>
    <row r="40" spans="2:8" ht="15.6" customHeight="1">
      <c r="B40" s="884" t="s">
        <v>2886</v>
      </c>
      <c r="C40" s="876" t="s">
        <v>2886</v>
      </c>
      <c r="D40" s="883"/>
      <c r="E40" s="882"/>
      <c r="F40" s="882"/>
      <c r="G40" s="874"/>
    </row>
    <row r="41" spans="2:8" ht="15.6" customHeight="1">
      <c r="B41" s="879" t="s">
        <v>2886</v>
      </c>
      <c r="C41" s="876" t="s">
        <v>2886</v>
      </c>
      <c r="D41" s="878" t="s">
        <v>2886</v>
      </c>
      <c r="E41" s="878" t="s">
        <v>2886</v>
      </c>
      <c r="F41" s="878" t="s">
        <v>2886</v>
      </c>
      <c r="G41" s="878" t="s">
        <v>2886</v>
      </c>
    </row>
    <row r="42" spans="2:8" ht="15.6" customHeight="1">
      <c r="B42" s="881" t="s">
        <v>3382</v>
      </c>
      <c r="C42" s="876" t="s">
        <v>2886</v>
      </c>
      <c r="D42" s="880">
        <f>D39+D34+D4</f>
        <v>8815850.3799999896</v>
      </c>
      <c r="E42" s="880">
        <f>E39+E34+E4</f>
        <v>-975315.68999999901</v>
      </c>
      <c r="F42" s="880">
        <f>F39+F34+F4</f>
        <v>7840534.6899999911</v>
      </c>
      <c r="G42" s="874"/>
      <c r="H42" s="903">
        <f>F42-'bilans '!B107</f>
        <v>0</v>
      </c>
    </row>
    <row r="43" spans="2:8" ht="16.05" customHeight="1">
      <c r="B43" s="879" t="s">
        <v>2886</v>
      </c>
      <c r="C43" s="876" t="s">
        <v>2886</v>
      </c>
      <c r="D43" s="878" t="s">
        <v>2886</v>
      </c>
      <c r="E43" s="878" t="s">
        <v>2886</v>
      </c>
      <c r="F43" s="878" t="s">
        <v>2886</v>
      </c>
      <c r="G43" s="878" t="s">
        <v>2886</v>
      </c>
    </row>
    <row r="44" spans="2:8" ht="16.05" customHeight="1">
      <c r="B44" s="877" t="s">
        <v>2886</v>
      </c>
      <c r="C44" s="876" t="s">
        <v>2886</v>
      </c>
      <c r="D44" s="875"/>
      <c r="E44" s="875"/>
      <c r="F44" s="875"/>
      <c r="G44" s="874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>
      <pane xSplit="2" ySplit="1" topLeftCell="C20" activePane="bottomRight" state="frozen"/>
      <selection pane="topRight" activeCell="C1" sqref="C1"/>
      <selection pane="bottomLeft" activeCell="A2" sqref="A2"/>
      <selection pane="bottomRight" activeCell="G23" sqref="G23"/>
    </sheetView>
  </sheetViews>
  <sheetFormatPr defaultColWidth="8.88671875" defaultRowHeight="14.4"/>
  <cols>
    <col min="1" max="1" width="69.33203125" style="392" customWidth="1"/>
    <col min="2" max="3" width="12.33203125" style="392" customWidth="1"/>
    <col min="4" max="4" width="18.5546875" style="392" customWidth="1"/>
    <col min="5" max="5" width="20.77734375" style="388" customWidth="1"/>
    <col min="6" max="6" width="18" style="388" customWidth="1"/>
    <col min="7" max="7" width="12.33203125" style="392" bestFit="1" customWidth="1"/>
    <col min="8" max="16384" width="8.88671875" style="392"/>
  </cols>
  <sheetData>
    <row r="1" spans="1:7" ht="15.6">
      <c r="A1" s="387" t="s">
        <v>2333</v>
      </c>
      <c r="B1" s="440">
        <f>'SF-Z-020 Zobow.z tyt.dost.i usł'!B1</f>
        <v>45930</v>
      </c>
      <c r="C1" s="425" t="s">
        <v>4053</v>
      </c>
      <c r="D1" s="393" t="s">
        <v>2196</v>
      </c>
      <c r="E1" s="394" t="s">
        <v>2302</v>
      </c>
      <c r="F1" s="394" t="s">
        <v>1501</v>
      </c>
    </row>
    <row r="2" spans="1:7">
      <c r="A2" s="395" t="s">
        <v>2123</v>
      </c>
      <c r="B2" s="395"/>
      <c r="C2" s="395"/>
      <c r="D2" s="395"/>
      <c r="E2" s="396"/>
      <c r="F2" s="396">
        <f t="shared" ref="F2:F24" si="0">E2+D2</f>
        <v>0</v>
      </c>
    </row>
    <row r="3" spans="1:7">
      <c r="A3" s="395" t="s">
        <v>2303</v>
      </c>
      <c r="B3" s="395"/>
      <c r="C3" s="395"/>
      <c r="D3" s="395"/>
      <c r="E3" s="396"/>
      <c r="F3" s="396">
        <f t="shared" si="0"/>
        <v>0</v>
      </c>
    </row>
    <row r="4" spans="1:7">
      <c r="A4" s="395" t="s">
        <v>2304</v>
      </c>
      <c r="B4" s="395"/>
      <c r="C4" s="395"/>
      <c r="D4" s="395"/>
      <c r="E4" s="397">
        <f>-'bilans '!B518-'bilans '!B515</f>
        <v>499012.62000000011</v>
      </c>
      <c r="F4" s="396">
        <f t="shared" si="0"/>
        <v>499012.62000000011</v>
      </c>
    </row>
    <row r="5" spans="1:7">
      <c r="A5" s="395" t="s">
        <v>2305</v>
      </c>
      <c r="B5" s="395"/>
      <c r="C5" s="395"/>
      <c r="D5" s="395"/>
      <c r="E5" s="396"/>
      <c r="F5" s="396">
        <f t="shared" si="0"/>
        <v>0</v>
      </c>
    </row>
    <row r="6" spans="1:7">
      <c r="A6" s="395" t="s">
        <v>2306</v>
      </c>
      <c r="B6" s="395"/>
      <c r="C6" s="395"/>
      <c r="D6" s="395"/>
      <c r="E6" s="397">
        <f>-'bilans '!B525</f>
        <v>3962296.8399999901</v>
      </c>
      <c r="F6" s="396">
        <f t="shared" si="0"/>
        <v>3962296.8399999901</v>
      </c>
    </row>
    <row r="7" spans="1:7">
      <c r="A7" s="395" t="s">
        <v>2307</v>
      </c>
      <c r="B7" s="395"/>
      <c r="C7" s="395"/>
      <c r="D7" s="395"/>
      <c r="E7" s="397">
        <f>-'bilans '!B527</f>
        <v>1081792</v>
      </c>
      <c r="F7" s="396">
        <f t="shared" si="0"/>
        <v>1081792</v>
      </c>
    </row>
    <row r="8" spans="1:7">
      <c r="A8" s="395" t="s">
        <v>2308</v>
      </c>
      <c r="B8" s="395"/>
      <c r="C8" s="395"/>
      <c r="D8" s="395"/>
      <c r="E8" s="396">
        <f>-'bilans '!B529</f>
        <v>0</v>
      </c>
      <c r="F8" s="396">
        <f t="shared" si="0"/>
        <v>0</v>
      </c>
    </row>
    <row r="9" spans="1:7">
      <c r="A9" s="395" t="s">
        <v>2309</v>
      </c>
      <c r="B9" s="395"/>
      <c r="C9" s="395"/>
      <c r="D9" s="395"/>
      <c r="E9" s="396"/>
      <c r="F9" s="396">
        <f t="shared" si="0"/>
        <v>0</v>
      </c>
    </row>
    <row r="10" spans="1:7">
      <c r="A10" s="395" t="s">
        <v>2310</v>
      </c>
      <c r="B10" s="395"/>
      <c r="C10" s="395"/>
      <c r="D10" s="395"/>
      <c r="E10" s="397">
        <f>-'bilans '!B534</f>
        <v>3672833.4999999902</v>
      </c>
      <c r="F10" s="396">
        <f t="shared" si="0"/>
        <v>3672833.4999999902</v>
      </c>
    </row>
    <row r="11" spans="1:7">
      <c r="A11" s="395" t="s">
        <v>2311</v>
      </c>
      <c r="B11" s="395"/>
      <c r="C11" s="395"/>
      <c r="D11" s="395"/>
      <c r="E11" s="397">
        <f>-'bilans '!B541-'bilans '!B542</f>
        <v>3197833.3199999901</v>
      </c>
      <c r="F11" s="396">
        <f t="shared" si="0"/>
        <v>3197833.3199999901</v>
      </c>
      <c r="G11" s="388"/>
    </row>
    <row r="12" spans="1:7">
      <c r="A12" s="395" t="s">
        <v>2312</v>
      </c>
      <c r="B12" s="395"/>
      <c r="C12" s="395"/>
      <c r="D12" s="395"/>
      <c r="E12" s="397">
        <f>-'bilans '!B549</f>
        <v>2260302.8399999901</v>
      </c>
      <c r="F12" s="396">
        <f t="shared" si="0"/>
        <v>2260302.8399999901</v>
      </c>
    </row>
    <row r="13" spans="1:7">
      <c r="A13" s="395" t="s">
        <v>2313</v>
      </c>
      <c r="B13" s="395"/>
      <c r="C13" s="395"/>
      <c r="D13" s="395"/>
      <c r="E13" s="397">
        <f>-'bilans '!B546</f>
        <v>0</v>
      </c>
      <c r="F13" s="396">
        <f t="shared" si="0"/>
        <v>0</v>
      </c>
    </row>
    <row r="14" spans="1:7">
      <c r="A14" s="395" t="s">
        <v>2314</v>
      </c>
      <c r="B14" s="395"/>
      <c r="C14" s="395"/>
      <c r="D14" s="395"/>
      <c r="E14" s="396"/>
      <c r="F14" s="396">
        <f t="shared" si="0"/>
        <v>0</v>
      </c>
    </row>
    <row r="15" spans="1:7">
      <c r="A15" s="395" t="s">
        <v>2315</v>
      </c>
      <c r="B15" s="395"/>
      <c r="C15" s="395"/>
      <c r="D15" s="395"/>
      <c r="E15" s="396">
        <f>-'bilans '!B544</f>
        <v>0</v>
      </c>
      <c r="F15" s="396">
        <f t="shared" si="0"/>
        <v>0</v>
      </c>
    </row>
    <row r="16" spans="1:7">
      <c r="A16" s="859" t="s">
        <v>2316</v>
      </c>
      <c r="B16" s="395"/>
      <c r="C16" s="395"/>
      <c r="D16" s="395"/>
      <c r="E16" s="396">
        <f>-'bilans '!B547-'bilans '!B543</f>
        <v>0</v>
      </c>
      <c r="F16" s="396">
        <f t="shared" si="0"/>
        <v>0</v>
      </c>
      <c r="G16" s="392" t="s">
        <v>3720</v>
      </c>
    </row>
    <row r="17" spans="1:7">
      <c r="A17" s="395" t="s">
        <v>2317</v>
      </c>
      <c r="B17" s="395"/>
      <c r="C17" s="395"/>
      <c r="D17" s="395"/>
      <c r="E17" s="397">
        <f>-'bilans '!B550</f>
        <v>81024</v>
      </c>
      <c r="F17" s="396">
        <f t="shared" si="0"/>
        <v>81024</v>
      </c>
    </row>
    <row r="18" spans="1:7">
      <c r="A18" s="395" t="s">
        <v>2318</v>
      </c>
      <c r="B18" s="395"/>
      <c r="C18" s="395"/>
      <c r="D18" s="395"/>
      <c r="E18" s="397">
        <f>-'bilans '!B569-'bilans '!B570</f>
        <v>246526</v>
      </c>
      <c r="F18" s="396">
        <f t="shared" si="0"/>
        <v>246526</v>
      </c>
      <c r="G18" s="441"/>
    </row>
    <row r="19" spans="1:7">
      <c r="A19" s="395" t="s">
        <v>2319</v>
      </c>
      <c r="B19" s="395"/>
      <c r="C19" s="395"/>
      <c r="D19" s="395"/>
      <c r="E19" s="396"/>
      <c r="F19" s="396">
        <f t="shared" si="0"/>
        <v>0</v>
      </c>
    </row>
    <row r="20" spans="1:7">
      <c r="A20" s="395" t="s">
        <v>2320</v>
      </c>
      <c r="B20" s="395"/>
      <c r="C20" s="395"/>
      <c r="D20" s="395"/>
      <c r="E20" s="396"/>
      <c r="F20" s="396">
        <f t="shared" si="0"/>
        <v>0</v>
      </c>
    </row>
    <row r="21" spans="1:7">
      <c r="A21" s="859" t="s">
        <v>2321</v>
      </c>
      <c r="B21" s="395"/>
      <c r="C21" s="396"/>
      <c r="D21" s="395"/>
      <c r="E21" s="396">
        <f>-'bilans '!B555</f>
        <v>0</v>
      </c>
      <c r="F21" s="396">
        <f t="shared" si="0"/>
        <v>0</v>
      </c>
    </row>
    <row r="22" spans="1:7">
      <c r="A22" s="395" t="s">
        <v>2322</v>
      </c>
      <c r="B22" s="395"/>
      <c r="C22" s="395"/>
      <c r="D22" s="395"/>
      <c r="E22" s="397">
        <f>-'bilans '!B560</f>
        <v>0</v>
      </c>
      <c r="F22" s="396">
        <f t="shared" si="0"/>
        <v>0</v>
      </c>
      <c r="G22" s="388"/>
    </row>
    <row r="23" spans="1:7">
      <c r="A23" s="395" t="s">
        <v>2323</v>
      </c>
      <c r="B23" s="395"/>
      <c r="C23" s="395"/>
      <c r="D23" s="395"/>
      <c r="E23" s="396"/>
      <c r="F23" s="396">
        <f t="shared" si="0"/>
        <v>0</v>
      </c>
    </row>
    <row r="24" spans="1:7">
      <c r="A24" s="395" t="s">
        <v>2324</v>
      </c>
      <c r="B24" s="395"/>
      <c r="C24" s="395"/>
      <c r="D24" s="395"/>
      <c r="E24" s="396"/>
      <c r="F24" s="396">
        <f t="shared" si="0"/>
        <v>0</v>
      </c>
    </row>
    <row r="25" spans="1:7">
      <c r="A25" s="395" t="s">
        <v>2325</v>
      </c>
      <c r="B25" s="395"/>
      <c r="C25" s="395"/>
      <c r="D25" s="395"/>
      <c r="E25" s="397">
        <f>-'bilans '!B531-'bilans '!B574-'bilans '!B561-'bilans '!B567-'bilans '!B575-'bilans '!B578</f>
        <v>197307.94</v>
      </c>
      <c r="F25" s="396">
        <f>E25+D25</f>
        <v>197307.94</v>
      </c>
      <c r="G25" s="388"/>
    </row>
    <row r="26" spans="1:7">
      <c r="A26" s="392" t="s">
        <v>923</v>
      </c>
    </row>
    <row r="27" spans="1:7">
      <c r="A27" s="395" t="s">
        <v>2326</v>
      </c>
      <c r="B27" s="395"/>
      <c r="C27" s="395"/>
      <c r="D27" s="398"/>
      <c r="E27" s="399">
        <f>SUM(E2:E25)</f>
        <v>15198929.059999961</v>
      </c>
      <c r="F27" s="399">
        <f>SUM(F2:F25)</f>
        <v>15198929.059999961</v>
      </c>
      <c r="G27" s="380">
        <f>F27+'bilans '!B513</f>
        <v>0</v>
      </c>
    </row>
    <row r="28" spans="1:7">
      <c r="A28" s="392" t="s">
        <v>923</v>
      </c>
    </row>
    <row r="29" spans="1:7">
      <c r="A29" s="395" t="s">
        <v>2122</v>
      </c>
      <c r="B29" s="395"/>
      <c r="C29" s="395"/>
      <c r="D29" s="395"/>
      <c r="E29" s="396"/>
      <c r="F29" s="396"/>
    </row>
    <row r="30" spans="1:7">
      <c r="A30" s="395" t="s">
        <v>2327</v>
      </c>
      <c r="B30" s="395"/>
      <c r="C30" s="395"/>
      <c r="D30" s="395"/>
      <c r="E30" s="396"/>
      <c r="F30" s="396"/>
    </row>
    <row r="31" spans="1:7">
      <c r="A31" s="395" t="s">
        <v>2328</v>
      </c>
      <c r="B31" s="395"/>
      <c r="C31" s="395"/>
      <c r="D31" s="395"/>
      <c r="E31" s="396"/>
      <c r="F31" s="396"/>
    </row>
    <row r="32" spans="1:7">
      <c r="A32" s="395" t="s">
        <v>2329</v>
      </c>
      <c r="B32" s="395"/>
      <c r="C32" s="395"/>
      <c r="D32" s="395"/>
      <c r="E32" s="396"/>
      <c r="F32" s="396"/>
    </row>
    <row r="33" spans="1:7">
      <c r="A33" s="395" t="s">
        <v>2330</v>
      </c>
      <c r="B33" s="395"/>
      <c r="C33" s="395"/>
      <c r="D33" s="395"/>
      <c r="E33" s="396"/>
      <c r="F33" s="396"/>
    </row>
    <row r="34" spans="1:7">
      <c r="A34" s="395" t="s">
        <v>2331</v>
      </c>
      <c r="B34" s="395"/>
      <c r="C34" s="395"/>
      <c r="D34" s="395"/>
      <c r="E34" s="396"/>
      <c r="F34" s="396"/>
    </row>
    <row r="35" spans="1:7">
      <c r="A35" s="395" t="s">
        <v>2332</v>
      </c>
      <c r="B35" s="395"/>
      <c r="C35" s="395"/>
      <c r="D35" s="395"/>
      <c r="E35" s="396"/>
      <c r="F35" s="396"/>
    </row>
    <row r="36" spans="1:7">
      <c r="A36" s="392" t="s">
        <v>923</v>
      </c>
    </row>
    <row r="37" spans="1:7">
      <c r="A37" s="392" t="s">
        <v>923</v>
      </c>
    </row>
    <row r="38" spans="1:7">
      <c r="A38" s="392" t="s">
        <v>2123</v>
      </c>
      <c r="G38" s="392" t="s">
        <v>1510</v>
      </c>
    </row>
    <row r="39" spans="1:7">
      <c r="A39" s="395" t="s">
        <v>2470</v>
      </c>
      <c r="B39" s="395"/>
      <c r="C39" s="395"/>
      <c r="D39" s="395"/>
      <c r="E39" s="397">
        <f>-'bilans '!B574-'bilans '!B575</f>
        <v>185855.54</v>
      </c>
      <c r="F39" s="397">
        <f>E39+D39</f>
        <v>185855.54</v>
      </c>
      <c r="G39" s="407" t="s">
        <v>226</v>
      </c>
    </row>
    <row r="40" spans="1:7">
      <c r="A40" s="395" t="s">
        <v>980</v>
      </c>
      <c r="B40" s="395"/>
      <c r="C40" s="395"/>
      <c r="D40" s="395"/>
      <c r="E40" s="397">
        <f>E25-E39</f>
        <v>11452.399999999994</v>
      </c>
      <c r="F40" s="397">
        <f>E40</f>
        <v>11452.399999999994</v>
      </c>
      <c r="G40" s="407"/>
    </row>
    <row r="41" spans="1:7">
      <c r="A41" s="392" t="s">
        <v>923</v>
      </c>
      <c r="E41" s="388">
        <f>E39-E25+E40</f>
        <v>0</v>
      </c>
      <c r="F41" s="388">
        <f>F39-F25+F40</f>
        <v>0</v>
      </c>
    </row>
    <row r="42" spans="1:7">
      <c r="A42" s="392" t="s">
        <v>923</v>
      </c>
    </row>
    <row r="43" spans="1:7">
      <c r="A43" s="392" t="s">
        <v>2122</v>
      </c>
    </row>
    <row r="44" spans="1:7">
      <c r="A44" s="395" t="s">
        <v>923</v>
      </c>
      <c r="B44" s="395"/>
      <c r="C44" s="395"/>
      <c r="D44" s="395"/>
      <c r="E44" s="396"/>
      <c r="F44" s="396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workbookViewId="0">
      <selection activeCell="D16" sqref="D16"/>
    </sheetView>
  </sheetViews>
  <sheetFormatPr defaultRowHeight="14.4"/>
  <cols>
    <col min="1" max="1" width="75.5546875" customWidth="1"/>
    <col min="2" max="2" width="10.5546875" customWidth="1"/>
    <col min="3" max="3" width="19.33203125" style="1" customWidth="1"/>
    <col min="4" max="4" width="22.6640625" style="1" customWidth="1"/>
    <col min="5" max="5" width="16.6640625" style="1" customWidth="1"/>
    <col min="6" max="6" width="11.33203125" style="1" bestFit="1" customWidth="1"/>
  </cols>
  <sheetData>
    <row r="1" spans="1:6" ht="15.6">
      <c r="A1" s="352" t="s">
        <v>2456</v>
      </c>
    </row>
    <row r="2" spans="1:6">
      <c r="A2" s="421" t="s">
        <v>2457</v>
      </c>
      <c r="B2" s="427">
        <f>'CF dział.operac.'!B2</f>
        <v>45930</v>
      </c>
      <c r="C2" s="1" t="s">
        <v>2240</v>
      </c>
      <c r="D2" s="1" t="s">
        <v>2242</v>
      </c>
      <c r="E2" s="1" t="s">
        <v>2302</v>
      </c>
      <c r="F2" s="1" t="s">
        <v>2418</v>
      </c>
    </row>
    <row r="3" spans="1:6">
      <c r="C3" s="1" t="s">
        <v>923</v>
      </c>
      <c r="D3" s="1" t="s">
        <v>923</v>
      </c>
      <c r="E3" s="1" t="s">
        <v>923</v>
      </c>
      <c r="F3" s="1" t="s">
        <v>923</v>
      </c>
    </row>
    <row r="4" spans="1:6">
      <c r="A4" t="s">
        <v>2419</v>
      </c>
      <c r="B4" t="s">
        <v>923</v>
      </c>
    </row>
    <row r="5" spans="1:6">
      <c r="A5" t="s">
        <v>2420</v>
      </c>
      <c r="B5" t="s">
        <v>923</v>
      </c>
      <c r="E5" s="130">
        <f>'FC Spr.z przepł.pien.'!B24</f>
        <v>-710258.26999999897</v>
      </c>
      <c r="F5" s="130">
        <v>-519371.63</v>
      </c>
    </row>
    <row r="6" spans="1:6">
      <c r="A6" t="s">
        <v>2421</v>
      </c>
      <c r="B6" t="s">
        <v>923</v>
      </c>
    </row>
    <row r="7" spans="1:6">
      <c r="A7" t="s">
        <v>2422</v>
      </c>
      <c r="B7" t="s">
        <v>923</v>
      </c>
    </row>
    <row r="8" spans="1:6">
      <c r="A8" t="s">
        <v>2423</v>
      </c>
      <c r="B8" t="s">
        <v>923</v>
      </c>
    </row>
    <row r="9" spans="1:6">
      <c r="A9" t="s">
        <v>2424</v>
      </c>
      <c r="B9" t="s">
        <v>923</v>
      </c>
    </row>
    <row r="10" spans="1:6">
      <c r="A10" t="s">
        <v>2425</v>
      </c>
      <c r="B10" t="s">
        <v>923</v>
      </c>
    </row>
    <row r="11" spans="1:6">
      <c r="A11" t="s">
        <v>2426</v>
      </c>
      <c r="B11" t="s">
        <v>923</v>
      </c>
    </row>
    <row r="12" spans="1:6">
      <c r="A12" t="s">
        <v>2427</v>
      </c>
      <c r="B12" t="s">
        <v>923</v>
      </c>
    </row>
    <row r="13" spans="1:6">
      <c r="A13" t="s">
        <v>2428</v>
      </c>
      <c r="B13" t="s">
        <v>923</v>
      </c>
    </row>
    <row r="14" spans="1:6">
      <c r="A14" t="s">
        <v>2429</v>
      </c>
      <c r="B14" t="s">
        <v>923</v>
      </c>
    </row>
    <row r="15" spans="1:6">
      <c r="A15" t="s">
        <v>2430</v>
      </c>
      <c r="B15" t="s">
        <v>923</v>
      </c>
    </row>
    <row r="16" spans="1:6">
      <c r="A16" t="s">
        <v>2431</v>
      </c>
      <c r="B16" t="s">
        <v>923</v>
      </c>
    </row>
    <row r="17" spans="1:6">
      <c r="A17" t="s">
        <v>2432</v>
      </c>
      <c r="B17" t="s">
        <v>923</v>
      </c>
    </row>
    <row r="18" spans="1:6">
      <c r="A18" t="s">
        <v>2433</v>
      </c>
      <c r="B18" t="s">
        <v>923</v>
      </c>
    </row>
    <row r="19" spans="1:6">
      <c r="A19" t="s">
        <v>2434</v>
      </c>
      <c r="B19" t="s">
        <v>923</v>
      </c>
    </row>
    <row r="20" spans="1:6">
      <c r="A20" t="s">
        <v>2435</v>
      </c>
      <c r="B20" t="s">
        <v>923</v>
      </c>
    </row>
    <row r="21" spans="1:6">
      <c r="A21" t="s">
        <v>2436</v>
      </c>
      <c r="B21" t="s">
        <v>923</v>
      </c>
      <c r="D21" s="1">
        <f>'FC Spr.z przepł.pien.'!B40</f>
        <v>117266.21999999999</v>
      </c>
      <c r="F21" s="1">
        <v>15.85</v>
      </c>
    </row>
    <row r="22" spans="1:6">
      <c r="A22" t="s">
        <v>2437</v>
      </c>
      <c r="B22" t="s">
        <v>923</v>
      </c>
    </row>
    <row r="23" spans="1:6">
      <c r="A23" t="s">
        <v>2438</v>
      </c>
      <c r="B23" t="s">
        <v>923</v>
      </c>
    </row>
    <row r="24" spans="1:6">
      <c r="A24" t="s">
        <v>2439</v>
      </c>
      <c r="B24" t="s">
        <v>923</v>
      </c>
    </row>
    <row r="25" spans="1:6">
      <c r="A25" t="s">
        <v>2440</v>
      </c>
      <c r="B25" t="s">
        <v>923</v>
      </c>
    </row>
    <row r="26" spans="1:6">
      <c r="A26" t="s">
        <v>923</v>
      </c>
      <c r="B26" t="s">
        <v>923</v>
      </c>
    </row>
    <row r="27" spans="1:6">
      <c r="A27" t="s">
        <v>2441</v>
      </c>
      <c r="B27" t="s">
        <v>923</v>
      </c>
    </row>
    <row r="28" spans="1:6">
      <c r="A28" t="s">
        <v>2442</v>
      </c>
      <c r="B28" t="s">
        <v>923</v>
      </c>
      <c r="C28" s="130">
        <v>-11124.99</v>
      </c>
      <c r="E28" s="130">
        <v>-89672.07</v>
      </c>
      <c r="F28" s="130">
        <v>-100797.06</v>
      </c>
    </row>
    <row r="29" spans="1:6">
      <c r="A29" t="s">
        <v>2443</v>
      </c>
      <c r="B29" t="s">
        <v>923</v>
      </c>
    </row>
    <row r="30" spans="1:6">
      <c r="A30" t="s">
        <v>2444</v>
      </c>
      <c r="B30" t="s">
        <v>923</v>
      </c>
    </row>
    <row r="31" spans="1:6">
      <c r="A31" t="s">
        <v>2445</v>
      </c>
      <c r="B31" t="s">
        <v>923</v>
      </c>
    </row>
    <row r="32" spans="1:6">
      <c r="A32" t="s">
        <v>2446</v>
      </c>
      <c r="B32" t="s">
        <v>923</v>
      </c>
    </row>
    <row r="33" spans="1:6">
      <c r="A33" t="s">
        <v>2447</v>
      </c>
      <c r="B33" t="s">
        <v>923</v>
      </c>
    </row>
    <row r="34" spans="1:6">
      <c r="A34" t="s">
        <v>2448</v>
      </c>
      <c r="B34" t="s">
        <v>923</v>
      </c>
    </row>
    <row r="35" spans="1:6">
      <c r="A35" t="s">
        <v>2449</v>
      </c>
      <c r="B35" t="s">
        <v>923</v>
      </c>
      <c r="C35" s="1">
        <v>-778.04</v>
      </c>
      <c r="E35" s="1">
        <v>-81869.440000000002</v>
      </c>
      <c r="F35" s="1">
        <v>-82647.48</v>
      </c>
    </row>
    <row r="36" spans="1:6">
      <c r="A36" t="s">
        <v>2450</v>
      </c>
      <c r="B36" t="s">
        <v>923</v>
      </c>
    </row>
    <row r="37" spans="1:6">
      <c r="A37" t="s">
        <v>2451</v>
      </c>
      <c r="B37" t="s">
        <v>923</v>
      </c>
    </row>
    <row r="38" spans="1:6">
      <c r="A38" t="s">
        <v>2452</v>
      </c>
      <c r="B38" t="s">
        <v>923</v>
      </c>
      <c r="D38" s="1">
        <v>3751397.94</v>
      </c>
      <c r="F38" s="1">
        <v>3751397.94</v>
      </c>
    </row>
    <row r="39" spans="1:6">
      <c r="A39" t="s">
        <v>2453</v>
      </c>
      <c r="B39" t="s">
        <v>923</v>
      </c>
      <c r="D39" s="1">
        <v>-92476.69</v>
      </c>
      <c r="F39" s="1">
        <v>-92476.69</v>
      </c>
    </row>
    <row r="40" spans="1:6">
      <c r="A40" t="s">
        <v>2454</v>
      </c>
      <c r="B40" t="s">
        <v>923</v>
      </c>
    </row>
    <row r="41" spans="1:6">
      <c r="A41" t="s">
        <v>2455</v>
      </c>
      <c r="B41" t="s">
        <v>923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29"/>
  <sheetViews>
    <sheetView workbookViewId="0">
      <selection activeCell="E19" sqref="E19"/>
    </sheetView>
  </sheetViews>
  <sheetFormatPr defaultRowHeight="14.4"/>
  <cols>
    <col min="1" max="1" width="77.21875" customWidth="1"/>
    <col min="2" max="2" width="11.88671875" customWidth="1"/>
    <col min="3" max="3" width="16" style="1" customWidth="1"/>
    <col min="5" max="5" width="18.77734375" customWidth="1"/>
    <col min="6" max="6" width="14.21875" customWidth="1"/>
    <col min="7" max="7" width="12.21875" customWidth="1"/>
  </cols>
  <sheetData>
    <row r="1" spans="1:8" ht="18">
      <c r="A1" s="353" t="s">
        <v>2380</v>
      </c>
      <c r="B1" s="369">
        <f>'SF-A-150 Pozostałe aktywa krótk'!C1</f>
        <v>45930</v>
      </c>
      <c r="C1" s="1" t="s">
        <v>2361</v>
      </c>
    </row>
    <row r="2" spans="1:8">
      <c r="A2" s="408" t="s">
        <v>2381</v>
      </c>
      <c r="C2" s="1" t="s">
        <v>923</v>
      </c>
    </row>
    <row r="3" spans="1:8">
      <c r="A3" t="s">
        <v>2362</v>
      </c>
      <c r="B3" t="s">
        <v>923</v>
      </c>
      <c r="E3" t="s">
        <v>2249</v>
      </c>
      <c r="F3" s="409"/>
      <c r="G3" s="409"/>
      <c r="H3" s="409"/>
    </row>
    <row r="4" spans="1:8">
      <c r="A4" t="s">
        <v>2363</v>
      </c>
      <c r="B4" t="s">
        <v>923</v>
      </c>
      <c r="C4" s="130">
        <f>D4</f>
        <v>275622.679999999</v>
      </c>
      <c r="D4" s="210">
        <f>(IFERROR(VLOOKUP(E4,obrotówka!$A$3:$J$1600,3,0),0))</f>
        <v>275622.679999999</v>
      </c>
      <c r="E4" s="217" t="s">
        <v>56</v>
      </c>
      <c r="F4" s="410"/>
      <c r="G4" s="220"/>
      <c r="H4" s="409"/>
    </row>
    <row r="5" spans="1:8">
      <c r="A5" t="s">
        <v>1943</v>
      </c>
      <c r="B5" t="s">
        <v>923</v>
      </c>
      <c r="C5" s="1">
        <f>C4</f>
        <v>275622.679999999</v>
      </c>
      <c r="F5" s="409"/>
      <c r="G5" s="409"/>
      <c r="H5" s="409"/>
    </row>
    <row r="6" spans="1:8">
      <c r="A6" t="s">
        <v>923</v>
      </c>
      <c r="B6" t="s">
        <v>923</v>
      </c>
      <c r="F6" s="409"/>
      <c r="G6" s="409"/>
      <c r="H6" s="409"/>
    </row>
    <row r="7" spans="1:8">
      <c r="A7" t="s">
        <v>2364</v>
      </c>
      <c r="B7" t="s">
        <v>923</v>
      </c>
      <c r="C7" s="1">
        <f>C8+C12+C14</f>
        <v>820787.19999999902</v>
      </c>
      <c r="F7" s="409"/>
      <c r="G7" s="409"/>
      <c r="H7" s="409"/>
    </row>
    <row r="8" spans="1:8">
      <c r="A8" t="s">
        <v>2365</v>
      </c>
      <c r="B8" t="s">
        <v>923</v>
      </c>
      <c r="C8" s="130">
        <f>D8</f>
        <v>820787.19999999902</v>
      </c>
      <c r="D8" s="210">
        <f>-(IFERROR(VLOOKUP(E8,obrotówka!$A$3:$J$1600,10,0),0))</f>
        <v>820787.19999999902</v>
      </c>
      <c r="E8" s="217" t="s">
        <v>66</v>
      </c>
      <c r="F8" s="409"/>
      <c r="G8" s="409"/>
      <c r="H8" s="409"/>
    </row>
    <row r="9" spans="1:8">
      <c r="A9" t="s">
        <v>923</v>
      </c>
      <c r="B9" t="s">
        <v>923</v>
      </c>
      <c r="F9" s="409"/>
      <c r="G9" s="409"/>
      <c r="H9" s="409"/>
    </row>
    <row r="10" spans="1:8">
      <c r="A10" t="s">
        <v>2366</v>
      </c>
      <c r="B10" t="s">
        <v>923</v>
      </c>
      <c r="F10" s="409"/>
      <c r="G10" s="409"/>
      <c r="H10" s="409"/>
    </row>
    <row r="11" spans="1:8">
      <c r="A11" t="s">
        <v>2367</v>
      </c>
      <c r="B11" t="s">
        <v>923</v>
      </c>
      <c r="F11" s="409"/>
      <c r="G11" s="409"/>
      <c r="H11" s="409"/>
    </row>
    <row r="12" spans="1:8">
      <c r="A12" t="s">
        <v>2368</v>
      </c>
      <c r="B12" t="s">
        <v>923</v>
      </c>
      <c r="F12" s="409"/>
      <c r="G12" s="409"/>
      <c r="H12" s="409"/>
    </row>
    <row r="13" spans="1:8">
      <c r="A13" t="s">
        <v>923</v>
      </c>
      <c r="B13" t="s">
        <v>923</v>
      </c>
      <c r="F13" s="409"/>
      <c r="G13" s="409"/>
      <c r="H13" s="409"/>
    </row>
    <row r="14" spans="1:8">
      <c r="A14" t="s">
        <v>2369</v>
      </c>
      <c r="B14" t="s">
        <v>923</v>
      </c>
      <c r="F14" s="409"/>
      <c r="G14" s="409"/>
      <c r="H14" s="409"/>
    </row>
    <row r="15" spans="1:8">
      <c r="A15" t="s">
        <v>2370</v>
      </c>
      <c r="B15" t="s">
        <v>923</v>
      </c>
      <c r="F15" s="409"/>
      <c r="G15" s="409"/>
      <c r="H15" s="409"/>
    </row>
    <row r="16" spans="1:8">
      <c r="A16" t="s">
        <v>2371</v>
      </c>
      <c r="B16" t="s">
        <v>923</v>
      </c>
      <c r="F16" s="409"/>
      <c r="G16" s="409"/>
      <c r="H16" s="409"/>
    </row>
    <row r="17" spans="1:8">
      <c r="A17" t="s">
        <v>2372</v>
      </c>
      <c r="B17" t="s">
        <v>923</v>
      </c>
      <c r="F17" s="409"/>
      <c r="G17" s="409"/>
      <c r="H17" s="409"/>
    </row>
    <row r="18" spans="1:8">
      <c r="A18" t="s">
        <v>1982</v>
      </c>
      <c r="B18" t="s">
        <v>923</v>
      </c>
      <c r="F18" s="409"/>
      <c r="G18" s="409"/>
      <c r="H18" s="409"/>
    </row>
    <row r="19" spans="1:8">
      <c r="A19" t="s">
        <v>923</v>
      </c>
      <c r="B19" t="s">
        <v>923</v>
      </c>
      <c r="F19" s="409"/>
      <c r="G19" s="409"/>
      <c r="H19" s="409"/>
    </row>
    <row r="20" spans="1:8">
      <c r="A20" t="s">
        <v>2373</v>
      </c>
      <c r="B20" t="s">
        <v>923</v>
      </c>
      <c r="C20" s="1">
        <f>C21+C22+C23+C26</f>
        <v>-1018224.9599999981</v>
      </c>
      <c r="F20" s="409"/>
      <c r="G20" s="409"/>
      <c r="H20" s="409"/>
    </row>
    <row r="21" spans="1:8">
      <c r="A21" t="s">
        <v>2374</v>
      </c>
      <c r="B21" t="s">
        <v>923</v>
      </c>
      <c r="C21" s="1">
        <f>C28-C5-C8</f>
        <v>-1018224.9599999981</v>
      </c>
      <c r="F21" s="409"/>
      <c r="G21" s="409"/>
      <c r="H21" s="409"/>
    </row>
    <row r="22" spans="1:8">
      <c r="A22" t="s">
        <v>2375</v>
      </c>
      <c r="B22" t="s">
        <v>923</v>
      </c>
      <c r="F22" s="409"/>
      <c r="G22" s="409"/>
      <c r="H22" s="409"/>
    </row>
    <row r="23" spans="1:8">
      <c r="A23" t="s">
        <v>2376</v>
      </c>
      <c r="B23" t="s">
        <v>923</v>
      </c>
      <c r="F23" s="409"/>
      <c r="G23" s="409"/>
      <c r="H23" s="409"/>
    </row>
    <row r="24" spans="1:8">
      <c r="A24" t="s">
        <v>2377</v>
      </c>
      <c r="B24" t="s">
        <v>923</v>
      </c>
      <c r="F24" s="409"/>
      <c r="G24" s="409"/>
      <c r="H24" s="409"/>
    </row>
    <row r="25" spans="1:8">
      <c r="A25" t="s">
        <v>2378</v>
      </c>
      <c r="B25" t="s">
        <v>923</v>
      </c>
      <c r="F25" s="409"/>
      <c r="G25" s="409"/>
      <c r="H25" s="409"/>
    </row>
    <row r="26" spans="1:8">
      <c r="A26" t="s">
        <v>2379</v>
      </c>
      <c r="B26" t="s">
        <v>923</v>
      </c>
      <c r="D26" s="210">
        <f>(IFERROR(VLOOKUP(E26,obrotówka!$A$3:$J$1600,10,0),0))</f>
        <v>0</v>
      </c>
      <c r="E26" t="s">
        <v>1389</v>
      </c>
      <c r="F26" s="409"/>
      <c r="G26" s="409"/>
      <c r="H26" s="409"/>
    </row>
    <row r="27" spans="1:8">
      <c r="A27" t="s">
        <v>923</v>
      </c>
      <c r="B27" t="s">
        <v>923</v>
      </c>
      <c r="F27" s="409"/>
      <c r="G27" s="409"/>
      <c r="H27" s="409"/>
    </row>
    <row r="28" spans="1:8">
      <c r="A28" t="s">
        <v>1942</v>
      </c>
      <c r="B28" t="s">
        <v>923</v>
      </c>
      <c r="C28" s="130">
        <f>D28</f>
        <v>78184.919999999896</v>
      </c>
      <c r="D28" s="210">
        <f>(IFERROR(VLOOKUP(E28,obrotówka!$A$3:$J$1600,10,0),0))</f>
        <v>78184.919999999896</v>
      </c>
      <c r="E28" s="217" t="s">
        <v>56</v>
      </c>
      <c r="F28" s="410"/>
      <c r="G28" s="220"/>
      <c r="H28" s="409"/>
    </row>
    <row r="29" spans="1:8">
      <c r="F29" s="409"/>
      <c r="G29" s="409"/>
      <c r="H29" s="409"/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FF"/>
  </sheetPr>
  <dimension ref="A2:O513"/>
  <sheetViews>
    <sheetView tabSelected="1" topLeftCell="A23" zoomScale="120" zoomScaleNormal="120" workbookViewId="0">
      <selection activeCell="H33" sqref="H33"/>
    </sheetView>
  </sheetViews>
  <sheetFormatPr defaultColWidth="8.88671875" defaultRowHeight="14.4"/>
  <cols>
    <col min="1" max="1" width="40.88671875" style="1073" customWidth="1"/>
    <col min="2" max="5" width="12.88671875" style="1073" customWidth="1"/>
    <col min="6" max="6" width="15.5546875" style="1073" customWidth="1"/>
    <col min="7" max="7" width="12.88671875" style="1073" customWidth="1"/>
    <col min="8" max="8" width="21.21875" style="1073" customWidth="1"/>
    <col min="9" max="9" width="17" style="1073" customWidth="1"/>
    <col min="10" max="10" width="18" style="1073" customWidth="1"/>
    <col min="11" max="11" width="15.21875" style="1073" customWidth="1"/>
    <col min="12" max="12" width="8.6640625" style="1073" customWidth="1"/>
    <col min="13" max="13" width="16.6640625" style="1073" customWidth="1"/>
    <col min="14" max="14" width="10.77734375" style="1073" customWidth="1"/>
    <col min="15" max="15" width="11" style="1073" bestFit="1" customWidth="1"/>
    <col min="16" max="16384" width="8.88671875" style="1073"/>
  </cols>
  <sheetData>
    <row r="2" spans="1:4" ht="36">
      <c r="A2" s="535" t="s">
        <v>2859</v>
      </c>
      <c r="B2" s="392"/>
      <c r="C2" s="392"/>
    </row>
    <row r="3" spans="1:4" ht="15" thickBot="1">
      <c r="A3" s="535"/>
      <c r="B3" s="392"/>
      <c r="C3" s="392"/>
    </row>
    <row r="4" spans="1:4" ht="29.4" thickBot="1">
      <c r="A4" s="1480" t="s">
        <v>2860</v>
      </c>
      <c r="B4" s="1481" t="s">
        <v>2861</v>
      </c>
      <c r="C4" s="1481" t="s">
        <v>2862</v>
      </c>
      <c r="D4" s="1730" t="s">
        <v>3459</v>
      </c>
    </row>
    <row r="5" spans="1:4">
      <c r="A5" s="14" t="s">
        <v>2863</v>
      </c>
      <c r="B5" s="178">
        <v>19</v>
      </c>
      <c r="C5" s="20" t="s">
        <v>3603</v>
      </c>
      <c r="D5" s="1730"/>
    </row>
    <row r="6" spans="1:4">
      <c r="A6" s="14" t="s">
        <v>2864</v>
      </c>
      <c r="B6" s="178">
        <v>4.9000000000000004</v>
      </c>
      <c r="C6" s="20" t="s">
        <v>3604</v>
      </c>
      <c r="D6" s="1730"/>
    </row>
    <row r="7" spans="1:4">
      <c r="A7" s="14" t="s">
        <v>2616</v>
      </c>
      <c r="B7" s="178">
        <v>6.9</v>
      </c>
      <c r="C7" s="20" t="s">
        <v>3605</v>
      </c>
      <c r="D7" s="1730"/>
    </row>
    <row r="8" spans="1:4" ht="15" thickBot="1">
      <c r="A8" s="1482" t="s">
        <v>2622</v>
      </c>
      <c r="B8" s="1483">
        <v>6.2</v>
      </c>
      <c r="C8" s="1484" t="s">
        <v>3778</v>
      </c>
      <c r="D8" s="1730"/>
    </row>
    <row r="11" spans="1:4" s="1422" customFormat="1" ht="18.600000000000001" thickBot="1">
      <c r="A11" s="1421" t="s">
        <v>3827</v>
      </c>
    </row>
    <row r="12" spans="1:4">
      <c r="A12" s="1704"/>
      <c r="B12" s="1485" t="s">
        <v>1449</v>
      </c>
      <c r="C12" s="1486" t="s">
        <v>1449</v>
      </c>
    </row>
    <row r="13" spans="1:4" ht="15" thickBot="1">
      <c r="A13" s="1705"/>
      <c r="B13" s="1487" t="s">
        <v>3859</v>
      </c>
      <c r="C13" s="1488" t="s">
        <v>3649</v>
      </c>
    </row>
    <row r="14" spans="1:4">
      <c r="A14" s="165" t="s">
        <v>2614</v>
      </c>
      <c r="B14" s="69">
        <f>'bilans '!B7</f>
        <v>13239755.689999992</v>
      </c>
      <c r="C14" s="506">
        <v>13769284.749999993</v>
      </c>
    </row>
    <row r="15" spans="1:4">
      <c r="A15" s="165" t="s">
        <v>2615</v>
      </c>
      <c r="B15" s="69">
        <f>'bilans '!B14</f>
        <v>5341608.1000000034</v>
      </c>
      <c r="C15" s="506">
        <v>5255206.7100000093</v>
      </c>
    </row>
    <row r="16" spans="1:4">
      <c r="A16" s="165" t="s">
        <v>2616</v>
      </c>
      <c r="B16" s="69">
        <f>'bilans '!B24</f>
        <v>2476022.8899999904</v>
      </c>
      <c r="C16" s="506">
        <v>2726165.56</v>
      </c>
    </row>
    <row r="17" spans="1:11">
      <c r="A17" s="165" t="s">
        <v>2617</v>
      </c>
      <c r="B17" s="69">
        <f>'bilans '!B28</f>
        <v>1016307.8100000005</v>
      </c>
      <c r="C17" s="506">
        <v>1164855.1099999007</v>
      </c>
    </row>
    <row r="18" spans="1:11">
      <c r="A18" s="165" t="s">
        <v>2618</v>
      </c>
      <c r="B18" s="69">
        <f>'bilans '!B32</f>
        <v>78184.919999999925</v>
      </c>
      <c r="C18" s="506">
        <v>275622.679999999</v>
      </c>
    </row>
    <row r="19" spans="1:11" s="1422" customFormat="1" ht="15" thickBot="1">
      <c r="A19" s="1411" t="s">
        <v>2619</v>
      </c>
      <c r="B19" s="1406">
        <f>SUM(B14:B18)</f>
        <v>22151879.409999989</v>
      </c>
      <c r="C19" s="1407">
        <v>23191134.809999898</v>
      </c>
    </row>
    <row r="20" spans="1:11" ht="15" thickTop="1">
      <c r="B20" s="252">
        <f>B19-'FC Spr.z syt.finans.'!B5</f>
        <v>0</v>
      </c>
      <c r="C20" s="252">
        <f>C19-'FC Spr.z syt.finans.'!C5</f>
        <v>0</v>
      </c>
    </row>
    <row r="21" spans="1:11" ht="15" thickBot="1"/>
    <row r="22" spans="1:11" s="1348" customFormat="1" ht="25.8" customHeight="1" thickBot="1">
      <c r="A22" s="1489"/>
      <c r="B22" s="1489" t="s">
        <v>2620</v>
      </c>
      <c r="C22" s="1489" t="s">
        <v>2615</v>
      </c>
      <c r="D22" s="1489" t="s">
        <v>2621</v>
      </c>
      <c r="E22" s="1489" t="s">
        <v>2622</v>
      </c>
      <c r="F22" s="1489" t="s">
        <v>2618</v>
      </c>
      <c r="G22" s="1489" t="s">
        <v>1501</v>
      </c>
      <c r="I22" s="1349"/>
    </row>
    <row r="23" spans="1:11" s="1422" customFormat="1">
      <c r="A23" s="1423" t="s">
        <v>2623</v>
      </c>
      <c r="B23" s="1423"/>
      <c r="C23" s="1423"/>
      <c r="D23" s="1423"/>
      <c r="E23" s="1423"/>
      <c r="F23" s="1423"/>
      <c r="G23" s="1423"/>
      <c r="H23" s="1424"/>
      <c r="I23" s="1425"/>
    </row>
    <row r="24" spans="1:11" s="1422" customFormat="1" ht="14.4" customHeight="1">
      <c r="A24" s="1426" t="s">
        <v>3862</v>
      </c>
      <c r="B24" s="1362">
        <f>'środki trwałe - amortyzacja '!A5+'środki trwałe - amortyzacja '!A6</f>
        <v>29234755.550000001</v>
      </c>
      <c r="C24" s="1362">
        <f>'środki trwałe - amortyzacja '!A7+'środki trwałe - amortyzacja '!A8+'środki trwałe - amortyzacja '!A9+'środki trwałe - amortyzacja '!A10</f>
        <v>27779886.400000002</v>
      </c>
      <c r="D24" s="1362">
        <f>'środki trwałe - amortyzacja '!A11-'środki trwałe - amortyzacja '!E50</f>
        <v>7042175.5599999996</v>
      </c>
      <c r="E24" s="1362">
        <f>'środki trwałe - amortyzacja '!A12</f>
        <v>14631853.119999999</v>
      </c>
      <c r="F24" s="1362">
        <f>'noty do bilansu'!C18</f>
        <v>275622.679999999</v>
      </c>
      <c r="G24" s="1362">
        <f t="shared" ref="G24:G29" si="0">SUM(B24:F24)</f>
        <v>78964293.310000002</v>
      </c>
      <c r="H24" s="1427">
        <f>G24-G47</f>
        <v>0</v>
      </c>
      <c r="I24" s="1425"/>
    </row>
    <row r="25" spans="1:11">
      <c r="A25" s="523" t="s">
        <v>2624</v>
      </c>
      <c r="B25" s="31"/>
      <c r="C25" s="31"/>
      <c r="D25" s="515"/>
      <c r="E25" s="515"/>
      <c r="F25" s="31">
        <f>'środki trwałe - amortyzacja '!E5+'środki trwałe - amortyzacja '!E6+'środki trwałe - amortyzacja '!E7+'środki trwałe - amortyzacja '!E8+'środki trwałe - amortyzacja '!E9+'środki trwałe - amortyzacja '!E10+'środki trwałe - amortyzacja '!E11+'środki trwałe - amortyzacja '!E12+B18-C18-F27+F28-1320</f>
        <v>820787.20000000088</v>
      </c>
      <c r="G25" s="573">
        <f t="shared" si="0"/>
        <v>820787.20000000088</v>
      </c>
      <c r="H25" s="972" t="s">
        <v>3512</v>
      </c>
      <c r="I25" s="1757"/>
    </row>
    <row r="26" spans="1:11" ht="14.4" customHeight="1">
      <c r="A26" s="523" t="s">
        <v>2625</v>
      </c>
      <c r="B26" s="31">
        <f>'środki trwałe - amortyzacja '!E5+'środki trwałe - amortyzacja '!E6</f>
        <v>0</v>
      </c>
      <c r="C26" s="31">
        <f>'środki trwałe - amortyzacja '!E7+'środki trwałe - amortyzacja '!E8+'środki trwałe - amortyzacja '!E9+'środki trwałe - amortyzacja '!E10-C28</f>
        <v>839233.22000000009</v>
      </c>
      <c r="D26" s="31">
        <f>'środki trwałe - amortyzacja '!E11</f>
        <v>113378.8</v>
      </c>
      <c r="E26" s="31">
        <f>'środki trwałe - amortyzacja '!E12</f>
        <v>65612.94</v>
      </c>
      <c r="F26" s="31">
        <f>-(E26+D26+C26+B26)</f>
        <v>-1018224.9600000001</v>
      </c>
      <c r="G26" s="573">
        <f t="shared" si="0"/>
        <v>0</v>
      </c>
      <c r="H26" s="973">
        <f>F29-B18</f>
        <v>-1.1641532182693481E-10</v>
      </c>
      <c r="I26" s="1757"/>
    </row>
    <row r="27" spans="1:11" ht="14.4" customHeight="1">
      <c r="A27" s="523" t="s">
        <v>2626</v>
      </c>
      <c r="B27" s="31">
        <f>'środki trwałe - amortyzacja '!H5+'środki trwałe - amortyzacja '!H6</f>
        <v>0</v>
      </c>
      <c r="C27" s="31">
        <f>'środki trwałe - amortyzacja '!H7+'środki trwałe - amortyzacja '!H8+'środki trwałe - amortyzacja '!H9+'środki trwałe - amortyzacja '!H10</f>
        <v>-225321.94</v>
      </c>
      <c r="D27" s="31">
        <f>'środki trwałe - amortyzacja '!H11-'środki trwałe - amortyzacja '!E34</f>
        <v>-189407</v>
      </c>
      <c r="E27" s="31">
        <f>'środki trwałe - amortyzacja '!H12</f>
        <v>-76690.820000000007</v>
      </c>
      <c r="F27" s="31">
        <f>-Przepływy!B178</f>
        <v>0</v>
      </c>
      <c r="G27" s="573">
        <f t="shared" si="0"/>
        <v>-491419.76</v>
      </c>
      <c r="H27" s="1071"/>
      <c r="I27" s="1757"/>
      <c r="K27" s="1075"/>
    </row>
    <row r="28" spans="1:11">
      <c r="A28" s="523" t="s">
        <v>2023</v>
      </c>
      <c r="B28" s="31"/>
      <c r="C28" s="31">
        <f>-'środki trwałe - amortyzacja '!F27</f>
        <v>1319.9999999999063</v>
      </c>
      <c r="D28" s="31"/>
      <c r="E28" s="31"/>
      <c r="F28" s="31">
        <f>-Przepływy!D52</f>
        <v>0</v>
      </c>
      <c r="G28" s="573">
        <f t="shared" si="0"/>
        <v>1319.9999999999063</v>
      </c>
      <c r="H28" s="1071"/>
      <c r="I28" s="590"/>
      <c r="K28" s="242"/>
    </row>
    <row r="29" spans="1:11" s="1422" customFormat="1" ht="15" customHeight="1" thickBot="1">
      <c r="A29" s="1490" t="s">
        <v>3863</v>
      </c>
      <c r="B29" s="1395">
        <f>SUM(B24:B28)</f>
        <v>29234755.550000001</v>
      </c>
      <c r="C29" s="1395">
        <f>SUM(C24:C28)</f>
        <v>28395117.68</v>
      </c>
      <c r="D29" s="1395">
        <f>SUM(D24:D28)</f>
        <v>6966147.3599999994</v>
      </c>
      <c r="E29" s="1395">
        <f>SUM(E24:E28)</f>
        <v>14620775.239999998</v>
      </c>
      <c r="F29" s="1395">
        <f>SUM(F24:F28)</f>
        <v>78184.919999999809</v>
      </c>
      <c r="G29" s="1395">
        <f t="shared" si="0"/>
        <v>79294980.75</v>
      </c>
      <c r="I29" s="1425"/>
      <c r="K29" s="1428"/>
    </row>
    <row r="30" spans="1:11" s="1422" customFormat="1" ht="15" thickTop="1">
      <c r="A30" s="1429" t="s">
        <v>2627</v>
      </c>
      <c r="B30" s="1430"/>
      <c r="C30" s="1430"/>
      <c r="D30" s="1430"/>
      <c r="E30" s="1431"/>
      <c r="F30" s="1431"/>
      <c r="G30" s="1431"/>
      <c r="H30" s="1432"/>
      <c r="I30" s="1425"/>
      <c r="K30" s="1433"/>
    </row>
    <row r="31" spans="1:11" s="1422" customFormat="1" ht="14.4" customHeight="1">
      <c r="A31" s="1426" t="s">
        <v>3862</v>
      </c>
      <c r="B31" s="1362">
        <f>-('środki trwałe - amortyzacja '!B5+'środki trwałe - amortyzacja '!B6)</f>
        <v>15465470.800000001</v>
      </c>
      <c r="C31" s="1362">
        <f>-('środki trwałe - amortyzacja '!B7+'środki trwałe - amortyzacja '!B8+'środki trwałe - amortyzacja '!B9+'środki trwałe - amortyzacja '!B10)</f>
        <v>22524679.690000001</v>
      </c>
      <c r="D31" s="1362">
        <f>-'środki trwałe - amortyzacja '!B11-'środki trwałe - amortyzacja '!F50</f>
        <v>4316010</v>
      </c>
      <c r="E31" s="1362">
        <f>-'środki trwałe - amortyzacja '!B12</f>
        <v>13466998.01</v>
      </c>
      <c r="F31" s="1362">
        <v>0</v>
      </c>
      <c r="G31" s="1362">
        <f t="shared" ref="G31:G37" si="1">SUM(B31:F31)</f>
        <v>55773158.5</v>
      </c>
      <c r="H31" s="1432"/>
      <c r="I31" s="1425"/>
    </row>
    <row r="32" spans="1:11" ht="19.8" customHeight="1">
      <c r="A32" s="523" t="s">
        <v>2628</v>
      </c>
      <c r="B32" s="31">
        <f>-('środki trwałe - amortyzacja '!F5+'środki trwałe - amortyzacja '!F6)</f>
        <v>529529.06000000006</v>
      </c>
      <c r="C32" s="31">
        <f>-('środki trwałe - amortyzacja '!F7+'środki trwałe - amortyzacja '!F8+'środki trwałe - amortyzacja '!F9+'środki trwałe - amortyzacja '!F10)-C35</f>
        <v>751329.8600000001</v>
      </c>
      <c r="D32" s="31">
        <f>-('środki trwałe - amortyzacja '!F11)-'środki trwałe - amortyzacja '!I59</f>
        <v>363521.47</v>
      </c>
      <c r="E32" s="31">
        <f>-('środki trwałe - amortyzacja '!F12)</f>
        <v>214160.24</v>
      </c>
      <c r="F32" s="31"/>
      <c r="G32" s="573">
        <f t="shared" si="1"/>
        <v>1858540.6300000001</v>
      </c>
      <c r="H32" s="1071"/>
      <c r="I32" s="590"/>
      <c r="J32" s="1422"/>
    </row>
    <row r="33" spans="1:9">
      <c r="A33" s="523" t="s">
        <v>2629</v>
      </c>
      <c r="B33" s="31"/>
      <c r="C33" s="31"/>
      <c r="D33" s="31"/>
      <c r="E33" s="31"/>
      <c r="F33" s="31"/>
      <c r="G33" s="573">
        <f t="shared" si="1"/>
        <v>0</v>
      </c>
      <c r="H33" s="1071"/>
      <c r="I33" s="590"/>
    </row>
    <row r="34" spans="1:9" ht="14.4" customHeight="1">
      <c r="A34" s="523" t="s">
        <v>2626</v>
      </c>
      <c r="B34" s="31">
        <f>-('środki trwałe - amortyzacja '!I5-'środki trwałe - amortyzacja '!I6)</f>
        <v>0</v>
      </c>
      <c r="C34" s="31">
        <f>-('środki trwałe - amortyzacja '!I7+'środki trwałe - amortyzacja '!I8+'środki trwałe - amortyzacja '!I9+'środki trwałe - amortyzacja '!I10)</f>
        <v>-223819.97</v>
      </c>
      <c r="D34" s="31">
        <f>-'środki trwałe - amortyzacja '!I11-'środki trwałe - amortyzacja '!E38</f>
        <v>-189407</v>
      </c>
      <c r="E34" s="31">
        <f>-'środki trwałe - amortyzacja '!I12</f>
        <v>-76690.820000000007</v>
      </c>
      <c r="F34" s="31"/>
      <c r="G34" s="573">
        <f t="shared" si="1"/>
        <v>-489917.79</v>
      </c>
      <c r="H34" s="1071"/>
      <c r="I34" s="590"/>
    </row>
    <row r="35" spans="1:9">
      <c r="A35" s="523" t="s">
        <v>2023</v>
      </c>
      <c r="B35" s="31"/>
      <c r="C35" s="31">
        <f>C28</f>
        <v>1319.9999999999063</v>
      </c>
      <c r="D35" s="31"/>
      <c r="E35" s="31"/>
      <c r="F35" s="13"/>
      <c r="G35" s="573">
        <f t="shared" si="1"/>
        <v>1319.9999999999063</v>
      </c>
      <c r="H35" s="1071"/>
      <c r="I35" s="590"/>
    </row>
    <row r="36" spans="1:9" s="1422" customFormat="1" ht="15" customHeight="1" thickBot="1">
      <c r="A36" s="1423" t="s">
        <v>3863</v>
      </c>
      <c r="B36" s="1380">
        <f>SUM(B31:B35)</f>
        <v>15994999.860000001</v>
      </c>
      <c r="C36" s="1380">
        <f>SUM(C31:C35)</f>
        <v>23053509.580000002</v>
      </c>
      <c r="D36" s="1380">
        <f>SUM(D31:D35)</f>
        <v>4490124.47</v>
      </c>
      <c r="E36" s="1380">
        <f>SUM(E31:E35)</f>
        <v>13604467.43</v>
      </c>
      <c r="F36" s="1380">
        <f>SUM(F31:F35)</f>
        <v>0</v>
      </c>
      <c r="G36" s="1380">
        <f t="shared" si="1"/>
        <v>57143101.340000004</v>
      </c>
      <c r="H36" s="1432"/>
      <c r="I36" s="1425"/>
    </row>
    <row r="37" spans="1:9" s="1422" customFormat="1" ht="15.6" customHeight="1" thickTop="1" thickBot="1">
      <c r="A37" s="1491" t="s">
        <v>3864</v>
      </c>
      <c r="B37" s="1492">
        <f>B29-B36</f>
        <v>13239755.689999999</v>
      </c>
      <c r="C37" s="1492">
        <f>C29-C36</f>
        <v>5341608.0999999978</v>
      </c>
      <c r="D37" s="1492">
        <f>D29-D36</f>
        <v>2476022.8899999997</v>
      </c>
      <c r="E37" s="1492">
        <f>E29-E36</f>
        <v>1016307.8099999987</v>
      </c>
      <c r="F37" s="1492">
        <f>F29-F36</f>
        <v>78184.919999999809</v>
      </c>
      <c r="G37" s="1492">
        <f t="shared" si="1"/>
        <v>22151879.409999996</v>
      </c>
      <c r="H37" s="1427">
        <f>G37-'FC Spr.z syt.finans.'!B5</f>
        <v>0</v>
      </c>
      <c r="I37" s="1425"/>
    </row>
    <row r="38" spans="1:9" ht="15" thickTop="1">
      <c r="G38" s="252">
        <f>G37-B19</f>
        <v>0</v>
      </c>
      <c r="H38" s="252">
        <f>G27-G34+Przepływy!D49+'RZiS, koszty rodz.'!B221</f>
        <v>-3.0240698833949864E-11</v>
      </c>
      <c r="I38" s="242" t="s">
        <v>2851</v>
      </c>
    </row>
    <row r="39" spans="1:9" ht="15" thickBot="1"/>
    <row r="40" spans="1:9" s="1350" customFormat="1" ht="25.8" customHeight="1" thickBot="1">
      <c r="A40" s="1493"/>
      <c r="B40" s="1493" t="s">
        <v>2620</v>
      </c>
      <c r="C40" s="1493" t="s">
        <v>2615</v>
      </c>
      <c r="D40" s="1493" t="s">
        <v>2621</v>
      </c>
      <c r="E40" s="1493" t="s">
        <v>2622</v>
      </c>
      <c r="F40" s="1493" t="s">
        <v>2618</v>
      </c>
      <c r="G40" s="1493" t="s">
        <v>1501</v>
      </c>
    </row>
    <row r="41" spans="1:9" s="1435" customFormat="1">
      <c r="A41" s="1434" t="s">
        <v>2623</v>
      </c>
      <c r="B41" s="1434"/>
      <c r="C41" s="1434"/>
      <c r="D41" s="1434"/>
      <c r="E41" s="1434"/>
      <c r="F41" s="1434"/>
      <c r="G41" s="1434"/>
    </row>
    <row r="42" spans="1:9" s="1435" customFormat="1" ht="14.4" customHeight="1">
      <c r="A42" s="1436" t="s">
        <v>3655</v>
      </c>
      <c r="B42" s="1363">
        <v>29628461.34</v>
      </c>
      <c r="C42" s="1363">
        <v>27727814.98</v>
      </c>
      <c r="D42" s="1363">
        <v>6950803.6799999997</v>
      </c>
      <c r="E42" s="1363">
        <v>14315069.76</v>
      </c>
      <c r="F42" s="1363">
        <v>8075.9999999988358</v>
      </c>
      <c r="G42" s="1363">
        <v>78630225.760000005</v>
      </c>
    </row>
    <row r="43" spans="1:9" s="1076" customFormat="1">
      <c r="A43" s="525" t="s">
        <v>2624</v>
      </c>
      <c r="B43" s="147"/>
      <c r="C43" s="147"/>
      <c r="D43" s="526"/>
      <c r="E43" s="526"/>
      <c r="F43" s="147">
        <v>1728099.0600000003</v>
      </c>
      <c r="G43" s="575">
        <v>1728099.0600000003</v>
      </c>
      <c r="H43" s="1075"/>
    </row>
    <row r="44" spans="1:9" s="1076" customFormat="1" ht="14.4" customHeight="1">
      <c r="A44" s="525" t="s">
        <v>2625</v>
      </c>
      <c r="B44" s="147">
        <v>2711.82</v>
      </c>
      <c r="C44" s="147">
        <v>741238.34</v>
      </c>
      <c r="D44" s="147">
        <v>254401.79</v>
      </c>
      <c r="E44" s="147">
        <v>462200.43</v>
      </c>
      <c r="F44" s="147">
        <v>-1460552.3800000001</v>
      </c>
      <c r="G44" s="575">
        <v>0</v>
      </c>
      <c r="H44" s="242"/>
    </row>
    <row r="45" spans="1:9" s="1076" customFormat="1" ht="14.4" customHeight="1">
      <c r="A45" s="525" t="s">
        <v>2626</v>
      </c>
      <c r="B45" s="147">
        <v>-396417.61</v>
      </c>
      <c r="C45" s="147">
        <v>-689166.91999999993</v>
      </c>
      <c r="D45" s="147">
        <v>-163029.90999999997</v>
      </c>
      <c r="E45" s="147">
        <v>-145417.07</v>
      </c>
      <c r="F45" s="147">
        <v>0</v>
      </c>
      <c r="G45" s="575">
        <v>-1394031.5099999998</v>
      </c>
      <c r="H45" s="1075"/>
    </row>
    <row r="46" spans="1:9" s="1076" customFormat="1">
      <c r="A46" s="525" t="s">
        <v>2023</v>
      </c>
      <c r="B46" s="147"/>
      <c r="C46" s="147"/>
      <c r="D46" s="147"/>
      <c r="E46" s="147"/>
      <c r="F46" s="147">
        <v>0</v>
      </c>
      <c r="G46" s="575">
        <v>0</v>
      </c>
      <c r="H46" s="242" t="s">
        <v>3658</v>
      </c>
    </row>
    <row r="47" spans="1:9" s="1435" customFormat="1" ht="15" customHeight="1" thickBot="1">
      <c r="A47" s="1494" t="s">
        <v>3656</v>
      </c>
      <c r="B47" s="1396">
        <v>29234755.550000001</v>
      </c>
      <c r="C47" s="1396">
        <v>27779886.399999999</v>
      </c>
      <c r="D47" s="1396">
        <v>7042175.5599999996</v>
      </c>
      <c r="E47" s="1396">
        <v>14631853.119999999</v>
      </c>
      <c r="F47" s="1396">
        <v>275622.679999999</v>
      </c>
      <c r="G47" s="1396">
        <v>78964293.310000002</v>
      </c>
    </row>
    <row r="48" spans="1:9" s="1435" customFormat="1" ht="15" thickTop="1">
      <c r="A48" s="1437" t="s">
        <v>2627</v>
      </c>
      <c r="B48" s="1438"/>
      <c r="C48" s="1438"/>
      <c r="D48" s="1438"/>
      <c r="E48" s="1439"/>
      <c r="F48" s="1439"/>
      <c r="G48" s="1439"/>
    </row>
    <row r="49" spans="1:8" s="1435" customFormat="1" ht="14.4" customHeight="1">
      <c r="A49" s="1436" t="s">
        <v>3655</v>
      </c>
      <c r="B49" s="1363">
        <v>14868767.91</v>
      </c>
      <c r="C49" s="1363">
        <v>22137059.109999999</v>
      </c>
      <c r="D49" s="1363">
        <v>3989461.5899999994</v>
      </c>
      <c r="E49" s="1363">
        <v>13132430.33</v>
      </c>
      <c r="F49" s="1363">
        <v>0</v>
      </c>
      <c r="G49" s="1363">
        <v>54127718.93999999</v>
      </c>
    </row>
    <row r="50" spans="1:8" s="1076" customFormat="1" ht="19.8" customHeight="1">
      <c r="A50" s="525" t="s">
        <v>2628</v>
      </c>
      <c r="B50" s="147">
        <v>708916</v>
      </c>
      <c r="C50" s="147">
        <v>1043271.9099999999</v>
      </c>
      <c r="D50" s="147">
        <v>489578.32</v>
      </c>
      <c r="E50" s="147">
        <v>479984.75</v>
      </c>
      <c r="F50" s="147"/>
      <c r="G50" s="575">
        <v>2721750.98</v>
      </c>
    </row>
    <row r="51" spans="1:8" s="1076" customFormat="1">
      <c r="A51" s="525" t="s">
        <v>2629</v>
      </c>
      <c r="B51" s="147"/>
      <c r="C51" s="147"/>
      <c r="D51" s="147"/>
      <c r="E51" s="147"/>
      <c r="F51" s="147"/>
      <c r="G51" s="575">
        <v>0</v>
      </c>
    </row>
    <row r="52" spans="1:8" s="1076" customFormat="1" ht="14.4" customHeight="1">
      <c r="A52" s="525" t="s">
        <v>2626</v>
      </c>
      <c r="B52" s="147">
        <v>-112213.11</v>
      </c>
      <c r="C52" s="147">
        <v>-655651.32999999996</v>
      </c>
      <c r="D52" s="147">
        <v>-163029.90999999997</v>
      </c>
      <c r="E52" s="147">
        <v>-145417.07</v>
      </c>
      <c r="F52" s="147"/>
      <c r="G52" s="575">
        <v>-1076311.42</v>
      </c>
    </row>
    <row r="53" spans="1:8" s="1076" customFormat="1">
      <c r="A53" s="525" t="s">
        <v>2023</v>
      </c>
      <c r="B53" s="147"/>
      <c r="C53" s="147"/>
      <c r="D53" s="147"/>
      <c r="E53" s="147"/>
      <c r="F53" s="145"/>
      <c r="G53" s="575">
        <v>0</v>
      </c>
    </row>
    <row r="54" spans="1:8" s="1435" customFormat="1" ht="15" customHeight="1" thickBot="1">
      <c r="A54" s="1434" t="s">
        <v>3656</v>
      </c>
      <c r="B54" s="1438">
        <v>15465470.800000001</v>
      </c>
      <c r="C54" s="1438">
        <v>22524679.690000001</v>
      </c>
      <c r="D54" s="1438">
        <v>4316009.9999999991</v>
      </c>
      <c r="E54" s="1438">
        <v>13466998.01</v>
      </c>
      <c r="F54" s="1438">
        <v>0</v>
      </c>
      <c r="G54" s="1438">
        <v>55773158.5</v>
      </c>
    </row>
    <row r="55" spans="1:8" s="1435" customFormat="1" ht="15.6" customHeight="1" thickTop="1" thickBot="1">
      <c r="A55" s="1495" t="s">
        <v>3657</v>
      </c>
      <c r="B55" s="1496">
        <v>13769284.75</v>
      </c>
      <c r="C55" s="1496">
        <v>5255206.7099999972</v>
      </c>
      <c r="D55" s="1496">
        <v>2726165.5600000005</v>
      </c>
      <c r="E55" s="1496">
        <v>1164855.1099999994</v>
      </c>
      <c r="F55" s="1496">
        <v>275622.679999999</v>
      </c>
      <c r="G55" s="1496">
        <v>23191134.809999995</v>
      </c>
      <c r="H55" s="1440">
        <f>G55-C19</f>
        <v>9.6857547760009766E-8</v>
      </c>
    </row>
    <row r="56" spans="1:8" ht="15" thickTop="1"/>
    <row r="58" spans="1:8" s="1422" customFormat="1" ht="18.600000000000001" thickBot="1">
      <c r="A58" s="1421" t="s">
        <v>3828</v>
      </c>
      <c r="C58" s="1435"/>
    </row>
    <row r="59" spans="1:8">
      <c r="A59" s="1704"/>
      <c r="B59" s="1485" t="s">
        <v>1449</v>
      </c>
      <c r="C59" s="1486" t="s">
        <v>1449</v>
      </c>
      <c r="D59" s="590"/>
    </row>
    <row r="60" spans="1:8" ht="15" thickBot="1">
      <c r="A60" s="1705"/>
      <c r="B60" s="1487" t="str">
        <f>B13</f>
        <v>31 grudnia 2025</v>
      </c>
      <c r="C60" s="1488" t="s">
        <v>3649</v>
      </c>
      <c r="D60" s="590"/>
    </row>
    <row r="61" spans="1:8" s="1422" customFormat="1">
      <c r="A61" s="1429" t="s">
        <v>2630</v>
      </c>
      <c r="B61" s="1369">
        <f>C65</f>
        <v>164346.5</v>
      </c>
      <c r="C61" s="1370">
        <v>174600.9</v>
      </c>
      <c r="D61" s="1425"/>
    </row>
    <row r="62" spans="1:8">
      <c r="A62" s="165" t="s">
        <v>2631</v>
      </c>
      <c r="B62" s="487"/>
      <c r="C62" s="488"/>
      <c r="D62" s="590"/>
    </row>
    <row r="63" spans="1:8">
      <c r="A63" s="165" t="s">
        <v>2564</v>
      </c>
      <c r="B63" s="69">
        <f>'środki trwałe - amortyzacja '!F19</f>
        <v>-7690.81</v>
      </c>
      <c r="C63" s="506">
        <v>-10254.4</v>
      </c>
      <c r="D63" s="590"/>
    </row>
    <row r="64" spans="1:8">
      <c r="A64" s="165" t="s">
        <v>2632</v>
      </c>
      <c r="B64" s="487"/>
      <c r="C64" s="488"/>
      <c r="D64" s="590"/>
    </row>
    <row r="65" spans="1:4" s="1422" customFormat="1" ht="15" thickBot="1">
      <c r="A65" s="1411" t="s">
        <v>2633</v>
      </c>
      <c r="B65" s="1406">
        <f>SUM(B61:B64)</f>
        <v>156655.69</v>
      </c>
      <c r="C65" s="1407">
        <v>164346.5</v>
      </c>
      <c r="D65" s="1425"/>
    </row>
    <row r="66" spans="1:4" ht="15" thickTop="1">
      <c r="B66" s="252">
        <f>B65-'bilans '!B58</f>
        <v>0</v>
      </c>
      <c r="C66" s="252">
        <f>C65-'bilans '!F58</f>
        <v>-1.0186340659856796E-9</v>
      </c>
    </row>
    <row r="68" spans="1:4" s="1422" customFormat="1" ht="18.600000000000001" thickBot="1">
      <c r="A68" s="1421" t="s">
        <v>3829</v>
      </c>
    </row>
    <row r="69" spans="1:4">
      <c r="A69" s="1704"/>
      <c r="B69" s="1485" t="s">
        <v>1449</v>
      </c>
      <c r="C69" s="1486" t="s">
        <v>1449</v>
      </c>
    </row>
    <row r="70" spans="1:4" ht="15" thickBot="1">
      <c r="A70" s="1705"/>
      <c r="B70" s="1487" t="str">
        <f>B60</f>
        <v>31 grudnia 2025</v>
      </c>
      <c r="C70" s="1488" t="str">
        <f>C60</f>
        <v>31 grudnia 2024</v>
      </c>
    </row>
    <row r="71" spans="1:4">
      <c r="A71" s="165" t="s">
        <v>2634</v>
      </c>
      <c r="B71" s="69">
        <f>'środki trwałe - amortyzacja '!J13</f>
        <v>100630.32</v>
      </c>
      <c r="C71" s="506">
        <v>116711.24</v>
      </c>
    </row>
    <row r="72" spans="1:4">
      <c r="A72" s="165" t="s">
        <v>2635</v>
      </c>
      <c r="B72" s="69"/>
      <c r="C72" s="506"/>
    </row>
    <row r="73" spans="1:4">
      <c r="A73" s="165" t="s">
        <v>2636</v>
      </c>
      <c r="B73" s="69">
        <f>'bilans '!B66</f>
        <v>0</v>
      </c>
      <c r="C73" s="506">
        <v>0</v>
      </c>
    </row>
    <row r="74" spans="1:4" s="1422" customFormat="1" ht="15" thickBot="1">
      <c r="A74" s="1411" t="s">
        <v>2637</v>
      </c>
      <c r="B74" s="1406">
        <f>SUM(B71:B73)</f>
        <v>100630.32</v>
      </c>
      <c r="C74" s="1407">
        <v>116711.24</v>
      </c>
    </row>
    <row r="75" spans="1:4" ht="15" thickTop="1">
      <c r="B75" s="252">
        <f>B74-'FC Spr.z syt.finans.'!B7</f>
        <v>-1.0069925338029861E-8</v>
      </c>
      <c r="C75" s="252">
        <f>C74-'FC Spr.z syt.finans.'!C7</f>
        <v>0</v>
      </c>
    </row>
    <row r="76" spans="1:4" ht="15" thickBot="1"/>
    <row r="77" spans="1:4" ht="20.399999999999999">
      <c r="A77" s="1728" t="s">
        <v>2860</v>
      </c>
      <c r="B77" s="1409" t="s">
        <v>3277</v>
      </c>
      <c r="C77" s="1409" t="s">
        <v>3279</v>
      </c>
      <c r="D77" s="1730" t="s">
        <v>3459</v>
      </c>
    </row>
    <row r="78" spans="1:4" ht="21" thickBot="1">
      <c r="A78" s="1729"/>
      <c r="B78" s="1410" t="s">
        <v>3278</v>
      </c>
      <c r="C78" s="1410" t="s">
        <v>3278</v>
      </c>
      <c r="D78" s="1730"/>
    </row>
    <row r="79" spans="1:4" ht="15" thickBot="1">
      <c r="A79" s="1497" t="s">
        <v>3280</v>
      </c>
      <c r="B79" s="1498">
        <v>4.8</v>
      </c>
      <c r="C79" s="1497" t="s">
        <v>3606</v>
      </c>
      <c r="D79" s="1730"/>
    </row>
    <row r="81" spans="1:15" ht="14.4" customHeight="1" thickBot="1">
      <c r="A81" s="527"/>
      <c r="B81" s="527"/>
      <c r="C81" s="527"/>
      <c r="D81" s="527"/>
      <c r="E81" s="528"/>
      <c r="F81" s="528"/>
      <c r="G81" s="528"/>
      <c r="H81" s="528"/>
      <c r="J81" s="528"/>
      <c r="K81" s="528"/>
      <c r="M81" s="528"/>
      <c r="N81" s="528"/>
    </row>
    <row r="82" spans="1:15" ht="39" thickBot="1">
      <c r="A82" s="1499"/>
      <c r="B82" s="1500" t="s">
        <v>2634</v>
      </c>
      <c r="C82" s="1500" t="s">
        <v>2635</v>
      </c>
      <c r="D82" s="1500" t="s">
        <v>2636</v>
      </c>
      <c r="E82" s="1500" t="s">
        <v>1501</v>
      </c>
      <c r="F82" s="991"/>
      <c r="G82" s="991"/>
      <c r="H82" s="1077"/>
      <c r="I82" s="529"/>
      <c r="J82" s="529"/>
      <c r="K82" s="529"/>
      <c r="L82" s="529"/>
      <c r="M82" s="529"/>
      <c r="N82" s="529"/>
      <c r="O82" s="529"/>
    </row>
    <row r="83" spans="1:15" s="1422" customFormat="1">
      <c r="A83" s="1423" t="s">
        <v>2638</v>
      </c>
      <c r="B83" s="1423"/>
      <c r="C83" s="1423"/>
      <c r="D83" s="1423"/>
      <c r="E83" s="1423"/>
      <c r="F83" s="1441"/>
      <c r="G83" s="1441"/>
      <c r="H83" s="1442"/>
      <c r="I83" s="1442"/>
      <c r="J83" s="1442"/>
      <c r="K83" s="1442"/>
      <c r="L83" s="1442"/>
      <c r="M83" s="1442"/>
      <c r="N83" s="1442"/>
      <c r="O83" s="1442"/>
    </row>
    <row r="84" spans="1:15" s="1422" customFormat="1">
      <c r="A84" s="1426" t="s">
        <v>3862</v>
      </c>
      <c r="B84" s="1362">
        <f>'środki trwałe - amortyzacja '!A13</f>
        <v>1835382.48</v>
      </c>
      <c r="C84" s="1362">
        <v>0</v>
      </c>
      <c r="D84" s="1362">
        <f>C73</f>
        <v>0</v>
      </c>
      <c r="E84" s="1362">
        <f t="shared" ref="E84:E89" si="2">SUM(B84:D84)</f>
        <v>1835382.48</v>
      </c>
      <c r="F84" s="1441"/>
      <c r="G84" s="1441"/>
      <c r="H84" s="1434"/>
      <c r="I84" s="1443"/>
      <c r="J84" s="1434"/>
      <c r="K84" s="1434"/>
      <c r="L84" s="1443"/>
      <c r="M84" s="1443"/>
      <c r="N84" s="1443"/>
      <c r="O84" s="1443"/>
    </row>
    <row r="85" spans="1:15">
      <c r="A85" s="523" t="s">
        <v>2624</v>
      </c>
      <c r="B85" s="31"/>
      <c r="C85" s="31"/>
      <c r="D85" s="31">
        <f>'środki trwałe - amortyzacja '!E13+'środki trwałe - amortyzacja '!E14</f>
        <v>0</v>
      </c>
      <c r="E85" s="31">
        <f t="shared" si="2"/>
        <v>0</v>
      </c>
      <c r="F85" s="991"/>
      <c r="G85" s="991"/>
      <c r="H85" s="531"/>
      <c r="I85" s="1077"/>
      <c r="J85" s="531"/>
      <c r="K85" s="531"/>
      <c r="L85" s="1077"/>
      <c r="M85" s="516"/>
      <c r="N85" s="1077"/>
      <c r="O85" s="531"/>
    </row>
    <row r="86" spans="1:15" ht="21.6" customHeight="1">
      <c r="A86" s="523" t="s">
        <v>2639</v>
      </c>
      <c r="B86" s="31">
        <f>'środki trwałe - amortyzacja '!E13</f>
        <v>0</v>
      </c>
      <c r="C86" s="31">
        <f>'środki trwałe - amortyzacja '!E14</f>
        <v>0</v>
      </c>
      <c r="D86" s="31">
        <f>-C86-B86</f>
        <v>0</v>
      </c>
      <c r="E86" s="31">
        <f t="shared" si="2"/>
        <v>0</v>
      </c>
      <c r="F86" s="991"/>
      <c r="G86" s="991"/>
      <c r="H86" s="516"/>
      <c r="I86" s="1077"/>
      <c r="J86" s="531"/>
      <c r="K86" s="531"/>
      <c r="L86" s="1077"/>
      <c r="M86" s="531"/>
      <c r="N86" s="1077"/>
      <c r="O86" s="531"/>
    </row>
    <row r="87" spans="1:15">
      <c r="A87" s="523" t="s">
        <v>2626</v>
      </c>
      <c r="B87" s="31">
        <f>'środki trwałe - amortyzacja '!H13</f>
        <v>0</v>
      </c>
      <c r="C87" s="31">
        <f>'środki trwałe - amortyzacja '!H14</f>
        <v>0</v>
      </c>
      <c r="D87" s="31"/>
      <c r="E87" s="31">
        <f t="shared" si="2"/>
        <v>0</v>
      </c>
      <c r="F87" s="991"/>
      <c r="G87" s="991"/>
      <c r="H87" s="531"/>
      <c r="I87" s="1077"/>
      <c r="J87" s="531"/>
      <c r="K87" s="531"/>
      <c r="L87" s="1077"/>
      <c r="M87" s="531"/>
      <c r="N87" s="1077"/>
      <c r="O87" s="531"/>
    </row>
    <row r="88" spans="1:15">
      <c r="A88" s="523" t="s">
        <v>2640</v>
      </c>
      <c r="B88" s="31"/>
      <c r="C88" s="31"/>
      <c r="D88" s="31"/>
      <c r="E88" s="31">
        <f t="shared" si="2"/>
        <v>0</v>
      </c>
      <c r="F88" s="991"/>
      <c r="G88" s="991"/>
      <c r="H88" s="531"/>
      <c r="I88" s="1077"/>
      <c r="J88" s="531"/>
      <c r="K88" s="531"/>
      <c r="L88" s="1077"/>
      <c r="M88" s="531"/>
      <c r="N88" s="1077"/>
      <c r="O88" s="531"/>
    </row>
    <row r="89" spans="1:15" s="1422" customFormat="1" ht="15" thickBot="1">
      <c r="A89" s="1490" t="s">
        <v>3863</v>
      </c>
      <c r="B89" s="1395">
        <f>SUM(B84:B88)</f>
        <v>1835382.48</v>
      </c>
      <c r="C89" s="1395">
        <f>SUM(C84:C88)</f>
        <v>0</v>
      </c>
      <c r="D89" s="1395">
        <f>SUM(D84:D88)</f>
        <v>0</v>
      </c>
      <c r="E89" s="1395">
        <f t="shared" si="2"/>
        <v>1835382.48</v>
      </c>
      <c r="F89" s="1441"/>
      <c r="G89" s="1441"/>
      <c r="H89" s="1434"/>
      <c r="I89" s="1443"/>
      <c r="J89" s="1434"/>
      <c r="K89" s="1434"/>
      <c r="L89" s="1443"/>
      <c r="M89" s="1434"/>
      <c r="N89" s="1443"/>
      <c r="O89" s="1434"/>
    </row>
    <row r="90" spans="1:15" s="1422" customFormat="1" ht="15" thickTop="1">
      <c r="A90" s="1429" t="s">
        <v>2627</v>
      </c>
      <c r="B90" s="1430"/>
      <c r="C90" s="1431"/>
      <c r="D90" s="1431"/>
      <c r="E90" s="1431"/>
      <c r="F90" s="1441"/>
      <c r="G90" s="1441"/>
      <c r="H90" s="1444"/>
      <c r="I90" s="1443"/>
      <c r="J90" s="1442"/>
      <c r="K90" s="1442"/>
      <c r="L90" s="1443"/>
      <c r="M90" s="1442"/>
      <c r="N90" s="1443"/>
      <c r="O90" s="1442"/>
    </row>
    <row r="91" spans="1:15" s="1422" customFormat="1">
      <c r="A91" s="1426" t="s">
        <v>3862</v>
      </c>
      <c r="B91" s="1362">
        <f>-'środki trwałe - amortyzacja '!B13</f>
        <v>1718671.24</v>
      </c>
      <c r="C91" s="1362">
        <v>0</v>
      </c>
      <c r="D91" s="1362">
        <v>0</v>
      </c>
      <c r="E91" s="1362">
        <f t="shared" ref="E91:E96" si="3">SUM(B91:D91)</f>
        <v>1718671.24</v>
      </c>
      <c r="F91" s="1441"/>
      <c r="G91" s="1441"/>
      <c r="H91" s="1434"/>
      <c r="I91" s="1443"/>
      <c r="J91" s="1434"/>
      <c r="K91" s="1434"/>
      <c r="L91" s="1443"/>
      <c r="M91" s="1434"/>
      <c r="N91" s="1443"/>
      <c r="O91" s="1434"/>
    </row>
    <row r="92" spans="1:15">
      <c r="A92" s="523" t="s">
        <v>2641</v>
      </c>
      <c r="B92" s="31">
        <f>-'środki trwałe - amortyzacja '!F13</f>
        <v>16080.92</v>
      </c>
      <c r="C92" s="31"/>
      <c r="D92" s="31"/>
      <c r="E92" s="31">
        <f t="shared" si="3"/>
        <v>16080.92</v>
      </c>
      <c r="F92" s="991"/>
      <c r="G92" s="991"/>
      <c r="H92" s="516"/>
      <c r="I92" s="1077"/>
      <c r="J92" s="531"/>
      <c r="K92" s="531"/>
      <c r="L92" s="1077"/>
      <c r="M92" s="531"/>
      <c r="N92" s="1077"/>
      <c r="O92" s="516"/>
    </row>
    <row r="93" spans="1:15">
      <c r="A93" s="523" t="s">
        <v>2626</v>
      </c>
      <c r="B93" s="31">
        <f>-'środki trwałe - amortyzacja '!I13</f>
        <v>0</v>
      </c>
      <c r="C93" s="31"/>
      <c r="D93" s="31"/>
      <c r="E93" s="31">
        <f t="shared" si="3"/>
        <v>0</v>
      </c>
      <c r="F93" s="991"/>
      <c r="G93" s="991"/>
      <c r="H93" s="531"/>
      <c r="I93" s="1077"/>
      <c r="J93" s="531"/>
      <c r="K93" s="531"/>
      <c r="L93" s="1077"/>
      <c r="M93" s="531"/>
      <c r="N93" s="1077"/>
      <c r="O93" s="531"/>
    </row>
    <row r="94" spans="1:15">
      <c r="A94" s="523" t="s">
        <v>2642</v>
      </c>
      <c r="B94" s="31"/>
      <c r="C94" s="31"/>
      <c r="D94" s="31"/>
      <c r="E94" s="31">
        <f t="shared" si="3"/>
        <v>0</v>
      </c>
      <c r="F94" s="991"/>
      <c r="G94" s="991"/>
      <c r="H94" s="531"/>
      <c r="I94" s="1077"/>
      <c r="J94" s="531"/>
      <c r="K94" s="531"/>
      <c r="L94" s="1077"/>
      <c r="M94" s="531"/>
      <c r="N94" s="1077"/>
      <c r="O94" s="531"/>
    </row>
    <row r="95" spans="1:15" s="1422" customFormat="1" ht="15" thickBot="1">
      <c r="A95" s="1423" t="s">
        <v>3863</v>
      </c>
      <c r="B95" s="1380">
        <f>SUM(B91:B94)</f>
        <v>1734752.16</v>
      </c>
      <c r="C95" s="1380">
        <f>SUM(C91:C94)</f>
        <v>0</v>
      </c>
      <c r="D95" s="1380">
        <f>SUM(D91:D94)</f>
        <v>0</v>
      </c>
      <c r="E95" s="1380">
        <f t="shared" si="3"/>
        <v>1734752.16</v>
      </c>
      <c r="F95" s="1441"/>
      <c r="G95" s="1441"/>
      <c r="H95" s="1445"/>
      <c r="I95" s="1443"/>
      <c r="J95" s="1434"/>
      <c r="K95" s="1434"/>
      <c r="L95" s="1443"/>
      <c r="M95" s="1434"/>
      <c r="N95" s="1443"/>
      <c r="O95" s="1434"/>
    </row>
    <row r="96" spans="1:15" s="1422" customFormat="1" ht="15.6" thickTop="1" thickBot="1">
      <c r="A96" s="1491" t="s">
        <v>3864</v>
      </c>
      <c r="B96" s="1492">
        <f>B89-B95</f>
        <v>100630.32000000007</v>
      </c>
      <c r="C96" s="1492">
        <f>C89-C95</f>
        <v>0</v>
      </c>
      <c r="D96" s="1492">
        <f>D89-D95</f>
        <v>0</v>
      </c>
      <c r="E96" s="1492">
        <f t="shared" si="3"/>
        <v>100630.32000000007</v>
      </c>
      <c r="F96" s="1441"/>
      <c r="G96" s="1441"/>
      <c r="H96" s="1445"/>
      <c r="I96" s="1443"/>
      <c r="J96" s="1434"/>
      <c r="K96" s="1434"/>
      <c r="L96" s="1443"/>
      <c r="M96" s="1434"/>
      <c r="N96" s="1443"/>
      <c r="O96" s="1445"/>
    </row>
    <row r="97" spans="1:15" ht="15" thickTop="1">
      <c r="E97" s="252">
        <f>E96-'bilans '!B62</f>
        <v>-1.0011717677116394E-8</v>
      </c>
      <c r="F97" s="1077"/>
      <c r="G97" s="1077"/>
      <c r="H97" s="1077"/>
      <c r="I97" s="1077"/>
      <c r="J97" s="1077"/>
      <c r="K97" s="1077"/>
      <c r="L97" s="1077"/>
      <c r="M97" s="1077"/>
      <c r="N97" s="1077"/>
      <c r="O97" s="1077"/>
    </row>
    <row r="98" spans="1:15" ht="15.6" customHeight="1" thickBot="1">
      <c r="F98" s="1077"/>
      <c r="G98" s="1077"/>
      <c r="H98" s="1077"/>
      <c r="I98" s="1077"/>
      <c r="J98" s="1077"/>
      <c r="K98" s="1077"/>
      <c r="L98" s="1077"/>
      <c r="M98" s="1077"/>
      <c r="N98" s="1077"/>
      <c r="O98" s="1077"/>
    </row>
    <row r="99" spans="1:15" s="1076" customFormat="1" ht="39" thickBot="1">
      <c r="A99" s="1501"/>
      <c r="B99" s="1502" t="s">
        <v>2634</v>
      </c>
      <c r="C99" s="1502" t="s">
        <v>2635</v>
      </c>
      <c r="D99" s="1502" t="s">
        <v>2636</v>
      </c>
      <c r="E99" s="1502" t="s">
        <v>1501</v>
      </c>
      <c r="F99" s="529"/>
      <c r="G99" s="529"/>
      <c r="H99" s="1077"/>
      <c r="I99" s="529"/>
      <c r="J99" s="529"/>
      <c r="K99" s="529"/>
      <c r="L99" s="529"/>
      <c r="M99" s="529"/>
      <c r="N99" s="529"/>
      <c r="O99" s="529"/>
    </row>
    <row r="100" spans="1:15" s="1435" customFormat="1">
      <c r="A100" s="1423" t="s">
        <v>2638</v>
      </c>
      <c r="B100" s="1434"/>
      <c r="C100" s="1434"/>
      <c r="D100" s="1434"/>
      <c r="E100" s="1434"/>
      <c r="F100" s="1444"/>
      <c r="G100" s="1442"/>
      <c r="H100" s="1442"/>
      <c r="I100" s="1442"/>
      <c r="J100" s="1442"/>
      <c r="K100" s="1442"/>
      <c r="L100" s="1442"/>
      <c r="M100" s="1442"/>
      <c r="N100" s="1442"/>
      <c r="O100" s="1442"/>
    </row>
    <row r="101" spans="1:15" s="1435" customFormat="1">
      <c r="A101" s="1426" t="s">
        <v>3655</v>
      </c>
      <c r="B101" s="1363">
        <v>1829984.28</v>
      </c>
      <c r="C101" s="1363">
        <v>0</v>
      </c>
      <c r="D101" s="1363">
        <v>0</v>
      </c>
      <c r="E101" s="1363">
        <v>1829984.28</v>
      </c>
      <c r="F101" s="1434"/>
      <c r="G101" s="1434"/>
      <c r="H101" s="1434"/>
      <c r="I101" s="1443"/>
      <c r="J101" s="1434"/>
      <c r="K101" s="1434"/>
      <c r="L101" s="1443"/>
      <c r="M101" s="1443"/>
      <c r="N101" s="1443"/>
      <c r="O101" s="1443"/>
    </row>
    <row r="102" spans="1:15" s="1076" customFormat="1">
      <c r="A102" s="523" t="s">
        <v>2624</v>
      </c>
      <c r="B102" s="147"/>
      <c r="C102" s="147"/>
      <c r="D102" s="147">
        <v>5398.2</v>
      </c>
      <c r="E102" s="147">
        <v>5398.2</v>
      </c>
      <c r="F102" s="531"/>
      <c r="G102" s="531"/>
      <c r="H102" s="531"/>
      <c r="I102" s="1077"/>
      <c r="J102" s="531"/>
      <c r="K102" s="531"/>
      <c r="L102" s="1077"/>
      <c r="M102" s="516"/>
      <c r="N102" s="1077"/>
      <c r="O102" s="531"/>
    </row>
    <row r="103" spans="1:15" s="1076" customFormat="1" ht="21.6" customHeight="1">
      <c r="A103" s="523" t="s">
        <v>2639</v>
      </c>
      <c r="B103" s="147">
        <v>5398.2</v>
      </c>
      <c r="C103" s="147">
        <v>0</v>
      </c>
      <c r="D103" s="147">
        <v>-5398.2</v>
      </c>
      <c r="E103" s="147">
        <v>0</v>
      </c>
      <c r="F103" s="516"/>
      <c r="G103" s="516"/>
      <c r="H103" s="516"/>
      <c r="I103" s="1077"/>
      <c r="J103" s="531"/>
      <c r="K103" s="531"/>
      <c r="L103" s="1077"/>
      <c r="M103" s="531"/>
      <c r="N103" s="1077"/>
      <c r="O103" s="531"/>
    </row>
    <row r="104" spans="1:15" s="1076" customFormat="1">
      <c r="A104" s="523" t="s">
        <v>2626</v>
      </c>
      <c r="B104" s="147">
        <v>0</v>
      </c>
      <c r="C104" s="147">
        <v>0</v>
      </c>
      <c r="D104" s="147"/>
      <c r="E104" s="147">
        <v>0</v>
      </c>
      <c r="F104" s="531"/>
      <c r="G104" s="531"/>
      <c r="H104" s="531"/>
      <c r="I104" s="1077"/>
      <c r="J104" s="531"/>
      <c r="K104" s="531"/>
      <c r="L104" s="1077"/>
      <c r="M104" s="531"/>
      <c r="N104" s="1077"/>
      <c r="O104" s="531"/>
    </row>
    <row r="105" spans="1:15" s="1076" customFormat="1">
      <c r="A105" s="523" t="s">
        <v>2640</v>
      </c>
      <c r="B105" s="147"/>
      <c r="C105" s="147"/>
      <c r="D105" s="147"/>
      <c r="E105" s="147">
        <v>0</v>
      </c>
      <c r="F105" s="531"/>
      <c r="G105" s="531"/>
      <c r="H105" s="531"/>
      <c r="I105" s="1077"/>
      <c r="J105" s="531"/>
      <c r="K105" s="531"/>
      <c r="L105" s="1077"/>
      <c r="M105" s="531"/>
      <c r="N105" s="1077"/>
      <c r="O105" s="531"/>
    </row>
    <row r="106" spans="1:15" s="1435" customFormat="1" ht="15" thickBot="1">
      <c r="A106" s="1490" t="s">
        <v>3656</v>
      </c>
      <c r="B106" s="1396">
        <v>1835382.48</v>
      </c>
      <c r="C106" s="1396">
        <v>0</v>
      </c>
      <c r="D106" s="1396">
        <v>0</v>
      </c>
      <c r="E106" s="1396">
        <v>1835382.48</v>
      </c>
      <c r="F106" s="1434"/>
      <c r="G106" s="1434"/>
      <c r="H106" s="1434"/>
      <c r="I106" s="1443"/>
      <c r="J106" s="1434"/>
      <c r="K106" s="1434"/>
      <c r="L106" s="1443"/>
      <c r="M106" s="1434"/>
      <c r="N106" s="1443"/>
      <c r="O106" s="1434"/>
    </row>
    <row r="107" spans="1:15" s="1435" customFormat="1" ht="15" thickTop="1">
      <c r="A107" s="1429" t="s">
        <v>2627</v>
      </c>
      <c r="B107" s="1438"/>
      <c r="C107" s="1439"/>
      <c r="D107" s="1439"/>
      <c r="E107" s="1439"/>
      <c r="F107" s="1434"/>
      <c r="G107" s="1434"/>
      <c r="H107" s="1444"/>
      <c r="I107" s="1443"/>
      <c r="J107" s="1442"/>
      <c r="K107" s="1442"/>
      <c r="L107" s="1443"/>
      <c r="M107" s="1442"/>
      <c r="N107" s="1443"/>
      <c r="O107" s="1442"/>
    </row>
    <row r="108" spans="1:15" s="1435" customFormat="1">
      <c r="A108" s="1426" t="s">
        <v>3655</v>
      </c>
      <c r="B108" s="1363">
        <v>1697679.88</v>
      </c>
      <c r="C108" s="1363">
        <v>0</v>
      </c>
      <c r="D108" s="1363">
        <v>0</v>
      </c>
      <c r="E108" s="1363">
        <v>1697679.88</v>
      </c>
      <c r="F108" s="1434"/>
      <c r="G108" s="1434"/>
      <c r="H108" s="1434"/>
      <c r="I108" s="1443"/>
      <c r="J108" s="1434"/>
      <c r="K108" s="1434"/>
      <c r="L108" s="1443"/>
      <c r="M108" s="1434"/>
      <c r="N108" s="1443"/>
      <c r="O108" s="1434"/>
    </row>
    <row r="109" spans="1:15" s="1076" customFormat="1">
      <c r="A109" s="523" t="s">
        <v>2641</v>
      </c>
      <c r="B109" s="147">
        <v>20991.360000000001</v>
      </c>
      <c r="C109" s="147"/>
      <c r="D109" s="147"/>
      <c r="E109" s="147">
        <v>20991.360000000001</v>
      </c>
      <c r="F109" s="516"/>
      <c r="G109" s="516"/>
      <c r="H109" s="516"/>
      <c r="I109" s="1077"/>
      <c r="J109" s="531"/>
      <c r="K109" s="531"/>
      <c r="L109" s="1077"/>
      <c r="M109" s="531"/>
      <c r="N109" s="1077"/>
      <c r="O109" s="516"/>
    </row>
    <row r="110" spans="1:15" s="1076" customFormat="1">
      <c r="A110" s="523" t="s">
        <v>2626</v>
      </c>
      <c r="B110" s="147">
        <v>0</v>
      </c>
      <c r="C110" s="147"/>
      <c r="D110" s="147"/>
      <c r="E110" s="147">
        <v>0</v>
      </c>
      <c r="F110" s="531"/>
      <c r="G110" s="531"/>
      <c r="H110" s="531"/>
      <c r="I110" s="1077"/>
      <c r="J110" s="531"/>
      <c r="K110" s="531"/>
      <c r="L110" s="1077"/>
      <c r="M110" s="531"/>
      <c r="N110" s="1077"/>
      <c r="O110" s="531"/>
    </row>
    <row r="111" spans="1:15" s="1076" customFormat="1">
      <c r="A111" s="523" t="s">
        <v>2642</v>
      </c>
      <c r="B111" s="147"/>
      <c r="C111" s="147"/>
      <c r="D111" s="147"/>
      <c r="E111" s="147">
        <v>0</v>
      </c>
      <c r="F111" s="531"/>
      <c r="G111" s="531"/>
      <c r="H111" s="531"/>
      <c r="I111" s="1077"/>
      <c r="J111" s="531"/>
      <c r="K111" s="531"/>
      <c r="L111" s="1077"/>
      <c r="M111" s="531"/>
      <c r="N111" s="1077"/>
      <c r="O111" s="531"/>
    </row>
    <row r="112" spans="1:15" s="1435" customFormat="1" ht="15" thickBot="1">
      <c r="A112" s="1423" t="s">
        <v>3656</v>
      </c>
      <c r="B112" s="1438">
        <v>1718671.24</v>
      </c>
      <c r="C112" s="1438">
        <v>0</v>
      </c>
      <c r="D112" s="1438">
        <v>0</v>
      </c>
      <c r="E112" s="1438">
        <v>1718671.24</v>
      </c>
      <c r="F112" s="1445"/>
      <c r="G112" s="1445"/>
      <c r="H112" s="1445"/>
      <c r="I112" s="1443"/>
      <c r="J112" s="1434"/>
      <c r="K112" s="1434"/>
      <c r="L112" s="1443"/>
      <c r="M112" s="1434"/>
      <c r="N112" s="1443"/>
      <c r="O112" s="1434"/>
    </row>
    <row r="113" spans="1:15" s="1435" customFormat="1" ht="15.6" thickTop="1" thickBot="1">
      <c r="A113" s="1491" t="s">
        <v>3657</v>
      </c>
      <c r="B113" s="1496">
        <v>116711.23999999999</v>
      </c>
      <c r="C113" s="1496">
        <v>0</v>
      </c>
      <c r="D113" s="1496">
        <v>0</v>
      </c>
      <c r="E113" s="1496">
        <v>116711.23999999999</v>
      </c>
      <c r="F113" s="1445"/>
      <c r="G113" s="1445"/>
      <c r="H113" s="1445"/>
      <c r="I113" s="1443"/>
      <c r="J113" s="1434"/>
      <c r="K113" s="1434"/>
      <c r="L113" s="1443"/>
      <c r="M113" s="1434"/>
      <c r="N113" s="1443"/>
      <c r="O113" s="1445"/>
    </row>
    <row r="114" spans="1:15" ht="15" thickTop="1">
      <c r="E114" s="252">
        <f>E113-'bilans, RZiS,przepływy,kapitały'!D40</f>
        <v>0</v>
      </c>
    </row>
    <row r="116" spans="1:15" s="1422" customFormat="1" ht="18">
      <c r="A116" s="1738" t="s">
        <v>3637</v>
      </c>
      <c r="B116" s="1738"/>
      <c r="C116" s="1738"/>
    </row>
    <row r="117" spans="1:15" ht="15" thickBot="1"/>
    <row r="118" spans="1:15" ht="19.8" thickBot="1">
      <c r="A118" s="1499"/>
      <c r="B118" s="1500" t="s">
        <v>3638</v>
      </c>
      <c r="C118" s="1500" t="s">
        <v>3641</v>
      </c>
      <c r="D118" s="1500" t="s">
        <v>2616</v>
      </c>
      <c r="E118" s="1500" t="s">
        <v>1501</v>
      </c>
    </row>
    <row r="119" spans="1:15" s="1422" customFormat="1">
      <c r="A119" s="1423" t="s">
        <v>2638</v>
      </c>
      <c r="B119" s="1423"/>
      <c r="C119" s="1423"/>
      <c r="D119" s="1423"/>
      <c r="E119" s="1423"/>
    </row>
    <row r="120" spans="1:15" s="1422" customFormat="1">
      <c r="A120" s="1426" t="s">
        <v>3862</v>
      </c>
      <c r="B120" s="1362">
        <f>'środki trwałe - amortyzacja '!B32</f>
        <v>1072602.99</v>
      </c>
      <c r="C120" s="1362">
        <f>'środki trwałe - amortyzacja '!C32</f>
        <v>8397795.0999999996</v>
      </c>
      <c r="D120" s="1362">
        <f>'środki trwałe - amortyzacja '!E32</f>
        <v>60461.61</v>
      </c>
      <c r="E120" s="1362">
        <f>SUM(B120:D120)</f>
        <v>9530859.6999999993</v>
      </c>
    </row>
    <row r="121" spans="1:15">
      <c r="A121" s="523" t="s">
        <v>3639</v>
      </c>
      <c r="B121" s="31">
        <f>'środki trwałe - amortyzacja '!B33</f>
        <v>0</v>
      </c>
      <c r="C121" s="31">
        <f>'środki trwałe - amortyzacja '!C33</f>
        <v>8223.3700000000008</v>
      </c>
      <c r="D121" s="31">
        <f>'środki trwałe - amortyzacja '!E33</f>
        <v>0</v>
      </c>
      <c r="E121" s="31">
        <f>SUM(B121:D121)</f>
        <v>8223.3700000000008</v>
      </c>
    </row>
    <row r="122" spans="1:15">
      <c r="A122" s="523" t="s">
        <v>3640</v>
      </c>
      <c r="B122" s="31">
        <f>'środki trwałe - amortyzacja '!B34</f>
        <v>0</v>
      </c>
      <c r="C122" s="31">
        <f>'środki trwałe - amortyzacja '!C34</f>
        <v>0</v>
      </c>
      <c r="D122" s="31">
        <f>'środki trwałe - amortyzacja '!E34</f>
        <v>0</v>
      </c>
      <c r="E122" s="31">
        <f>SUM(B122:D122)</f>
        <v>0</v>
      </c>
    </row>
    <row r="123" spans="1:15" s="1422" customFormat="1" ht="15" thickBot="1">
      <c r="A123" s="1490" t="s">
        <v>3863</v>
      </c>
      <c r="B123" s="1395">
        <f>SUM(B120:B122)</f>
        <v>1072602.99</v>
      </c>
      <c r="C123" s="1395">
        <f>SUM(C120:C122)</f>
        <v>8406018.4699999988</v>
      </c>
      <c r="D123" s="1395">
        <f>SUM(D120:D122)</f>
        <v>60461.61</v>
      </c>
      <c r="E123" s="1395">
        <f>SUM(B123:D123)</f>
        <v>9539083.0699999984</v>
      </c>
    </row>
    <row r="124" spans="1:15" s="1422" customFormat="1" ht="15" thickTop="1">
      <c r="A124" s="1429" t="s">
        <v>2627</v>
      </c>
      <c r="B124" s="1430"/>
      <c r="C124" s="1431"/>
      <c r="D124" s="1431"/>
      <c r="E124" s="1431"/>
    </row>
    <row r="125" spans="1:15" s="1422" customFormat="1">
      <c r="A125" s="1426" t="s">
        <v>3862</v>
      </c>
      <c r="B125" s="1362">
        <f>'środki trwałe - amortyzacja '!B36</f>
        <v>663753.22000000009</v>
      </c>
      <c r="C125" s="1362">
        <f>'środki trwałe - amortyzacja '!C36</f>
        <v>2226527.84</v>
      </c>
      <c r="D125" s="1362">
        <f>'środki trwałe - amortyzacja '!E36</f>
        <v>54196.38</v>
      </c>
      <c r="E125" s="1362">
        <f>SUM(B125:D125)</f>
        <v>2944477.44</v>
      </c>
    </row>
    <row r="126" spans="1:15">
      <c r="A126" s="523" t="s">
        <v>2641</v>
      </c>
      <c r="B126" s="31">
        <f>'środki trwałe - amortyzacja '!B37</f>
        <v>16567.93</v>
      </c>
      <c r="C126" s="31">
        <f>'środki trwałe - amortyzacja '!C37</f>
        <v>291812.76</v>
      </c>
      <c r="D126" s="31">
        <f>'środki trwałe - amortyzacja '!E37</f>
        <v>5126.1000000000058</v>
      </c>
      <c r="E126" s="31">
        <f>SUM(B126:D126)</f>
        <v>313506.79000000004</v>
      </c>
    </row>
    <row r="127" spans="1:15">
      <c r="A127" s="523" t="s">
        <v>3640</v>
      </c>
      <c r="B127" s="31">
        <f>'środki trwałe - amortyzacja '!B38</f>
        <v>0</v>
      </c>
      <c r="C127" s="31">
        <f>'środki trwałe - amortyzacja '!C38</f>
        <v>0</v>
      </c>
      <c r="D127" s="31">
        <f>'środki trwałe - amortyzacja '!E38</f>
        <v>0</v>
      </c>
      <c r="E127" s="31">
        <f>SUM(B127:D127)</f>
        <v>0</v>
      </c>
    </row>
    <row r="128" spans="1:15" s="1422" customFormat="1" ht="15" thickBot="1">
      <c r="A128" s="1423" t="s">
        <v>3863</v>
      </c>
      <c r="B128" s="1380">
        <f>SUM(B125:B127)</f>
        <v>680321.15000000014</v>
      </c>
      <c r="C128" s="1380">
        <f>SUM(C125:C127)</f>
        <v>2518340.5999999996</v>
      </c>
      <c r="D128" s="1380">
        <f>SUM(D125:D127)</f>
        <v>59322.48</v>
      </c>
      <c r="E128" s="1380">
        <f>SUM(B128:D128)</f>
        <v>3257984.23</v>
      </c>
    </row>
    <row r="129" spans="1:6" s="1422" customFormat="1" ht="15.6" thickTop="1" thickBot="1">
      <c r="A129" s="1491" t="s">
        <v>3864</v>
      </c>
      <c r="B129" s="1492">
        <f>B123-B128</f>
        <v>392281.83999999985</v>
      </c>
      <c r="C129" s="1492">
        <f>C123-C128</f>
        <v>5887677.8699999992</v>
      </c>
      <c r="D129" s="1492">
        <f>D123-D128</f>
        <v>1139.1299999999974</v>
      </c>
      <c r="E129" s="1492">
        <f>SUM(B129:D129)</f>
        <v>6281098.8399999989</v>
      </c>
      <c r="F129" s="1440">
        <f>E129-'bilans '!B46</f>
        <v>0</v>
      </c>
    </row>
    <row r="130" spans="1:6" ht="15.6" thickTop="1" thickBot="1">
      <c r="A130" s="392"/>
      <c r="B130" s="392"/>
      <c r="C130" s="392"/>
      <c r="D130" s="392"/>
      <c r="E130" s="392"/>
      <c r="F130" s="242"/>
    </row>
    <row r="131" spans="1:6" ht="19.8" thickBot="1">
      <c r="A131" s="1499"/>
      <c r="B131" s="1500" t="s">
        <v>3638</v>
      </c>
      <c r="C131" s="1500" t="s">
        <v>3641</v>
      </c>
      <c r="D131" s="1500" t="s">
        <v>2616</v>
      </c>
      <c r="E131" s="1500" t="s">
        <v>1501</v>
      </c>
      <c r="F131" s="242"/>
    </row>
    <row r="132" spans="1:6" s="1422" customFormat="1">
      <c r="A132" s="1423" t="s">
        <v>2638</v>
      </c>
      <c r="B132" s="1423"/>
      <c r="C132" s="1423"/>
      <c r="D132" s="1423"/>
      <c r="E132" s="1423"/>
      <c r="F132" s="1433"/>
    </row>
    <row r="133" spans="1:6" s="1422" customFormat="1">
      <c r="A133" s="1426" t="s">
        <v>3655</v>
      </c>
      <c r="B133" s="1363">
        <v>1072602.99</v>
      </c>
      <c r="C133" s="1363">
        <v>8119941.1799999997</v>
      </c>
      <c r="D133" s="1363">
        <v>233364.49</v>
      </c>
      <c r="E133" s="1363">
        <v>9425908.6600000001</v>
      </c>
      <c r="F133" s="1433"/>
    </row>
    <row r="134" spans="1:6">
      <c r="A134" s="523" t="s">
        <v>3639</v>
      </c>
      <c r="B134" s="147">
        <v>0</v>
      </c>
      <c r="C134" s="147">
        <v>277853.92</v>
      </c>
      <c r="D134" s="147">
        <v>0</v>
      </c>
      <c r="E134" s="147">
        <v>277853.92</v>
      </c>
      <c r="F134" s="242"/>
    </row>
    <row r="135" spans="1:6">
      <c r="A135" s="523" t="s">
        <v>3640</v>
      </c>
      <c r="B135" s="147">
        <v>0</v>
      </c>
      <c r="C135" s="147">
        <v>0</v>
      </c>
      <c r="D135" s="147">
        <v>-172902.88</v>
      </c>
      <c r="E135" s="147">
        <v>-172902.88</v>
      </c>
      <c r="F135" s="242"/>
    </row>
    <row r="136" spans="1:6" s="1422" customFormat="1" ht="15" thickBot="1">
      <c r="A136" s="1490" t="s">
        <v>3656</v>
      </c>
      <c r="B136" s="1396">
        <v>1072602.99</v>
      </c>
      <c r="C136" s="1396">
        <v>8397795.0999999996</v>
      </c>
      <c r="D136" s="1396">
        <v>60461.609999999986</v>
      </c>
      <c r="E136" s="1396">
        <v>9530859.6999999993</v>
      </c>
      <c r="F136" s="1433"/>
    </row>
    <row r="137" spans="1:6" s="1422" customFormat="1" ht="15" thickTop="1">
      <c r="A137" s="1429" t="s">
        <v>2627</v>
      </c>
      <c r="B137" s="1438"/>
      <c r="C137" s="1439"/>
      <c r="D137" s="1439"/>
      <c r="E137" s="1439"/>
      <c r="F137" s="1433"/>
    </row>
    <row r="138" spans="1:6" s="1422" customFormat="1">
      <c r="A138" s="1426" t="s">
        <v>3655</v>
      </c>
      <c r="B138" s="1363">
        <v>641560.86</v>
      </c>
      <c r="C138" s="1363">
        <v>1836313.68</v>
      </c>
      <c r="D138" s="1363">
        <v>214589.97</v>
      </c>
      <c r="E138" s="1363">
        <v>2692464.5100000002</v>
      </c>
      <c r="F138" s="1433"/>
    </row>
    <row r="139" spans="1:6">
      <c r="A139" s="523" t="s">
        <v>2641</v>
      </c>
      <c r="B139" s="147">
        <v>22192.36</v>
      </c>
      <c r="C139" s="147">
        <v>390214.16</v>
      </c>
      <c r="D139" s="147">
        <v>12509.29</v>
      </c>
      <c r="E139" s="147">
        <v>424915.80999999994</v>
      </c>
      <c r="F139" s="242"/>
    </row>
    <row r="140" spans="1:6">
      <c r="A140" s="523" t="s">
        <v>3640</v>
      </c>
      <c r="B140" s="147">
        <v>0</v>
      </c>
      <c r="C140" s="147">
        <v>0</v>
      </c>
      <c r="D140" s="147">
        <v>-172902.88</v>
      </c>
      <c r="E140" s="147">
        <v>-172902.88</v>
      </c>
      <c r="F140" s="242"/>
    </row>
    <row r="141" spans="1:6" s="1422" customFormat="1" ht="15" thickBot="1">
      <c r="A141" s="1423" t="s">
        <v>3656</v>
      </c>
      <c r="B141" s="1438">
        <v>663753.22</v>
      </c>
      <c r="C141" s="1438">
        <v>2226527.84</v>
      </c>
      <c r="D141" s="1438">
        <v>54196.380000000005</v>
      </c>
      <c r="E141" s="1438">
        <v>2944477.4399999995</v>
      </c>
      <c r="F141" s="1433"/>
    </row>
    <row r="142" spans="1:6" s="1422" customFormat="1" ht="15.6" thickTop="1" thickBot="1">
      <c r="A142" s="1491" t="s">
        <v>3657</v>
      </c>
      <c r="B142" s="1496">
        <v>408849.77</v>
      </c>
      <c r="C142" s="1496">
        <v>6171267.2599999998</v>
      </c>
      <c r="D142" s="1496">
        <v>6265.2299999999814</v>
      </c>
      <c r="E142" s="1496">
        <v>6586382.2599999998</v>
      </c>
      <c r="F142" s="1440">
        <f>E142-'bilans '!F46</f>
        <v>0</v>
      </c>
    </row>
    <row r="143" spans="1:6" ht="15" thickTop="1"/>
    <row r="144" spans="1:6" s="1422" customFormat="1" ht="18.600000000000001" thickBot="1">
      <c r="A144" s="1421" t="s">
        <v>3830</v>
      </c>
    </row>
    <row r="145" spans="1:7" ht="14.4" customHeight="1">
      <c r="A145" s="1767"/>
      <c r="B145" s="1769" t="s">
        <v>3865</v>
      </c>
      <c r="C145" s="1769"/>
      <c r="D145" s="1769"/>
      <c r="E145" s="1770" t="s">
        <v>3659</v>
      </c>
      <c r="F145" s="1770"/>
      <c r="G145" s="1770"/>
    </row>
    <row r="146" spans="1:7" ht="21" thickBot="1">
      <c r="A146" s="1768"/>
      <c r="B146" s="1487" t="s">
        <v>2643</v>
      </c>
      <c r="C146" s="1487" t="s">
        <v>2644</v>
      </c>
      <c r="D146" s="1487" t="s">
        <v>2645</v>
      </c>
      <c r="E146" s="1488" t="s">
        <v>2643</v>
      </c>
      <c r="F146" s="1488" t="s">
        <v>2644</v>
      </c>
      <c r="G146" s="1488" t="s">
        <v>2645</v>
      </c>
    </row>
    <row r="147" spans="1:7">
      <c r="A147" s="165" t="s">
        <v>2646</v>
      </c>
      <c r="B147" s="31">
        <f>'bilans '!B108-'bilans '!B116</f>
        <v>2733692.5899999901</v>
      </c>
      <c r="C147" s="31">
        <f>'bilans '!B116</f>
        <v>-975315.68999999901</v>
      </c>
      <c r="D147" s="31">
        <f>B147+C147</f>
        <v>1758376.8999999911</v>
      </c>
      <c r="E147" s="147">
        <v>3104805.05</v>
      </c>
      <c r="F147" s="147">
        <v>-1267309</v>
      </c>
      <c r="G147" s="147">
        <v>1837496.0499999998</v>
      </c>
    </row>
    <row r="148" spans="1:7">
      <c r="A148" s="165" t="s">
        <v>2647</v>
      </c>
      <c r="B148" s="31">
        <f>'bilans '!B120</f>
        <v>6082157.79</v>
      </c>
      <c r="C148" s="31"/>
      <c r="D148" s="31">
        <f>B148+C148</f>
        <v>6082157.79</v>
      </c>
      <c r="E148" s="147">
        <v>5868.8699999999899</v>
      </c>
      <c r="F148" s="147"/>
      <c r="G148" s="147">
        <v>5868.8699999999899</v>
      </c>
    </row>
    <row r="149" spans="1:7">
      <c r="A149" s="165" t="s">
        <v>2648</v>
      </c>
      <c r="B149" s="31"/>
      <c r="C149" s="31"/>
      <c r="D149" s="31">
        <f>B149+C149</f>
        <v>0</v>
      </c>
      <c r="E149" s="147"/>
      <c r="F149" s="147"/>
      <c r="G149" s="147">
        <v>0</v>
      </c>
    </row>
    <row r="150" spans="1:7" s="1422" customFormat="1" ht="15" thickBot="1">
      <c r="A150" s="1411" t="s">
        <v>2649</v>
      </c>
      <c r="B150" s="1395">
        <f>B149+B148+B147</f>
        <v>8815850.3799999896</v>
      </c>
      <c r="C150" s="1395">
        <f>C149+C148+C147</f>
        <v>-975315.68999999901</v>
      </c>
      <c r="D150" s="1395">
        <f>D149+D148+D147</f>
        <v>7840534.6899999911</v>
      </c>
      <c r="E150" s="1396">
        <v>3110673.92</v>
      </c>
      <c r="F150" s="1396">
        <v>-1267309</v>
      </c>
      <c r="G150" s="1396">
        <v>1843364.9199999997</v>
      </c>
    </row>
    <row r="151" spans="1:7" ht="15" thickTop="1">
      <c r="D151" s="252">
        <f>D150-'FC Spr.z syt.finans.'!B20</f>
        <v>0</v>
      </c>
      <c r="G151" s="252">
        <f>G150-'FC Spr.z syt.finans.'!C20</f>
        <v>0</v>
      </c>
    </row>
    <row r="152" spans="1:7" ht="15" thickBot="1"/>
    <row r="153" spans="1:7">
      <c r="A153" s="1739"/>
      <c r="B153" s="1503" t="s">
        <v>2009</v>
      </c>
      <c r="C153" s="1504" t="s">
        <v>2009</v>
      </c>
    </row>
    <row r="154" spans="1:7" ht="15" thickBot="1">
      <c r="A154" s="1740"/>
      <c r="B154" s="1505" t="str">
        <f>B70</f>
        <v>31 grudnia 2025</v>
      </c>
      <c r="C154" s="1506" t="str">
        <f>C70</f>
        <v>31 grudnia 2024</v>
      </c>
    </row>
    <row r="155" spans="1:7" s="1422" customFormat="1">
      <c r="A155" s="1446" t="s">
        <v>2650</v>
      </c>
      <c r="B155" s="1380">
        <f>C157</f>
        <v>-1267309</v>
      </c>
      <c r="C155" s="1438">
        <v>-1461043.29</v>
      </c>
    </row>
    <row r="156" spans="1:7">
      <c r="A156" s="165" t="s">
        <v>2651</v>
      </c>
      <c r="B156" s="31">
        <f>C147-B155</f>
        <v>291993.31000000099</v>
      </c>
      <c r="C156" s="147">
        <v>193734.29000000004</v>
      </c>
    </row>
    <row r="157" spans="1:7" s="1422" customFormat="1" ht="15" thickBot="1">
      <c r="A157" s="1411" t="s">
        <v>2652</v>
      </c>
      <c r="B157" s="1395">
        <f>B155+B156</f>
        <v>-975315.68999999901</v>
      </c>
      <c r="C157" s="1396">
        <v>-1267309</v>
      </c>
    </row>
    <row r="158" spans="1:7" ht="15" thickTop="1">
      <c r="B158" s="252">
        <f>B157-C150</f>
        <v>0</v>
      </c>
      <c r="C158" s="252">
        <f>C157-F150</f>
        <v>0</v>
      </c>
    </row>
    <row r="160" spans="1:7" s="1422" customFormat="1" ht="16.2" thickBot="1">
      <c r="A160" s="1718" t="s">
        <v>3831</v>
      </c>
      <c r="B160" s="1718"/>
      <c r="C160" s="1718"/>
    </row>
    <row r="161" spans="1:6">
      <c r="A161" s="1704"/>
      <c r="B161" s="1485" t="s">
        <v>1449</v>
      </c>
      <c r="C161" s="1486" t="s">
        <v>1449</v>
      </c>
    </row>
    <row r="162" spans="1:6" ht="15" thickBot="1">
      <c r="A162" s="1705"/>
      <c r="B162" s="1487" t="str">
        <f>B154</f>
        <v>31 grudnia 2025</v>
      </c>
      <c r="C162" s="1488" t="str">
        <f>C154</f>
        <v>31 grudnia 2024</v>
      </c>
    </row>
    <row r="163" spans="1:6" s="1422" customFormat="1">
      <c r="A163" s="1429" t="s">
        <v>2653</v>
      </c>
      <c r="B163" s="1386"/>
      <c r="C163" s="1387"/>
    </row>
    <row r="164" spans="1:6">
      <c r="A164" s="165" t="s">
        <v>2654</v>
      </c>
      <c r="B164" s="69">
        <f>'bilans '!B231</f>
        <v>83106.159999999785</v>
      </c>
      <c r="C164" s="506">
        <v>61437.270000000004</v>
      </c>
    </row>
    <row r="165" spans="1:6">
      <c r="A165" s="165" t="s">
        <v>2572</v>
      </c>
      <c r="B165" s="69">
        <f>'bilans '!B236</f>
        <v>49342.18</v>
      </c>
      <c r="C165" s="506">
        <v>65996.399999999907</v>
      </c>
    </row>
    <row r="166" spans="1:6">
      <c r="A166" s="165" t="s">
        <v>3078</v>
      </c>
      <c r="B166" s="69">
        <f>'bilans '!B238</f>
        <v>6252.9799999999896</v>
      </c>
      <c r="C166" s="506">
        <v>7789.17</v>
      </c>
    </row>
    <row r="167" spans="1:6">
      <c r="A167" s="165" t="s">
        <v>2655</v>
      </c>
      <c r="B167" s="69">
        <f>'bilans '!B244</f>
        <v>830563.31000000855</v>
      </c>
      <c r="C167" s="506">
        <v>13484.880000010162</v>
      </c>
    </row>
    <row r="168" spans="1:6" ht="15" thickBot="1">
      <c r="A168" s="1507" t="s">
        <v>2656</v>
      </c>
      <c r="B168" s="1508">
        <f>'bilans '!B276</f>
        <v>32524.2599999999</v>
      </c>
      <c r="C168" s="1509">
        <v>7764.4799999999896</v>
      </c>
    </row>
    <row r="169" spans="1:6" s="1422" customFormat="1">
      <c r="A169" s="1429" t="s">
        <v>2657</v>
      </c>
      <c r="B169" s="1386"/>
      <c r="C169" s="1387"/>
    </row>
    <row r="170" spans="1:6">
      <c r="A170" s="165" t="s">
        <v>2658</v>
      </c>
      <c r="B170" s="69">
        <f>'bilans '!B282</f>
        <v>0</v>
      </c>
      <c r="C170" s="506">
        <v>0</v>
      </c>
    </row>
    <row r="171" spans="1:6">
      <c r="A171" s="165" t="s">
        <v>2659</v>
      </c>
      <c r="B171" s="69">
        <f>'bilans '!B284</f>
        <v>0</v>
      </c>
      <c r="C171" s="506">
        <v>0</v>
      </c>
    </row>
    <row r="172" spans="1:6">
      <c r="A172" s="165" t="s">
        <v>2660</v>
      </c>
      <c r="B172" s="69">
        <f>'bilans '!B288</f>
        <v>24872.209999999901</v>
      </c>
      <c r="C172" s="506">
        <v>11426.48</v>
      </c>
    </row>
    <row r="173" spans="1:6">
      <c r="A173" s="165" t="s">
        <v>2661</v>
      </c>
      <c r="B173" s="69">
        <f>'bilans '!B305</f>
        <v>1578366.3799999901</v>
      </c>
      <c r="C173" s="506">
        <v>1608192.1599999899</v>
      </c>
      <c r="D173" s="590"/>
      <c r="E173" s="590"/>
      <c r="F173" s="590"/>
    </row>
    <row r="174" spans="1:6">
      <c r="A174" s="165" t="s">
        <v>1467</v>
      </c>
      <c r="B174" s="69">
        <f>'bilans '!B292-'noty do bilansu'!B173</f>
        <v>1172.1100000001024</v>
      </c>
      <c r="C174" s="506">
        <v>0</v>
      </c>
      <c r="D174" s="590"/>
      <c r="E174" s="590"/>
      <c r="F174" s="590"/>
    </row>
    <row r="175" spans="1:6" s="1422" customFormat="1" ht="15" thickBot="1">
      <c r="A175" s="1411" t="s">
        <v>2662</v>
      </c>
      <c r="B175" s="1406">
        <f>SUM(B164:B174)</f>
        <v>2606199.589999998</v>
      </c>
      <c r="C175" s="1407">
        <v>1776090.8399999999</v>
      </c>
    </row>
    <row r="176" spans="1:6" ht="15" thickTop="1">
      <c r="B176" s="252">
        <f>B175-'FC Spr.z syt.finans.'!B28</f>
        <v>0</v>
      </c>
      <c r="C176" s="252">
        <f>C175-'FC Spr.z syt.finans.'!C28</f>
        <v>0</v>
      </c>
    </row>
    <row r="178" spans="1:3" s="1422" customFormat="1" ht="18.600000000000001" thickBot="1">
      <c r="A178" s="1738" t="s">
        <v>3832</v>
      </c>
      <c r="B178" s="1738"/>
      <c r="C178" s="1738"/>
    </row>
    <row r="179" spans="1:3">
      <c r="A179" s="1704"/>
      <c r="B179" s="1485" t="s">
        <v>1449</v>
      </c>
      <c r="C179" s="1486" t="s">
        <v>1449</v>
      </c>
    </row>
    <row r="180" spans="1:3" ht="15" thickBot="1">
      <c r="A180" s="1705"/>
      <c r="B180" s="1487" t="str">
        <f>B162</f>
        <v>31 grudnia 2025</v>
      </c>
      <c r="C180" s="1488" t="str">
        <f>C162</f>
        <v>31 grudnia 2024</v>
      </c>
    </row>
    <row r="181" spans="1:3">
      <c r="A181" s="165" t="s">
        <v>2663</v>
      </c>
      <c r="B181" s="69">
        <f>'bilans '!B308+'bilans '!B309+'bilans '!B310+'bilans '!B312+'bilans '!B313+'bilans '!B314+'bilans '!B315+'bilans '!B316+'bilans '!B317+'bilans '!B320+'bilans '!B324+'bilans '!B328+'bilans '!B330+'bilans '!B325+'bilans '!B326+'bilans '!B327+'bilans '!B311</f>
        <v>14712.42</v>
      </c>
      <c r="C181" s="506">
        <v>69668.909999999902</v>
      </c>
    </row>
    <row r="182" spans="1:3">
      <c r="A182" s="165" t="s">
        <v>2664</v>
      </c>
      <c r="B182" s="69"/>
      <c r="C182" s="506"/>
    </row>
    <row r="183" spans="1:3">
      <c r="A183" s="165" t="s">
        <v>2665</v>
      </c>
      <c r="B183" s="69"/>
      <c r="C183" s="506"/>
    </row>
    <row r="184" spans="1:3" ht="15" thickBot="1">
      <c r="A184" s="532" t="s">
        <v>2666</v>
      </c>
      <c r="B184" s="533">
        <f>'bilans '!B318+'bilans '!B319+'bilans '!B329</f>
        <v>516196.25</v>
      </c>
      <c r="C184" s="534">
        <v>1281527.82</v>
      </c>
    </row>
    <row r="185" spans="1:3" s="1422" customFormat="1" ht="15" thickBot="1">
      <c r="A185" s="1510" t="s">
        <v>2565</v>
      </c>
      <c r="B185" s="1511">
        <f>SUM(B181:B184)</f>
        <v>530908.67000000004</v>
      </c>
      <c r="C185" s="1512">
        <v>1351196.73</v>
      </c>
    </row>
    <row r="186" spans="1:3" ht="21" thickTop="1">
      <c r="A186" s="165" t="s">
        <v>2667</v>
      </c>
      <c r="B186" s="69"/>
      <c r="C186" s="506"/>
    </row>
    <row r="187" spans="1:3">
      <c r="A187" s="503" t="s">
        <v>2668</v>
      </c>
      <c r="B187" s="69"/>
      <c r="C187" s="506"/>
    </row>
    <row r="188" spans="1:3" s="1422" customFormat="1" ht="20.399999999999999">
      <c r="A188" s="1429" t="s">
        <v>2669</v>
      </c>
      <c r="B188" s="1369">
        <f>B185</f>
        <v>530908.67000000004</v>
      </c>
      <c r="C188" s="1370">
        <v>1351196.73</v>
      </c>
    </row>
    <row r="189" spans="1:3" ht="15" thickBot="1">
      <c r="A189" s="1513"/>
      <c r="B189" s="1514"/>
      <c r="C189" s="1515"/>
    </row>
    <row r="190" spans="1:3" ht="15" thickTop="1">
      <c r="B190" s="252">
        <f>B185-'FC Spr.z syt.finans.'!B29</f>
        <v>0</v>
      </c>
      <c r="C190" s="252">
        <f>C185-'FC Spr.z syt.finans.'!C29</f>
        <v>0</v>
      </c>
    </row>
    <row r="191" spans="1:3">
      <c r="B191" s="252">
        <f>B188-'bilans, RZiS,przepływy,kapitały'!C154</f>
        <v>1.0896474123001099E-7</v>
      </c>
      <c r="C191" s="252">
        <f>C188-'bilans, RZiS,przepływy,kapitały'!D154</f>
        <v>-1.0109506547451019E-6</v>
      </c>
    </row>
    <row r="192" spans="1:3" s="1422" customFormat="1" ht="18.600000000000001" thickBot="1">
      <c r="A192" s="1738" t="s">
        <v>3833</v>
      </c>
      <c r="B192" s="1738"/>
      <c r="C192" s="1738"/>
    </row>
    <row r="193" spans="1:6">
      <c r="A193" s="1704"/>
      <c r="B193" s="1485" t="s">
        <v>1449</v>
      </c>
      <c r="C193" s="1486" t="s">
        <v>1449</v>
      </c>
    </row>
    <row r="194" spans="1:6" ht="15" thickBot="1">
      <c r="A194" s="1705"/>
      <c r="B194" s="1487" t="str">
        <f>B180</f>
        <v>31 grudnia 2025</v>
      </c>
      <c r="C194" s="1488" t="str">
        <f>C180</f>
        <v>31 grudnia 2024</v>
      </c>
    </row>
    <row r="195" spans="1:6" ht="14.4" customHeight="1">
      <c r="A195" s="57" t="s">
        <v>2670</v>
      </c>
      <c r="B195" s="48">
        <f>'bilans '!B251+'bilans '!B252+'bilans '!B253+'bilans '!B254+'bilans '!B255</f>
        <v>259301.87</v>
      </c>
      <c r="C195" s="477">
        <v>291252.90000000002</v>
      </c>
      <c r="F195" s="590"/>
    </row>
    <row r="196" spans="1:6">
      <c r="A196" s="57" t="s">
        <v>2671</v>
      </c>
      <c r="B196" s="48">
        <f>'bilans '!B245+'bilans '!B246+'bilans '!B247+'bilans '!B248+'bilans '!B249</f>
        <v>3075881.4399999995</v>
      </c>
      <c r="C196" s="477">
        <v>1204599.6199999999</v>
      </c>
      <c r="F196" s="590"/>
    </row>
    <row r="197" spans="1:6">
      <c r="A197" s="57" t="s">
        <v>2672</v>
      </c>
      <c r="B197" s="48">
        <f>'bilans '!B250+'bilans '!B256+'bilans '!B274</f>
        <v>0</v>
      </c>
      <c r="C197" s="477">
        <v>13305</v>
      </c>
      <c r="F197" s="590"/>
    </row>
    <row r="198" spans="1:6">
      <c r="A198" s="57" t="s">
        <v>2673</v>
      </c>
      <c r="B198" s="48">
        <f>'bilans '!B258+'bilans '!B259+'bilans '!B260+'bilans '!B261+'bilans '!B262+'bilans '!B263+'bilans '!B264+'bilans '!B265+'bilans '!B266+'bilans '!B267+'bilans '!B268+'bilans '!B269+'bilans '!B270+'bilans '!B271+'bilans '!B272+'bilans '!B273+'bilans '!B275+'bilans '!B257</f>
        <v>-2504619.9999999907</v>
      </c>
      <c r="C198" s="477">
        <v>-1495672.6399999906</v>
      </c>
      <c r="F198" s="590"/>
    </row>
    <row r="199" spans="1:6" s="1422" customFormat="1">
      <c r="A199" s="1447" t="s">
        <v>2674</v>
      </c>
      <c r="B199" s="1369">
        <f>SUM(B195:B198)</f>
        <v>830563.3100000089</v>
      </c>
      <c r="C199" s="1370">
        <v>13484.880000009434</v>
      </c>
      <c r="D199" s="1758" t="s">
        <v>3028</v>
      </c>
      <c r="E199" s="1758"/>
      <c r="F199" s="1425"/>
    </row>
    <row r="200" spans="1:6" s="1422" customFormat="1" ht="15" thickBot="1">
      <c r="A200" s="1516" t="s">
        <v>3834</v>
      </c>
      <c r="B200" s="1517">
        <f>'RZiS, koszty rodz.'!B399</f>
        <v>3314732.24</v>
      </c>
      <c r="C200" s="1518">
        <v>3084622.33</v>
      </c>
      <c r="D200" s="1448" t="str">
        <f>B194</f>
        <v>31 grudnia 2025</v>
      </c>
      <c r="E200" s="1448" t="str">
        <f>C194</f>
        <v>31 grudnia 2024</v>
      </c>
      <c r="F200" s="1425"/>
    </row>
    <row r="201" spans="1:6" ht="15.6" thickTop="1" thickBot="1">
      <c r="B201" s="858">
        <f>'RZiS, koszty rodz.'!B399-B200</f>
        <v>0</v>
      </c>
      <c r="C201" s="858">
        <f>'RZiS, koszty rodz.'!C399-C200</f>
        <v>0</v>
      </c>
      <c r="D201" s="1078">
        <f>B195+B196+B197</f>
        <v>3335183.3099999996</v>
      </c>
      <c r="E201" s="1078">
        <f>C195+C196+C197</f>
        <v>1509157.52</v>
      </c>
      <c r="F201" s="590"/>
    </row>
    <row r="202" spans="1:6" s="1076" customFormat="1" ht="54" customHeight="1" thickTop="1">
      <c r="A202" s="1737" t="s">
        <v>3866</v>
      </c>
      <c r="B202" s="1737"/>
      <c r="C202" s="1737"/>
    </row>
    <row r="204" spans="1:6" s="1422" customFormat="1" ht="18">
      <c r="A204" s="1421" t="s">
        <v>3835</v>
      </c>
    </row>
    <row r="205" spans="1:6" s="1422" customFormat="1" ht="16.2" thickBot="1">
      <c r="A205" s="1449" t="s">
        <v>3836</v>
      </c>
    </row>
    <row r="206" spans="1:6">
      <c r="A206" s="1735" t="s">
        <v>1509</v>
      </c>
      <c r="B206" s="1503" t="s">
        <v>1449</v>
      </c>
      <c r="C206" s="1504" t="s">
        <v>1449</v>
      </c>
    </row>
    <row r="207" spans="1:6" ht="15" thickBot="1">
      <c r="A207" s="1736"/>
      <c r="B207" s="1505" t="str">
        <f>B194</f>
        <v>31 grudnia 2025</v>
      </c>
      <c r="C207" s="1506" t="str">
        <f>C194</f>
        <v>31 grudnia 2024</v>
      </c>
    </row>
    <row r="208" spans="1:6">
      <c r="A208" s="57" t="s">
        <v>2675</v>
      </c>
      <c r="B208" s="16">
        <v>29574500</v>
      </c>
      <c r="C208" s="146">
        <v>29574500</v>
      </c>
      <c r="D208" s="1743" t="s">
        <v>3514</v>
      </c>
    </row>
    <row r="209" spans="1:4">
      <c r="A209" s="57" t="s">
        <v>2676</v>
      </c>
      <c r="B209" s="16">
        <v>5250000</v>
      </c>
      <c r="C209" s="146">
        <v>5250000</v>
      </c>
      <c r="D209" s="1743"/>
    </row>
    <row r="210" spans="1:4" ht="20.399999999999999">
      <c r="A210" s="57" t="s">
        <v>3070</v>
      </c>
      <c r="B210" s="16">
        <v>50000</v>
      </c>
      <c r="C210" s="146">
        <v>50000</v>
      </c>
      <c r="D210" s="1743"/>
    </row>
    <row r="211" spans="1:4" s="1422" customFormat="1" ht="15" thickBot="1">
      <c r="A211" s="1411" t="s">
        <v>2677</v>
      </c>
      <c r="B211" s="1395">
        <f>SUM(B208:B210)</f>
        <v>34874500</v>
      </c>
      <c r="C211" s="1396">
        <v>34874500</v>
      </c>
      <c r="D211" s="1743"/>
    </row>
    <row r="212" spans="1:4" ht="15" thickTop="1">
      <c r="B212" s="252">
        <f>B211-'FC Spr.z syt.finans.'!B37</f>
        <v>0</v>
      </c>
      <c r="C212" s="252">
        <f>C211-'FC Spr.z syt.finans.'!C37</f>
        <v>0</v>
      </c>
    </row>
    <row r="213" spans="1:4" s="1422" customFormat="1" ht="15.6">
      <c r="A213" s="1449" t="s">
        <v>3837</v>
      </c>
    </row>
    <row r="214" spans="1:4">
      <c r="A214" s="535" t="s">
        <v>2678</v>
      </c>
    </row>
    <row r="216" spans="1:4" s="1422" customFormat="1" ht="15.6">
      <c r="A216" s="1449" t="s">
        <v>3838</v>
      </c>
    </row>
    <row r="217" spans="1:4">
      <c r="A217" s="535" t="s">
        <v>2679</v>
      </c>
    </row>
    <row r="218" spans="1:4">
      <c r="A218" s="535"/>
    </row>
    <row r="219" spans="1:4" s="1422" customFormat="1" ht="15.6">
      <c r="A219" s="1718" t="s">
        <v>3839</v>
      </c>
      <c r="B219" s="1718"/>
    </row>
    <row r="220" spans="1:4">
      <c r="A220" s="535" t="s">
        <v>2678</v>
      </c>
    </row>
    <row r="221" spans="1:4">
      <c r="A221" s="535"/>
    </row>
    <row r="222" spans="1:4" s="1422" customFormat="1" ht="16.2" thickBot="1">
      <c r="A222" s="1718" t="s">
        <v>3840</v>
      </c>
      <c r="B222" s="1718"/>
      <c r="C222" s="1718"/>
      <c r="D222" s="1718"/>
    </row>
    <row r="223" spans="1:4">
      <c r="A223" s="1741"/>
      <c r="B223" s="1485" t="s">
        <v>1449</v>
      </c>
      <c r="C223" s="1486" t="s">
        <v>1449</v>
      </c>
    </row>
    <row r="224" spans="1:4" ht="15" thickBot="1">
      <c r="A224" s="1742"/>
      <c r="B224" s="1487" t="str">
        <f>B207</f>
        <v>31 grudnia 2025</v>
      </c>
      <c r="C224" s="1488" t="str">
        <f>C207</f>
        <v>31 grudnia 2024</v>
      </c>
    </row>
    <row r="225" spans="1:13" ht="20.399999999999999">
      <c r="A225" s="165" t="s">
        <v>2680</v>
      </c>
      <c r="B225" s="48">
        <f>-'bilans '!B348-'bilans '!B349-'bilans '!B350-'noty do bilansu'!B226</f>
        <v>-1582896.2499999921</v>
      </c>
      <c r="C225" s="477">
        <v>-1729242.8399999922</v>
      </c>
      <c r="D225" s="1079"/>
      <c r="E225" s="241"/>
      <c r="F225" s="241"/>
      <c r="G225" s="241"/>
      <c r="H225" s="241"/>
    </row>
    <row r="226" spans="1:13">
      <c r="A226" s="165" t="s">
        <v>2681</v>
      </c>
      <c r="B226" s="48">
        <f>'bilans, RZiS,przepływy,kapitały'!C27</f>
        <v>0</v>
      </c>
      <c r="C226" s="477">
        <v>146346.59000000003</v>
      </c>
      <c r="D226" s="1079"/>
      <c r="F226" s="1021"/>
      <c r="G226" s="1021"/>
      <c r="H226" s="1021"/>
      <c r="I226" s="1021"/>
      <c r="J226" s="1021"/>
      <c r="K226" s="1021"/>
    </row>
    <row r="227" spans="1:13">
      <c r="A227" s="165" t="s">
        <v>2682</v>
      </c>
      <c r="B227" s="48">
        <f>-'bilans '!B345-'bilans '!B346-'bilans '!B347</f>
        <v>-22152423.800000001</v>
      </c>
      <c r="C227" s="477">
        <v>-22391565.859999899</v>
      </c>
      <c r="E227" s="241"/>
      <c r="F227" s="241"/>
      <c r="G227" s="241"/>
      <c r="H227" s="241"/>
    </row>
    <row r="228" spans="1:13">
      <c r="A228" s="165" t="s">
        <v>2683</v>
      </c>
      <c r="B228" s="48">
        <f>-'bilans '!B351</f>
        <v>7919232.7899999972</v>
      </c>
      <c r="C228" s="477">
        <v>239142.0600009663</v>
      </c>
    </row>
    <row r="229" spans="1:13" s="1422" customFormat="1" ht="21" thickBot="1">
      <c r="A229" s="1411" t="s">
        <v>2684</v>
      </c>
      <c r="B229" s="1406">
        <f>SUM(B225:B228)</f>
        <v>-15816087.259999996</v>
      </c>
      <c r="C229" s="1407">
        <v>-23735320.049998924</v>
      </c>
      <c r="E229" s="1746" t="s">
        <v>3624</v>
      </c>
      <c r="F229" s="1746"/>
      <c r="G229" s="1746"/>
      <c r="H229" s="1746"/>
      <c r="J229" s="1748" t="s">
        <v>3566</v>
      </c>
      <c r="K229" s="1748"/>
      <c r="L229" s="1748"/>
      <c r="M229" s="1748"/>
    </row>
    <row r="230" spans="1:13" ht="15" thickTop="1">
      <c r="B230" s="252">
        <f>B229-'FC Spr.z syt.finans.'!B45-'FC Spr.z syt.finans.'!B46</f>
        <v>0</v>
      </c>
      <c r="C230" s="252">
        <f>C229-'FC Spr.z syt.finans.'!C45-'FC Spr.z syt.finans.'!C46</f>
        <v>9.3132257461547852E-10</v>
      </c>
      <c r="E230" s="1746"/>
      <c r="F230" s="1746"/>
      <c r="G230" s="1746"/>
      <c r="H230" s="1746"/>
      <c r="J230" s="1748"/>
      <c r="K230" s="1748"/>
      <c r="L230" s="1748"/>
      <c r="M230" s="1748"/>
    </row>
    <row r="231" spans="1:13">
      <c r="E231" s="1746"/>
      <c r="F231" s="1746"/>
      <c r="G231" s="1746"/>
      <c r="H231" s="1746"/>
      <c r="J231" s="1748"/>
      <c r="K231" s="1748"/>
      <c r="L231" s="1748"/>
      <c r="M231" s="1748"/>
    </row>
    <row r="232" spans="1:13" s="1422" customFormat="1" ht="18">
      <c r="A232" s="1421" t="s">
        <v>3841</v>
      </c>
    </row>
    <row r="233" spans="1:13" ht="15" thickBot="1">
      <c r="A233" s="1771" t="s">
        <v>2685</v>
      </c>
      <c r="B233" s="1771"/>
      <c r="C233" s="1771"/>
      <c r="D233" s="1771"/>
      <c r="E233" s="1771"/>
    </row>
    <row r="234" spans="1:13" ht="14.4" customHeight="1">
      <c r="A234" s="1519"/>
      <c r="B234" s="1731" t="s">
        <v>3865</v>
      </c>
      <c r="C234" s="1731"/>
      <c r="D234" s="1732" t="s">
        <v>3659</v>
      </c>
      <c r="E234" s="1732"/>
    </row>
    <row r="235" spans="1:13" ht="15" thickBot="1">
      <c r="A235" s="1520"/>
      <c r="B235" s="1505" t="s">
        <v>2686</v>
      </c>
      <c r="C235" s="1505" t="s">
        <v>2687</v>
      </c>
      <c r="D235" s="1506" t="s">
        <v>2686</v>
      </c>
      <c r="E235" s="1506" t="s">
        <v>2687</v>
      </c>
    </row>
    <row r="236" spans="1:13">
      <c r="A236" s="57" t="s">
        <v>2688</v>
      </c>
      <c r="B236" s="48">
        <f>-'bilans '!B370-'bilans '!B372</f>
        <v>11818936</v>
      </c>
      <c r="C236" s="16">
        <f>-'bilans '!B589-'bilans '!B591-'bilans '!B593</f>
        <v>1951064</v>
      </c>
      <c r="D236" s="477">
        <v>12434913</v>
      </c>
      <c r="E236" s="146">
        <v>1857555</v>
      </c>
    </row>
    <row r="237" spans="1:13">
      <c r="A237" s="57" t="s">
        <v>2689</v>
      </c>
      <c r="B237" s="48">
        <f>-'bilans '!B374</f>
        <v>3002458.29999999</v>
      </c>
      <c r="C237" s="16">
        <f>-'bilans '!B595</f>
        <v>297476.179999999</v>
      </c>
      <c r="D237" s="477">
        <v>3002458.29999999</v>
      </c>
      <c r="E237" s="146">
        <v>362734.57</v>
      </c>
    </row>
    <row r="238" spans="1:13" s="1422" customFormat="1" ht="15" thickBot="1">
      <c r="A238" s="1411" t="s">
        <v>2690</v>
      </c>
      <c r="B238" s="1406">
        <f>B237+B236</f>
        <v>14821394.29999999</v>
      </c>
      <c r="C238" s="1406">
        <f>C237+C236</f>
        <v>2248540.1799999988</v>
      </c>
      <c r="D238" s="1407">
        <v>15437371.29999999</v>
      </c>
      <c r="E238" s="1407">
        <v>2220289.5699999998</v>
      </c>
    </row>
    <row r="239" spans="1:13" ht="15" thickTop="1">
      <c r="B239" s="252">
        <f>B238-'FC Spr.z syt.finans.'!B58</f>
        <v>0</v>
      </c>
      <c r="C239" s="252">
        <f>C238-'FC Spr.z syt.finans.'!B75</f>
        <v>0</v>
      </c>
      <c r="D239" s="252">
        <f>D238-'FC Spr.z syt.finans.'!C58</f>
        <v>0</v>
      </c>
      <c r="E239" s="252">
        <f>E238-'FC Spr.z syt.finans.'!C75</f>
        <v>0</v>
      </c>
    </row>
    <row r="240" spans="1:13" s="1422" customFormat="1" ht="15" thickBot="1">
      <c r="A240" s="1450" t="s">
        <v>2301</v>
      </c>
      <c r="E240" s="1433"/>
    </row>
    <row r="241" spans="1:6" ht="24.6" customHeight="1" thickBot="1">
      <c r="A241" s="1521"/>
      <c r="B241" s="1522" t="s">
        <v>2688</v>
      </c>
      <c r="C241" s="1522" t="s">
        <v>2023</v>
      </c>
      <c r="D241" s="1522" t="s">
        <v>1501</v>
      </c>
      <c r="E241" s="1080"/>
      <c r="F241" s="509"/>
    </row>
    <row r="242" spans="1:6" s="1422" customFormat="1">
      <c r="A242" s="1429" t="s">
        <v>3867</v>
      </c>
      <c r="B242" s="1362">
        <f>'wycena rezerw aktuarialnych'!M2</f>
        <v>14292468</v>
      </c>
      <c r="C242" s="1380">
        <f>D242-B242</f>
        <v>3365192.8699999899</v>
      </c>
      <c r="D242" s="1380">
        <f>'FC Spr.z syt.finans.'!C58+'FC Spr.z syt.finans.'!C75</f>
        <v>17657660.86999999</v>
      </c>
      <c r="E242" s="1451"/>
      <c r="F242" s="1452"/>
    </row>
    <row r="243" spans="1:6">
      <c r="A243" s="57" t="s">
        <v>2691</v>
      </c>
      <c r="B243" s="16">
        <f>'wycena rezerw aktuarialnych'!M5</f>
        <v>0</v>
      </c>
      <c r="C243" s="16"/>
      <c r="D243" s="16">
        <f t="shared" ref="D243:D256" si="4">C243+B243</f>
        <v>0</v>
      </c>
      <c r="E243" s="1080"/>
      <c r="F243" s="536"/>
    </row>
    <row r="244" spans="1:6" ht="15.6">
      <c r="A244" s="57" t="s">
        <v>2692</v>
      </c>
      <c r="B244" s="16">
        <f>'wycena rezerw aktuarialnych'!M4</f>
        <v>469803</v>
      </c>
      <c r="C244" s="16"/>
      <c r="D244" s="16">
        <f t="shared" si="4"/>
        <v>469803</v>
      </c>
      <c r="E244" s="1754"/>
      <c r="F244" s="1754"/>
    </row>
    <row r="245" spans="1:6">
      <c r="A245" s="57" t="s">
        <v>1775</v>
      </c>
      <c r="B245" s="16">
        <v>0</v>
      </c>
      <c r="C245" s="16"/>
      <c r="D245" s="16">
        <f t="shared" si="4"/>
        <v>0</v>
      </c>
      <c r="E245" s="1080"/>
      <c r="F245" s="536"/>
    </row>
    <row r="246" spans="1:6">
      <c r="A246" s="57" t="s">
        <v>2693</v>
      </c>
      <c r="B246" s="16">
        <f>'wycena rezerw aktuarialnych'!M9</f>
        <v>622111</v>
      </c>
      <c r="C246" s="16"/>
      <c r="D246" s="16">
        <f t="shared" si="4"/>
        <v>622111</v>
      </c>
      <c r="E246" s="1081">
        <f>B246-'RZiS, koszty rodz.'!B163-'RZiS, koszty rodz.'!B164</f>
        <v>0</v>
      </c>
      <c r="F246" s="536"/>
    </row>
    <row r="247" spans="1:6">
      <c r="A247" s="57" t="s">
        <v>2694</v>
      </c>
      <c r="B247" s="16">
        <f>'wycena rezerw aktuarialnych'!M8</f>
        <v>0</v>
      </c>
      <c r="C247" s="16"/>
      <c r="D247" s="16">
        <f t="shared" si="4"/>
        <v>0</v>
      </c>
      <c r="E247" s="1077"/>
      <c r="F247" s="536"/>
    </row>
    <row r="248" spans="1:6">
      <c r="A248" s="57" t="s">
        <v>2695</v>
      </c>
      <c r="B248" s="16">
        <f>'wycena rezerw aktuarialnych'!M6</f>
        <v>-1614382</v>
      </c>
      <c r="C248" s="16">
        <v>-369118.34</v>
      </c>
      <c r="D248" s="16">
        <f t="shared" si="4"/>
        <v>-1983500.34</v>
      </c>
      <c r="E248" s="536"/>
      <c r="F248" s="1077"/>
    </row>
    <row r="249" spans="1:6">
      <c r="A249" s="57" t="s">
        <v>2696</v>
      </c>
      <c r="B249" s="16">
        <v>0</v>
      </c>
      <c r="C249" s="16">
        <v>-5675.25</v>
      </c>
      <c r="D249" s="16">
        <f t="shared" si="4"/>
        <v>-5675.25</v>
      </c>
      <c r="E249" s="1744" t="s">
        <v>2835</v>
      </c>
      <c r="F249" s="1744"/>
    </row>
    <row r="250" spans="1:6">
      <c r="A250" s="57" t="s">
        <v>2697</v>
      </c>
      <c r="B250" s="16">
        <f>'wycena rezerw aktuarialnych'!M10</f>
        <v>0</v>
      </c>
      <c r="C250" s="16">
        <v>309535.2</v>
      </c>
      <c r="D250" s="16">
        <f t="shared" si="4"/>
        <v>309535.2</v>
      </c>
      <c r="E250" s="1744"/>
      <c r="F250" s="1744"/>
    </row>
    <row r="251" spans="1:6" s="1422" customFormat="1" ht="15" thickBot="1">
      <c r="A251" s="1411" t="s">
        <v>3868</v>
      </c>
      <c r="B251" s="1395">
        <f>SUM(B242:B250)</f>
        <v>13770000</v>
      </c>
      <c r="C251" s="1395">
        <f>SUM(C242:C250)</f>
        <v>3299934.4799999902</v>
      </c>
      <c r="D251" s="1395">
        <f t="shared" si="4"/>
        <v>17069934.479999989</v>
      </c>
      <c r="E251" s="1453">
        <f>D251-'FC Spr.z syt.finans.'!B75-'FC Spr.z syt.finans.'!B58</f>
        <v>0</v>
      </c>
      <c r="F251" s="1452">
        <f>C251-C242-C252-C253</f>
        <v>3.3469405025243759E-10</v>
      </c>
    </row>
    <row r="252" spans="1:6" s="1422" customFormat="1" ht="15" thickTop="1">
      <c r="A252" s="1454" t="s">
        <v>2698</v>
      </c>
      <c r="B252" s="1455">
        <f>SUM(B243:B248)-B254-B256+B250</f>
        <v>-1144579</v>
      </c>
      <c r="C252" s="1455">
        <v>-65258.39</v>
      </c>
      <c r="D252" s="1455">
        <f t="shared" si="4"/>
        <v>-1209837.3899999999</v>
      </c>
      <c r="E252" s="1745" t="s">
        <v>2834</v>
      </c>
      <c r="F252" s="1745"/>
    </row>
    <row r="253" spans="1:6" s="1422" customFormat="1">
      <c r="A253" s="1454" t="s">
        <v>2699</v>
      </c>
      <c r="B253" s="1455">
        <v>0</v>
      </c>
      <c r="C253" s="1455"/>
      <c r="D253" s="1455">
        <f t="shared" si="4"/>
        <v>0</v>
      </c>
      <c r="E253" s="1745"/>
      <c r="F253" s="1745"/>
    </row>
    <row r="254" spans="1:6" s="1422" customFormat="1">
      <c r="A254" s="1454" t="s">
        <v>2700</v>
      </c>
      <c r="B254" s="1455">
        <f>'wycena rezerw aktuarialnych'!M9</f>
        <v>622111</v>
      </c>
      <c r="C254" s="1455"/>
      <c r="D254" s="1455">
        <f t="shared" si="4"/>
        <v>622111</v>
      </c>
      <c r="E254" s="1745"/>
      <c r="F254" s="1745"/>
    </row>
    <row r="255" spans="1:6" s="1422" customFormat="1">
      <c r="A255" s="1454" t="s">
        <v>2701</v>
      </c>
      <c r="B255" s="1455">
        <v>0</v>
      </c>
      <c r="C255" s="1455"/>
      <c r="D255" s="1455">
        <f t="shared" si="4"/>
        <v>0</v>
      </c>
      <c r="E255" s="1745"/>
      <c r="F255" s="1745"/>
    </row>
    <row r="256" spans="1:6" s="1422" customFormat="1" ht="15" thickBot="1">
      <c r="A256" s="1523" t="s">
        <v>2702</v>
      </c>
      <c r="B256" s="1524">
        <f>'wycena rezerw aktuarialnych'!M17</f>
        <v>0</v>
      </c>
      <c r="C256" s="1524"/>
      <c r="D256" s="1524">
        <f t="shared" si="4"/>
        <v>0</v>
      </c>
      <c r="E256" s="1745"/>
      <c r="F256" s="1745"/>
    </row>
    <row r="257" spans="1:6" ht="15" thickTop="1">
      <c r="B257" s="252">
        <f>B252+B253+B254+B255+B256-B243-B244-B245-B246-B247-B248-B249-B250</f>
        <v>0</v>
      </c>
      <c r="C257" s="252">
        <f>C252+C253+C254+C255+C256-C243-C244-C245-C246-C247-C248-C249-C250</f>
        <v>0</v>
      </c>
      <c r="D257" s="252">
        <f>D252+D253+D254+D255+D256-D243-D244-D245-D246-D247-D248-D249-D250</f>
        <v>0</v>
      </c>
      <c r="E257" s="1077"/>
      <c r="F257" s="1077"/>
    </row>
    <row r="258" spans="1:6" ht="15" thickBot="1"/>
    <row r="259" spans="1:6" s="1076" customFormat="1" ht="24.6" customHeight="1" thickBot="1">
      <c r="A259" s="1525"/>
      <c r="B259" s="1526" t="s">
        <v>2688</v>
      </c>
      <c r="C259" s="1526" t="s">
        <v>2023</v>
      </c>
      <c r="D259" s="1526" t="s">
        <v>1501</v>
      </c>
      <c r="E259" s="1077"/>
      <c r="F259" s="509"/>
    </row>
    <row r="260" spans="1:6" s="1435" customFormat="1">
      <c r="A260" s="1437" t="s">
        <v>3660</v>
      </c>
      <c r="B260" s="1363">
        <v>16220056</v>
      </c>
      <c r="C260" s="1438">
        <v>3492676.8999999911</v>
      </c>
      <c r="D260" s="1438">
        <v>19712732.899999991</v>
      </c>
      <c r="E260" s="1443"/>
      <c r="F260" s="1452"/>
    </row>
    <row r="261" spans="1:6" s="1076" customFormat="1">
      <c r="A261" s="505" t="s">
        <v>2691</v>
      </c>
      <c r="B261" s="1166">
        <v>-690846.8</v>
      </c>
      <c r="C261" s="1166"/>
      <c r="D261" s="1166">
        <v>-690846.8</v>
      </c>
      <c r="E261" s="1077"/>
      <c r="F261" s="536"/>
    </row>
    <row r="262" spans="1:6" s="1076" customFormat="1">
      <c r="A262" s="505" t="s">
        <v>2692</v>
      </c>
      <c r="B262" s="1166">
        <v>651419</v>
      </c>
      <c r="C262" s="1166"/>
      <c r="D262" s="1166">
        <v>651419</v>
      </c>
      <c r="E262" s="1077"/>
      <c r="F262" s="536"/>
    </row>
    <row r="263" spans="1:6" s="1076" customFormat="1">
      <c r="A263" s="505" t="s">
        <v>1775</v>
      </c>
      <c r="B263" s="1166"/>
      <c r="C263" s="1166"/>
      <c r="D263" s="1166">
        <v>0</v>
      </c>
      <c r="E263" s="1077"/>
      <c r="F263" s="536"/>
    </row>
    <row r="264" spans="1:6" s="1076" customFormat="1">
      <c r="A264" s="505" t="s">
        <v>2693</v>
      </c>
      <c r="B264" s="1166">
        <v>801321</v>
      </c>
      <c r="C264" s="1166"/>
      <c r="D264" s="1166">
        <v>801321</v>
      </c>
      <c r="E264" s="1077"/>
      <c r="F264" s="536"/>
    </row>
    <row r="265" spans="1:6" s="1076" customFormat="1">
      <c r="A265" s="505" t="s">
        <v>2694</v>
      </c>
      <c r="B265" s="1166">
        <v>-578275</v>
      </c>
      <c r="C265" s="1166"/>
      <c r="D265" s="1166">
        <v>-578275</v>
      </c>
      <c r="E265" s="1077"/>
      <c r="F265" s="536"/>
    </row>
    <row r="266" spans="1:6" s="1076" customFormat="1">
      <c r="A266" s="505" t="s">
        <v>2695</v>
      </c>
      <c r="B266" s="1166">
        <v>-2111206.2000000002</v>
      </c>
      <c r="C266" s="1166">
        <v>-2116834.63</v>
      </c>
      <c r="D266" s="1166">
        <v>-4228040.83</v>
      </c>
      <c r="E266" s="536"/>
      <c r="F266" s="1077"/>
    </row>
    <row r="267" spans="1:6" s="1076" customFormat="1">
      <c r="A267" s="505" t="s">
        <v>2696</v>
      </c>
      <c r="B267" s="1166"/>
      <c r="C267" s="1166">
        <v>-145305.72</v>
      </c>
      <c r="D267" s="1166">
        <v>-145305.72</v>
      </c>
      <c r="E267" s="536"/>
      <c r="F267" s="1077"/>
    </row>
    <row r="268" spans="1:6" s="1076" customFormat="1">
      <c r="A268" s="505" t="s">
        <v>2697</v>
      </c>
      <c r="B268" s="1166">
        <v>0</v>
      </c>
      <c r="C268" s="1166">
        <v>2134656.3200000003</v>
      </c>
      <c r="D268" s="1166">
        <v>2134656.3200000003</v>
      </c>
      <c r="E268" s="536"/>
      <c r="F268" s="1077"/>
    </row>
    <row r="269" spans="1:6" s="1435" customFormat="1" ht="15" thickBot="1">
      <c r="A269" s="1527" t="s">
        <v>3661</v>
      </c>
      <c r="B269" s="1396">
        <v>14292468</v>
      </c>
      <c r="C269" s="1396">
        <v>3365192.8699999917</v>
      </c>
      <c r="D269" s="1396">
        <v>17657660.86999999</v>
      </c>
      <c r="E269" s="1453">
        <f>D269-D242</f>
        <v>0</v>
      </c>
      <c r="F269" s="1456"/>
    </row>
    <row r="270" spans="1:6" s="1435" customFormat="1" ht="15" thickTop="1">
      <c r="A270" s="1432" t="s">
        <v>2698</v>
      </c>
      <c r="B270" s="1367">
        <v>-2548234.2000000002</v>
      </c>
      <c r="C270" s="1457">
        <v>-745751.03</v>
      </c>
      <c r="D270" s="1457">
        <v>-3293985.2300000004</v>
      </c>
      <c r="E270" s="1443"/>
      <c r="F270" s="1458"/>
    </row>
    <row r="271" spans="1:6" s="1435" customFormat="1">
      <c r="A271" s="1432" t="s">
        <v>2699</v>
      </c>
      <c r="B271" s="1367"/>
      <c r="C271" s="1367">
        <v>618267</v>
      </c>
      <c r="D271" s="1367">
        <v>618267</v>
      </c>
      <c r="E271" s="1443"/>
      <c r="F271" s="1459"/>
    </row>
    <row r="272" spans="1:6" s="1435" customFormat="1">
      <c r="A272" s="1432" t="s">
        <v>2700</v>
      </c>
      <c r="B272" s="1367">
        <v>801321</v>
      </c>
      <c r="C272" s="1367"/>
      <c r="D272" s="1367">
        <v>801321</v>
      </c>
      <c r="E272" s="1443"/>
      <c r="F272" s="1459"/>
    </row>
    <row r="273" spans="1:8" s="1435" customFormat="1">
      <c r="A273" s="1432" t="s">
        <v>2701</v>
      </c>
      <c r="B273" s="1367"/>
      <c r="C273" s="1367"/>
      <c r="D273" s="1367">
        <v>0</v>
      </c>
      <c r="E273" s="1443"/>
      <c r="F273" s="1459"/>
    </row>
    <row r="274" spans="1:8" s="1435" customFormat="1" ht="15" thickBot="1">
      <c r="A274" s="1528" t="s">
        <v>2702</v>
      </c>
      <c r="B274" s="1529">
        <v>-180674.80000000002</v>
      </c>
      <c r="C274" s="1529"/>
      <c r="D274" s="1529">
        <v>-180674.80000000002</v>
      </c>
      <c r="E274" s="1443"/>
      <c r="F274" s="1459"/>
    </row>
    <row r="275" spans="1:8" s="1076" customFormat="1" ht="15" thickTop="1">
      <c r="A275" s="1346"/>
      <c r="B275" s="1345"/>
      <c r="C275" s="1345"/>
      <c r="D275" s="1345"/>
      <c r="E275" s="1077"/>
      <c r="F275" s="537"/>
    </row>
    <row r="277" spans="1:8" s="1422" customFormat="1" ht="18.600000000000001" thickBot="1">
      <c r="A277" s="1421" t="s">
        <v>3842</v>
      </c>
    </row>
    <row r="278" spans="1:8" ht="14.4" customHeight="1">
      <c r="A278" s="1519"/>
      <c r="B278" s="1731" t="s">
        <v>3865</v>
      </c>
      <c r="C278" s="1731"/>
      <c r="D278" s="1732" t="s">
        <v>3659</v>
      </c>
      <c r="E278" s="1732"/>
      <c r="F278" s="539"/>
      <c r="G278" s="539"/>
      <c r="H278" s="539"/>
    </row>
    <row r="279" spans="1:8" ht="15" thickBot="1">
      <c r="A279" s="1520"/>
      <c r="B279" s="1505" t="s">
        <v>2686</v>
      </c>
      <c r="C279" s="1505" t="s">
        <v>2687</v>
      </c>
      <c r="D279" s="1506" t="s">
        <v>2686</v>
      </c>
      <c r="E279" s="1506" t="s">
        <v>2687</v>
      </c>
      <c r="F279" s="540"/>
      <c r="G279" s="540"/>
      <c r="H279" s="541"/>
    </row>
    <row r="280" spans="1:8">
      <c r="A280" s="57" t="s">
        <v>2703</v>
      </c>
      <c r="B280" s="48">
        <f>-'bilans '!B371</f>
        <v>2384733</v>
      </c>
      <c r="C280" s="16">
        <f>-'bilans '!B589</f>
        <v>448323</v>
      </c>
      <c r="D280" s="477">
        <v>2538576</v>
      </c>
      <c r="E280" s="146">
        <v>563193</v>
      </c>
      <c r="F280" s="542"/>
      <c r="G280" s="542"/>
      <c r="H280" s="541"/>
    </row>
    <row r="281" spans="1:8">
      <c r="A281" s="57" t="s">
        <v>1768</v>
      </c>
      <c r="B281" s="48">
        <f>-'bilans '!B372</f>
        <v>9434203</v>
      </c>
      <c r="C281" s="16">
        <f>-'bilans '!B592</f>
        <v>1502741</v>
      </c>
      <c r="D281" s="477">
        <v>9896337</v>
      </c>
      <c r="E281" s="146">
        <v>1294362</v>
      </c>
      <c r="F281" s="542"/>
      <c r="G281" s="542"/>
      <c r="H281" s="541"/>
    </row>
    <row r="282" spans="1:8" s="1422" customFormat="1" ht="15" thickBot="1">
      <c r="A282" s="1411" t="s">
        <v>2704</v>
      </c>
      <c r="B282" s="1406">
        <f>B281+B280</f>
        <v>11818936</v>
      </c>
      <c r="C282" s="1406">
        <f>C281+C280</f>
        <v>1951064</v>
      </c>
      <c r="D282" s="1407">
        <v>12434913</v>
      </c>
      <c r="E282" s="1407">
        <v>1857555</v>
      </c>
      <c r="F282" s="1423"/>
      <c r="G282" s="1423"/>
      <c r="H282" s="1460"/>
    </row>
    <row r="283" spans="1:8" ht="15" thickTop="1">
      <c r="B283" s="252">
        <f>B282+C282-B251</f>
        <v>0</v>
      </c>
      <c r="C283" s="1082"/>
      <c r="D283" s="252">
        <f>D282+E282-B269</f>
        <v>0</v>
      </c>
      <c r="F283" s="1079"/>
    </row>
    <row r="285" spans="1:8" s="1422" customFormat="1" ht="15.6">
      <c r="A285" s="1718" t="s">
        <v>3843</v>
      </c>
      <c r="B285" s="1718"/>
      <c r="C285" s="1718"/>
      <c r="D285" s="1718"/>
      <c r="E285" s="1718"/>
    </row>
    <row r="287" spans="1:8" ht="15" thickBot="1">
      <c r="A287" s="1703" t="s">
        <v>2705</v>
      </c>
      <c r="B287" s="1703"/>
      <c r="C287" s="1703"/>
    </row>
    <row r="288" spans="1:8" ht="14.4" customHeight="1">
      <c r="A288" s="1519"/>
      <c r="B288" s="1731" t="str">
        <f>B278</f>
        <v>Stan na dzień 31 grudnia 2025</v>
      </c>
      <c r="C288" s="1731"/>
      <c r="D288" s="1732" t="str">
        <f>D278</f>
        <v>Stan na dzień 31 grudnia 2024</v>
      </c>
      <c r="E288" s="1732"/>
    </row>
    <row r="289" spans="1:5" ht="15" thickBot="1">
      <c r="A289" s="1520"/>
      <c r="B289" s="1505" t="s">
        <v>2686</v>
      </c>
      <c r="C289" s="1505" t="s">
        <v>2706</v>
      </c>
      <c r="D289" s="1506" t="s">
        <v>2686</v>
      </c>
      <c r="E289" s="1506" t="s">
        <v>2706</v>
      </c>
    </row>
    <row r="290" spans="1:5" ht="15" customHeight="1">
      <c r="A290" s="57" t="s">
        <v>2707</v>
      </c>
      <c r="B290" s="48">
        <f>B280</f>
        <v>2384733</v>
      </c>
      <c r="C290" s="48">
        <f>C280</f>
        <v>448323</v>
      </c>
      <c r="D290" s="477">
        <f>D280</f>
        <v>2538576</v>
      </c>
      <c r="E290" s="477">
        <f>E280</f>
        <v>563193</v>
      </c>
    </row>
    <row r="291" spans="1:5" s="1422" customFormat="1">
      <c r="A291" s="1429" t="s">
        <v>2708</v>
      </c>
      <c r="B291" s="1369">
        <f>B290</f>
        <v>2384733</v>
      </c>
      <c r="C291" s="1369">
        <f>C290</f>
        <v>448323</v>
      </c>
      <c r="D291" s="1370">
        <f>D290</f>
        <v>2538576</v>
      </c>
      <c r="E291" s="1370">
        <f>E290</f>
        <v>563193</v>
      </c>
    </row>
    <row r="292" spans="1:5">
      <c r="A292" s="165" t="s">
        <v>1768</v>
      </c>
      <c r="B292" s="69">
        <f>B281</f>
        <v>9434203</v>
      </c>
      <c r="C292" s="69">
        <f>C281</f>
        <v>1502741</v>
      </c>
      <c r="D292" s="506">
        <f>D281</f>
        <v>9896337</v>
      </c>
      <c r="E292" s="506">
        <f>E281</f>
        <v>1294362</v>
      </c>
    </row>
    <row r="293" spans="1:5" s="1422" customFormat="1" ht="15" thickBot="1">
      <c r="A293" s="1411" t="s">
        <v>2709</v>
      </c>
      <c r="B293" s="1406">
        <f>B292+B291</f>
        <v>11818936</v>
      </c>
      <c r="C293" s="1406">
        <f>C292+C291</f>
        <v>1951064</v>
      </c>
      <c r="D293" s="1407">
        <f>D292+D291</f>
        <v>12434913</v>
      </c>
      <c r="E293" s="1407">
        <f>E292+E291</f>
        <v>1857555</v>
      </c>
    </row>
    <row r="294" spans="1:5" ht="15" thickTop="1">
      <c r="B294" s="252">
        <f>B293-B282</f>
        <v>0</v>
      </c>
      <c r="C294" s="252">
        <f>C293-C282</f>
        <v>0</v>
      </c>
    </row>
    <row r="296" spans="1:5" s="1422" customFormat="1" ht="15" thickBot="1">
      <c r="A296" s="1450" t="s">
        <v>2710</v>
      </c>
    </row>
    <row r="297" spans="1:5" ht="20.399999999999999">
      <c r="A297" s="1749"/>
      <c r="B297" s="1503" t="s">
        <v>2711</v>
      </c>
      <c r="C297" s="1503" t="s">
        <v>2712</v>
      </c>
      <c r="D297" s="1731" t="s">
        <v>1501</v>
      </c>
    </row>
    <row r="298" spans="1:5" ht="21" thickBot="1">
      <c r="A298" s="1750"/>
      <c r="B298" s="1505" t="s">
        <v>2713</v>
      </c>
      <c r="C298" s="1505" t="s">
        <v>2714</v>
      </c>
      <c r="D298" s="1760"/>
    </row>
    <row r="299" spans="1:5" s="1422" customFormat="1">
      <c r="A299" s="1461" t="s">
        <v>3862</v>
      </c>
      <c r="B299" s="1462">
        <f>B321</f>
        <v>3101769</v>
      </c>
      <c r="C299" s="1462">
        <f>C321</f>
        <v>11190699</v>
      </c>
      <c r="D299" s="1462">
        <f>C299+B299</f>
        <v>14292468</v>
      </c>
    </row>
    <row r="300" spans="1:5">
      <c r="A300" s="538" t="s">
        <v>1773</v>
      </c>
      <c r="B300" s="543">
        <f>'wycena rezerw aktuarialnych'!K5</f>
        <v>0</v>
      </c>
      <c r="C300" s="543">
        <f>'wycena rezerw aktuarialnych'!L5</f>
        <v>0</v>
      </c>
      <c r="D300" s="544">
        <f t="shared" ref="D300:D309" si="5">C300+B300</f>
        <v>0</v>
      </c>
    </row>
    <row r="301" spans="1:5">
      <c r="A301" s="538" t="s">
        <v>1776</v>
      </c>
      <c r="B301" s="543">
        <f>'wycena rezerw aktuarialnych'!K8</f>
        <v>0</v>
      </c>
      <c r="C301" s="543">
        <f>'wycena rezerw aktuarialnych'!L8</f>
        <v>0</v>
      </c>
      <c r="D301" s="544">
        <f t="shared" si="5"/>
        <v>0</v>
      </c>
    </row>
    <row r="302" spans="1:5">
      <c r="A302" s="538" t="s">
        <v>2715</v>
      </c>
      <c r="B302" s="543">
        <f>'wycena rezerw aktuarialnych'!K4+'wycena rezerw aktuarialnych'!K10</f>
        <v>123054</v>
      </c>
      <c r="C302" s="543">
        <f>'wycena rezerw aktuarialnych'!L4+'wycena rezerw aktuarialnych'!L10</f>
        <v>346749</v>
      </c>
      <c r="D302" s="544">
        <f t="shared" si="5"/>
        <v>469803</v>
      </c>
    </row>
    <row r="303" spans="1:5">
      <c r="A303" s="538" t="s">
        <v>2716</v>
      </c>
      <c r="B303" s="543"/>
      <c r="C303" s="543"/>
      <c r="D303" s="544">
        <f t="shared" si="5"/>
        <v>0</v>
      </c>
    </row>
    <row r="304" spans="1:5">
      <c r="A304" s="538" t="s">
        <v>1777</v>
      </c>
      <c r="B304" s="543">
        <f>'wycena rezerw aktuarialnych'!K9</f>
        <v>135172</v>
      </c>
      <c r="C304" s="543">
        <f>'wycena rezerw aktuarialnych'!L9</f>
        <v>486939</v>
      </c>
      <c r="D304" s="544">
        <f t="shared" si="5"/>
        <v>622111</v>
      </c>
    </row>
    <row r="305" spans="1:5">
      <c r="A305" s="538" t="s">
        <v>2695</v>
      </c>
      <c r="B305" s="543">
        <f>'wycena rezerw aktuarialnych'!K6</f>
        <v>-526939</v>
      </c>
      <c r="C305" s="543">
        <f>'wycena rezerw aktuarialnych'!L6</f>
        <v>-1087443</v>
      </c>
      <c r="D305" s="544">
        <f t="shared" si="5"/>
        <v>-1614382</v>
      </c>
    </row>
    <row r="306" spans="1:5" s="1422" customFormat="1" ht="15" thickBot="1">
      <c r="A306" s="1530" t="s">
        <v>3863</v>
      </c>
      <c r="B306" s="1531">
        <f>SUM(B299:B305)</f>
        <v>2833056</v>
      </c>
      <c r="C306" s="1531">
        <f>SUM(C299:C305)</f>
        <v>10936944</v>
      </c>
      <c r="D306" s="1531">
        <f t="shared" si="5"/>
        <v>13770000</v>
      </c>
      <c r="E306" s="1440">
        <f>D306+'bilans '!B370+'bilans '!B372+'bilans '!B589+'bilans '!B591</f>
        <v>0</v>
      </c>
    </row>
    <row r="307" spans="1:5" s="1422" customFormat="1" ht="15" thickTop="1">
      <c r="A307" s="1463" t="s">
        <v>2698</v>
      </c>
      <c r="B307" s="1464">
        <f>SUM(B300:B305)-B308-B309</f>
        <v>-403885</v>
      </c>
      <c r="C307" s="1464">
        <f>SUM(C300:C305)-C308-C309</f>
        <v>-740694</v>
      </c>
      <c r="D307" s="1464">
        <f t="shared" si="5"/>
        <v>-1144579</v>
      </c>
    </row>
    <row r="308" spans="1:5" s="1422" customFormat="1">
      <c r="A308" s="1463" t="s">
        <v>2700</v>
      </c>
      <c r="B308" s="1464">
        <f>'wycena rezerw aktuarialnych'!K9</f>
        <v>135172</v>
      </c>
      <c r="C308" s="1464">
        <f>'wycena rezerw aktuarialnych'!L9</f>
        <v>486939</v>
      </c>
      <c r="D308" s="1464">
        <f t="shared" si="5"/>
        <v>622111</v>
      </c>
    </row>
    <row r="309" spans="1:5" s="1422" customFormat="1" ht="15" thickBot="1">
      <c r="A309" s="1532" t="s">
        <v>2702</v>
      </c>
      <c r="B309" s="1533">
        <f>'wycena rezerw aktuarialnych'!K17</f>
        <v>0</v>
      </c>
      <c r="C309" s="1533">
        <f>'wycena rezerw aktuarialnych'!L17</f>
        <v>0</v>
      </c>
      <c r="D309" s="1533">
        <f t="shared" si="5"/>
        <v>0</v>
      </c>
    </row>
    <row r="310" spans="1:5">
      <c r="A310" s="1534"/>
      <c r="B310" s="1535">
        <f>B306-B290-C290</f>
        <v>0</v>
      </c>
      <c r="C310" s="1535">
        <f>C306-B292-C292</f>
        <v>0</v>
      </c>
      <c r="D310" s="1534"/>
    </row>
    <row r="311" spans="1:5" ht="15" thickBot="1">
      <c r="A311" s="1536"/>
      <c r="B311" s="1536"/>
      <c r="C311" s="1536"/>
      <c r="D311" s="1536"/>
    </row>
    <row r="312" spans="1:5" s="1076" customFormat="1" ht="20.399999999999999">
      <c r="A312" s="1749"/>
      <c r="B312" s="1504" t="s">
        <v>2711</v>
      </c>
      <c r="C312" s="1504" t="s">
        <v>2712</v>
      </c>
      <c r="D312" s="1732" t="s">
        <v>1501</v>
      </c>
    </row>
    <row r="313" spans="1:5" s="1076" customFormat="1" ht="21" thickBot="1">
      <c r="A313" s="1750"/>
      <c r="B313" s="1506" t="s">
        <v>2713</v>
      </c>
      <c r="C313" s="1506" t="s">
        <v>2714</v>
      </c>
      <c r="D313" s="1761"/>
    </row>
    <row r="314" spans="1:5" s="1435" customFormat="1">
      <c r="A314" s="1461" t="s">
        <v>3655</v>
      </c>
      <c r="B314" s="1465">
        <v>3437512</v>
      </c>
      <c r="C314" s="1465">
        <v>12782544</v>
      </c>
      <c r="D314" s="1465">
        <v>16220056</v>
      </c>
    </row>
    <row r="315" spans="1:5" s="1076" customFormat="1">
      <c r="A315" s="538" t="s">
        <v>1773</v>
      </c>
      <c r="B315" s="545">
        <v>-46946.800000000025</v>
      </c>
      <c r="C315" s="545">
        <v>-643900</v>
      </c>
      <c r="D315" s="546">
        <v>-690846.8</v>
      </c>
    </row>
    <row r="316" spans="1:5" s="1076" customFormat="1">
      <c r="A316" s="538" t="s">
        <v>1776</v>
      </c>
      <c r="B316" s="545">
        <v>-133728</v>
      </c>
      <c r="C316" s="545">
        <v>-444547</v>
      </c>
      <c r="D316" s="546">
        <v>-578275</v>
      </c>
    </row>
    <row r="317" spans="1:5" s="1076" customFormat="1">
      <c r="A317" s="538" t="s">
        <v>2715</v>
      </c>
      <c r="B317" s="545">
        <v>179014</v>
      </c>
      <c r="C317" s="545">
        <v>472405</v>
      </c>
      <c r="D317" s="546">
        <v>651419</v>
      </c>
    </row>
    <row r="318" spans="1:5" s="1076" customFormat="1">
      <c r="A318" s="538" t="s">
        <v>2716</v>
      </c>
      <c r="B318" s="545"/>
      <c r="C318" s="545"/>
      <c r="D318" s="546">
        <v>0</v>
      </c>
    </row>
    <row r="319" spans="1:5" s="1076" customFormat="1">
      <c r="A319" s="538" t="s">
        <v>1777</v>
      </c>
      <c r="B319" s="545">
        <v>162640</v>
      </c>
      <c r="C319" s="545">
        <v>638681</v>
      </c>
      <c r="D319" s="546">
        <v>801321</v>
      </c>
    </row>
    <row r="320" spans="1:5" s="1076" customFormat="1">
      <c r="A320" s="538" t="s">
        <v>2695</v>
      </c>
      <c r="B320" s="545">
        <v>-496722.19999999995</v>
      </c>
      <c r="C320" s="545">
        <v>-1614484</v>
      </c>
      <c r="D320" s="546">
        <v>-2111206.2000000002</v>
      </c>
    </row>
    <row r="321" spans="1:9" s="1435" customFormat="1" ht="15" thickBot="1">
      <c r="A321" s="1530" t="s">
        <v>3656</v>
      </c>
      <c r="B321" s="1537">
        <v>3101769</v>
      </c>
      <c r="C321" s="1537">
        <v>11190699</v>
      </c>
      <c r="D321" s="1537">
        <v>14292468</v>
      </c>
    </row>
    <row r="322" spans="1:9" s="1435" customFormat="1" ht="15" thickTop="1">
      <c r="A322" s="1463" t="s">
        <v>2698</v>
      </c>
      <c r="B322" s="1466">
        <v>-317708.19999999995</v>
      </c>
      <c r="C322" s="1466">
        <v>-2230526</v>
      </c>
      <c r="D322" s="1466">
        <v>-2548234.2000000002</v>
      </c>
    </row>
    <row r="323" spans="1:9" s="1435" customFormat="1">
      <c r="A323" s="1463" t="s">
        <v>2700</v>
      </c>
      <c r="B323" s="1466">
        <v>162640</v>
      </c>
      <c r="C323" s="1466">
        <v>638681</v>
      </c>
      <c r="D323" s="1466">
        <v>801321</v>
      </c>
    </row>
    <row r="324" spans="1:9" s="1435" customFormat="1" ht="15" thickBot="1">
      <c r="A324" s="1538" t="s">
        <v>2702</v>
      </c>
      <c r="B324" s="1539">
        <v>-180674.80000000002</v>
      </c>
      <c r="C324" s="1539">
        <v>0</v>
      </c>
      <c r="D324" s="1539">
        <v>-180674.80000000002</v>
      </c>
    </row>
    <row r="327" spans="1:9" s="1422" customFormat="1" ht="15" thickBot="1">
      <c r="A327" s="1762" t="s">
        <v>3869</v>
      </c>
      <c r="B327" s="1762"/>
      <c r="C327" s="1762"/>
      <c r="D327" s="1762"/>
    </row>
    <row r="328" spans="1:9" ht="15" thickBot="1">
      <c r="A328" s="1763"/>
      <c r="B328" s="1765" t="s">
        <v>2717</v>
      </c>
      <c r="C328" s="1759" t="s">
        <v>2718</v>
      </c>
      <c r="D328" s="1759"/>
      <c r="E328" s="1759" t="s">
        <v>2719</v>
      </c>
      <c r="F328" s="1759"/>
    </row>
    <row r="329" spans="1:9" ht="15" thickBot="1">
      <c r="A329" s="1764"/>
      <c r="B329" s="1766"/>
      <c r="C329" s="1540" t="s">
        <v>2720</v>
      </c>
      <c r="D329" s="1540" t="s">
        <v>2721</v>
      </c>
      <c r="E329" s="1540" t="s">
        <v>2720</v>
      </c>
      <c r="F329" s="1540" t="s">
        <v>2721</v>
      </c>
      <c r="G329" s="1753"/>
      <c r="H329" s="1753"/>
      <c r="I329" s="1753"/>
    </row>
    <row r="330" spans="1:9">
      <c r="A330" s="505" t="s">
        <v>2707</v>
      </c>
      <c r="B330" s="1166">
        <v>3101769</v>
      </c>
      <c r="C330" s="1166">
        <v>3295736</v>
      </c>
      <c r="D330" s="1166">
        <v>2927497</v>
      </c>
      <c r="E330" s="1166">
        <v>2921535</v>
      </c>
      <c r="F330" s="1166">
        <v>3299140</v>
      </c>
      <c r="G330" s="1747" t="s">
        <v>3608</v>
      </c>
      <c r="H330" s="1747"/>
      <c r="I330" s="1747"/>
    </row>
    <row r="331" spans="1:9">
      <c r="A331" s="505" t="s">
        <v>1768</v>
      </c>
      <c r="B331" s="1166">
        <v>11190699</v>
      </c>
      <c r="C331" s="1166">
        <v>11835277</v>
      </c>
      <c r="D331" s="1166">
        <v>10605205</v>
      </c>
      <c r="E331" s="1166">
        <v>10584741</v>
      </c>
      <c r="F331" s="1166">
        <v>11846752</v>
      </c>
      <c r="G331" s="1747"/>
      <c r="H331" s="1747"/>
      <c r="I331" s="1747"/>
    </row>
    <row r="332" spans="1:9" s="1422" customFormat="1" ht="15" thickBot="1">
      <c r="A332" s="1527" t="s">
        <v>2565</v>
      </c>
      <c r="B332" s="1396">
        <f>B331+B330</f>
        <v>14292468</v>
      </c>
      <c r="C332" s="1396">
        <f>C331+C330</f>
        <v>15131013</v>
      </c>
      <c r="D332" s="1396">
        <f>D331+D330</f>
        <v>13532702</v>
      </c>
      <c r="E332" s="1396">
        <f>E331+E330</f>
        <v>13506276</v>
      </c>
      <c r="F332" s="1396">
        <f>F331+F330</f>
        <v>15145892</v>
      </c>
      <c r="G332" s="1747"/>
      <c r="H332" s="1747"/>
      <c r="I332" s="1747"/>
    </row>
    <row r="333" spans="1:9" ht="15" thickTop="1"/>
    <row r="335" spans="1:9" s="1422" customFormat="1" ht="18">
      <c r="A335" s="1738" t="s">
        <v>3844</v>
      </c>
      <c r="B335" s="1738"/>
      <c r="C335" s="1738"/>
      <c r="D335" s="1738"/>
      <c r="E335" s="1738"/>
    </row>
    <row r="338" spans="1:6" s="1422" customFormat="1" ht="16.2" thickBot="1">
      <c r="A338" s="1718" t="s">
        <v>3845</v>
      </c>
      <c r="B338" s="1718"/>
      <c r="C338" s="1718"/>
      <c r="D338" s="1718"/>
      <c r="E338" s="1718"/>
    </row>
    <row r="339" spans="1:6">
      <c r="A339" s="1741"/>
      <c r="B339" s="1541" t="s">
        <v>1449</v>
      </c>
      <c r="C339" s="1504" t="s">
        <v>1449</v>
      </c>
    </row>
    <row r="340" spans="1:6" ht="15" thickBot="1">
      <c r="A340" s="1742"/>
      <c r="B340" s="1542" t="str">
        <f>B180</f>
        <v>31 grudnia 2025</v>
      </c>
      <c r="C340" s="1506" t="str">
        <f>C180</f>
        <v>31 grudnia 2024</v>
      </c>
    </row>
    <row r="341" spans="1:6" s="1422" customFormat="1">
      <c r="A341" s="1429" t="s">
        <v>3822</v>
      </c>
      <c r="B341" s="1467"/>
      <c r="C341" s="1468"/>
    </row>
    <row r="342" spans="1:6" ht="15" thickBot="1">
      <c r="A342" s="1543" t="s">
        <v>2722</v>
      </c>
      <c r="B342" s="1544">
        <f>'FC Spr.z syt.finans.'!B74</f>
        <v>0</v>
      </c>
      <c r="C342" s="1545">
        <v>106435.2</v>
      </c>
    </row>
    <row r="343" spans="1:6">
      <c r="B343" s="252">
        <f>B342-'bilans, RZiS,przepływy,kapitały'!C77</f>
        <v>0</v>
      </c>
      <c r="C343" s="252">
        <f>C342-'bilans, RZiS,przepływy,kapitały'!D77</f>
        <v>0</v>
      </c>
    </row>
    <row r="345" spans="1:6" s="1422" customFormat="1" ht="18.600000000000001" thickBot="1">
      <c r="A345" s="1738" t="s">
        <v>3846</v>
      </c>
      <c r="B345" s="1738"/>
      <c r="C345" s="1738"/>
    </row>
    <row r="346" spans="1:6">
      <c r="A346" s="1741"/>
      <c r="B346" s="1546" t="s">
        <v>1449</v>
      </c>
      <c r="C346" s="1486" t="s">
        <v>1449</v>
      </c>
    </row>
    <row r="347" spans="1:6" ht="15" thickBot="1">
      <c r="A347" s="1742"/>
      <c r="B347" s="1487" t="str">
        <f>B340</f>
        <v>31 grudnia 2025</v>
      </c>
      <c r="C347" s="1488" t="str">
        <f>C340</f>
        <v>31 grudnia 2024</v>
      </c>
    </row>
    <row r="348" spans="1:6">
      <c r="A348" s="505" t="s">
        <v>2723</v>
      </c>
      <c r="B348" s="1020">
        <f>-'bilans '!B515-'bilans '!B518</f>
        <v>499012.62000000011</v>
      </c>
      <c r="C348" s="477">
        <v>1910945.3299999901</v>
      </c>
    </row>
    <row r="349" spans="1:6">
      <c r="A349" s="505" t="s">
        <v>2724</v>
      </c>
      <c r="B349" s="1020">
        <f>-'bilans '!B534-'bilans '!B574</f>
        <v>3858689.0399999903</v>
      </c>
      <c r="C349" s="477">
        <v>4065524.4499999904</v>
      </c>
    </row>
    <row r="350" spans="1:6">
      <c r="A350" s="505" t="s">
        <v>2725</v>
      </c>
      <c r="B350" s="1020">
        <f>-'bilans '!B525</f>
        <v>3962296.8399999901</v>
      </c>
      <c r="C350" s="477">
        <v>4068499.85</v>
      </c>
    </row>
    <row r="351" spans="1:6">
      <c r="A351" s="505" t="s">
        <v>2726</v>
      </c>
      <c r="B351" s="1020">
        <f>-'bilans '!B527</f>
        <v>1081792</v>
      </c>
      <c r="C351" s="477">
        <v>1259137</v>
      </c>
    </row>
    <row r="352" spans="1:6">
      <c r="A352" s="505" t="s">
        <v>2727</v>
      </c>
      <c r="B352" s="1020">
        <f>-('bilans '!B570+'bilans '!B569)</f>
        <v>246526</v>
      </c>
      <c r="C352" s="477">
        <v>262171</v>
      </c>
      <c r="D352" s="590"/>
      <c r="E352" s="590"/>
      <c r="F352" s="590"/>
    </row>
    <row r="353" spans="1:6" ht="20.399999999999999">
      <c r="A353" s="505" t="s">
        <v>2728</v>
      </c>
      <c r="B353" s="1020">
        <f>IF('bilans '!B570&lt;0,0,'bilans '!C570)</f>
        <v>0</v>
      </c>
      <c r="C353" s="477">
        <v>0</v>
      </c>
      <c r="D353" s="590"/>
      <c r="E353" s="590"/>
      <c r="F353" s="590"/>
    </row>
    <row r="354" spans="1:6" ht="30.6">
      <c r="A354" s="505" t="s">
        <v>3645</v>
      </c>
      <c r="B354" s="1020">
        <f>-'bilans '!B540-'bilans '!B545</f>
        <v>5458136.1599999797</v>
      </c>
      <c r="C354" s="477">
        <v>13073197.689999979</v>
      </c>
      <c r="D354" s="590"/>
      <c r="E354" s="590"/>
      <c r="F354" s="590"/>
    </row>
    <row r="355" spans="1:6">
      <c r="A355" s="505" t="s">
        <v>2729</v>
      </c>
      <c r="B355" s="1020">
        <f>'FC Spr.z syt.finans.'!B72-'noty do bilansu'!B348-'noty do bilansu'!B349-'noty do bilansu'!B350-'noty do bilansu'!B351-'noty do bilansu'!B352-'noty do bilansu'!B353-'noty do bilansu'!B354</f>
        <v>92476.400000000373</v>
      </c>
      <c r="C355" s="477">
        <v>79247.599999999627</v>
      </c>
      <c r="D355" s="590"/>
      <c r="E355" s="590"/>
      <c r="F355" s="590"/>
    </row>
    <row r="356" spans="1:6" s="1422" customFormat="1" ht="15" thickBot="1">
      <c r="A356" s="1527" t="s">
        <v>2730</v>
      </c>
      <c r="B356" s="1547">
        <f>SUM(B348:B355)</f>
        <v>15198929.059999961</v>
      </c>
      <c r="C356" s="1407">
        <v>24718722.919999957</v>
      </c>
    </row>
    <row r="357" spans="1:6" ht="15" thickTop="1">
      <c r="B357" s="252">
        <f>B356-'bilans, RZiS,przepływy,kapitały'!C78</f>
        <v>0</v>
      </c>
      <c r="C357" s="252">
        <f>C356-'bilans, RZiS,przepływy,kapitały'!D78</f>
        <v>0</v>
      </c>
    </row>
    <row r="358" spans="1:6" s="1422" customFormat="1" ht="15.6">
      <c r="A358" s="1469" t="s">
        <v>2731</v>
      </c>
    </row>
    <row r="359" spans="1:6" ht="48.6" customHeight="1" thickBot="1">
      <c r="A359" s="1751" t="s">
        <v>2732</v>
      </c>
      <c r="B359" s="1752"/>
      <c r="C359" s="1752"/>
    </row>
    <row r="360" spans="1:6">
      <c r="A360" s="1704"/>
      <c r="B360" s="1485" t="s">
        <v>2009</v>
      </c>
      <c r="C360" s="1486" t="s">
        <v>2009</v>
      </c>
    </row>
    <row r="361" spans="1:6" ht="15" thickBot="1">
      <c r="A361" s="1705"/>
      <c r="B361" s="1487" t="str">
        <f>B347</f>
        <v>31 grudnia 2025</v>
      </c>
      <c r="C361" s="1488" t="str">
        <f>C347</f>
        <v>31 grudnia 2024</v>
      </c>
    </row>
    <row r="362" spans="1:6">
      <c r="A362" s="57" t="s">
        <v>2733</v>
      </c>
      <c r="B362" s="485"/>
      <c r="C362" s="486"/>
    </row>
    <row r="363" spans="1:6">
      <c r="A363" s="57" t="s">
        <v>2734</v>
      </c>
      <c r="B363" s="48">
        <f>-'bilans '!B556</f>
        <v>0</v>
      </c>
      <c r="C363" s="477">
        <v>0</v>
      </c>
    </row>
    <row r="364" spans="1:6" s="1422" customFormat="1" ht="15" thickBot="1">
      <c r="A364" s="1411" t="s">
        <v>2735</v>
      </c>
      <c r="B364" s="1406">
        <f>B363+B362</f>
        <v>0</v>
      </c>
      <c r="C364" s="1407">
        <f>C363+C362</f>
        <v>0</v>
      </c>
    </row>
    <row r="365" spans="1:6" s="1422" customFormat="1" ht="21" thickTop="1">
      <c r="A365" s="1548" t="s">
        <v>2736</v>
      </c>
      <c r="B365" s="1733">
        <v>0</v>
      </c>
      <c r="C365" s="1733">
        <v>0</v>
      </c>
      <c r="D365" s="1730" t="s">
        <v>2865</v>
      </c>
      <c r="E365" s="1730"/>
      <c r="F365" s="1730"/>
    </row>
    <row r="366" spans="1:6" s="1422" customFormat="1" ht="15" thickBot="1">
      <c r="A366" s="1549" t="s">
        <v>2737</v>
      </c>
      <c r="B366" s="1734"/>
      <c r="C366" s="1734"/>
      <c r="D366" s="1730"/>
      <c r="E366" s="1730"/>
      <c r="F366" s="1730"/>
    </row>
    <row r="367" spans="1:6" ht="15" thickTop="1">
      <c r="C367" s="1079"/>
    </row>
    <row r="369" spans="1:5" s="1422" customFormat="1" ht="18">
      <c r="A369" s="1421" t="s">
        <v>3847</v>
      </c>
    </row>
    <row r="370" spans="1:5" s="1422" customFormat="1" ht="16.2" thickBot="1">
      <c r="A370" s="1718" t="s">
        <v>3848</v>
      </c>
      <c r="B370" s="1718"/>
      <c r="C370" s="1718"/>
      <c r="D370" s="1718"/>
    </row>
    <row r="371" spans="1:5" ht="14.4" customHeight="1">
      <c r="A371" s="1551"/>
      <c r="B371" s="1701" t="s">
        <v>3865</v>
      </c>
      <c r="C371" s="1701"/>
      <c r="D371" s="1702" t="s">
        <v>3659</v>
      </c>
      <c r="E371" s="1702"/>
    </row>
    <row r="372" spans="1:5" ht="15" thickBot="1">
      <c r="A372" s="1520"/>
      <c r="B372" s="1487" t="s">
        <v>2686</v>
      </c>
      <c r="C372" s="1487" t="s">
        <v>2687</v>
      </c>
      <c r="D372" s="1488" t="s">
        <v>2686</v>
      </c>
      <c r="E372" s="1488" t="s">
        <v>2687</v>
      </c>
    </row>
    <row r="373" spans="1:5">
      <c r="A373" s="165" t="s">
        <v>2738</v>
      </c>
      <c r="B373" s="69"/>
      <c r="C373" s="31">
        <f>'FC Spr.z syt.finans.'!B24</f>
        <v>25022304.54999999</v>
      </c>
      <c r="D373" s="506"/>
      <c r="E373" s="147">
        <v>26085018.280000001</v>
      </c>
    </row>
    <row r="374" spans="1:5">
      <c r="A374" s="165" t="s">
        <v>2739</v>
      </c>
      <c r="B374" s="48"/>
      <c r="C374" s="16">
        <f>'FC Spr.z syt.finans.'!B26</f>
        <v>2501383.25999999</v>
      </c>
      <c r="D374" s="477"/>
      <c r="E374" s="146">
        <v>3363244.02</v>
      </c>
    </row>
    <row r="375" spans="1:5">
      <c r="A375" s="165" t="s">
        <v>2740</v>
      </c>
      <c r="B375" s="69">
        <f>'FC Spr.z syt.finans.'!B9</f>
        <v>0</v>
      </c>
      <c r="C375" s="31">
        <f>'FC Spr.z syt.finans.'!B25-'FC Spr.z syt.finans.'!B26</f>
        <v>485102.13999999734</v>
      </c>
      <c r="D375" s="506">
        <v>388324.52</v>
      </c>
      <c r="E375" s="147">
        <v>201364.26999999629</v>
      </c>
    </row>
    <row r="376" spans="1:5" s="1422" customFormat="1" ht="15" thickBot="1">
      <c r="A376" s="1411" t="s">
        <v>2741</v>
      </c>
      <c r="B376" s="1406">
        <f>B375+B374+B373</f>
        <v>0</v>
      </c>
      <c r="C376" s="1406">
        <f>C375+C374+C373</f>
        <v>28008789.949999977</v>
      </c>
      <c r="D376" s="1407">
        <v>388324.52</v>
      </c>
      <c r="E376" s="1407">
        <v>29649626.569999997</v>
      </c>
    </row>
    <row r="377" spans="1:5" ht="15" thickTop="1">
      <c r="B377" s="252">
        <f>B376-'FC Spr.z syt.finans.'!B9</f>
        <v>0</v>
      </c>
      <c r="C377" s="252">
        <f>C376-'FC Spr.z syt.finans.'!B24-'FC Spr.z syt.finans.'!B25</f>
        <v>0</v>
      </c>
      <c r="D377" s="252">
        <f>D376-'FC Spr.z syt.finans.'!C9</f>
        <v>0</v>
      </c>
      <c r="E377" s="252">
        <f>E376-'FC Spr.z syt.finans.'!C24-'FC Spr.z syt.finans.'!C25</f>
        <v>0</v>
      </c>
    </row>
    <row r="379" spans="1:5" s="1422" customFormat="1" ht="16.2" thickBot="1">
      <c r="A379" s="1718" t="s">
        <v>3849</v>
      </c>
      <c r="B379" s="1718"/>
      <c r="C379" s="1718"/>
      <c r="D379" s="1718"/>
    </row>
    <row r="380" spans="1:5" ht="14.4" customHeight="1">
      <c r="A380" s="1519"/>
      <c r="B380" s="1701" t="s">
        <v>3865</v>
      </c>
      <c r="C380" s="1701"/>
      <c r="D380" s="1702" t="s">
        <v>3659</v>
      </c>
      <c r="E380" s="1702"/>
    </row>
    <row r="381" spans="1:5" ht="15" thickBot="1">
      <c r="A381" s="1520"/>
      <c r="B381" s="1487" t="s">
        <v>2686</v>
      </c>
      <c r="C381" s="1487" t="s">
        <v>2687</v>
      </c>
      <c r="D381" s="1488" t="s">
        <v>2686</v>
      </c>
      <c r="E381" s="1488" t="s">
        <v>2687</v>
      </c>
    </row>
    <row r="382" spans="1:5">
      <c r="A382" s="165" t="s">
        <v>2742</v>
      </c>
      <c r="B382" s="48">
        <f>'FC Spr.z syt.finans.'!B53</f>
        <v>6728383.5299999993</v>
      </c>
      <c r="C382" s="16">
        <f>'FC Spr.z syt.finans.'!B70</f>
        <v>465525.50000000006</v>
      </c>
      <c r="D382" s="477">
        <v>6976735.3299999889</v>
      </c>
      <c r="E382" s="146">
        <v>455955.41000000003</v>
      </c>
    </row>
    <row r="383" spans="1:5">
      <c r="A383" s="165" t="s">
        <v>2743</v>
      </c>
      <c r="B383" s="48"/>
      <c r="C383" s="16">
        <f>'FC Spr.z syt.finans.'!B68</f>
        <v>0</v>
      </c>
      <c r="D383" s="477"/>
      <c r="E383" s="146">
        <v>0</v>
      </c>
    </row>
    <row r="384" spans="1:5">
      <c r="A384" s="165" t="s">
        <v>3644</v>
      </c>
      <c r="B384" s="48"/>
      <c r="C384" s="16">
        <f>'FC Spr.z syt.finans.'!B69</f>
        <v>0</v>
      </c>
      <c r="D384" s="477"/>
      <c r="E384" s="146">
        <v>0</v>
      </c>
    </row>
    <row r="385" spans="1:7" s="1422" customFormat="1" ht="21" thickBot="1">
      <c r="A385" s="1411" t="s">
        <v>3662</v>
      </c>
      <c r="B385" s="1554">
        <f>B383+B382+B384</f>
        <v>6728383.5299999993</v>
      </c>
      <c r="C385" s="1554">
        <f>C383+C382+C384</f>
        <v>465525.50000000006</v>
      </c>
      <c r="D385" s="1555">
        <v>6976735.3299999889</v>
      </c>
      <c r="E385" s="1555">
        <v>455955.41000000003</v>
      </c>
    </row>
    <row r="386" spans="1:7" ht="15" thickTop="1">
      <c r="B386" s="252">
        <f>B385-'FC Spr.z syt.finans.'!B53</f>
        <v>0</v>
      </c>
      <c r="C386" s="252">
        <f>C385-'FC Spr.z syt.finans.'!B67</f>
        <v>0</v>
      </c>
      <c r="D386" s="252">
        <f>D385-'FC Spr.z syt.finans.'!C53</f>
        <v>0</v>
      </c>
      <c r="E386" s="252">
        <f>E385-'FC Spr.z syt.finans.'!C67</f>
        <v>0</v>
      </c>
    </row>
    <row r="388" spans="1:7" s="1422" customFormat="1" ht="16.2" thickBot="1">
      <c r="A388" s="1727" t="s">
        <v>3850</v>
      </c>
      <c r="B388" s="1727"/>
      <c r="C388" s="1727"/>
      <c r="D388" s="1727"/>
      <c r="E388" s="1727"/>
    </row>
    <row r="389" spans="1:7" ht="14.4" customHeight="1">
      <c r="A389" s="1519"/>
      <c r="B389" s="1701" t="s">
        <v>3865</v>
      </c>
      <c r="C389" s="1701"/>
      <c r="D389" s="1702" t="s">
        <v>3659</v>
      </c>
      <c r="E389" s="1702"/>
    </row>
    <row r="390" spans="1:7" ht="15" thickBot="1">
      <c r="A390" s="1520"/>
      <c r="B390" s="1487" t="s">
        <v>2686</v>
      </c>
      <c r="C390" s="1487" t="s">
        <v>2687</v>
      </c>
      <c r="D390" s="1488" t="s">
        <v>2686</v>
      </c>
      <c r="E390" s="1488" t="s">
        <v>2687</v>
      </c>
    </row>
    <row r="391" spans="1:7">
      <c r="A391" s="57" t="s">
        <v>2744</v>
      </c>
      <c r="B391" s="48"/>
      <c r="C391" s="16">
        <f>'FC Spr.z syt.finans.'!B65</f>
        <v>12409750.059999898</v>
      </c>
      <c r="D391" s="477"/>
      <c r="E391" s="146">
        <v>8582281.2699998897</v>
      </c>
    </row>
    <row r="392" spans="1:7">
      <c r="A392" s="57" t="s">
        <v>2745</v>
      </c>
      <c r="B392" s="48"/>
      <c r="C392" s="16">
        <f>-'bilans '!B482</f>
        <v>278055.59999999899</v>
      </c>
      <c r="D392" s="477"/>
      <c r="E392" s="146">
        <v>152597.59</v>
      </c>
    </row>
    <row r="393" spans="1:7">
      <c r="A393" s="57" t="s">
        <v>2746</v>
      </c>
      <c r="B393" s="48">
        <f>-'bilans '!B378-'bilans '!B380</f>
        <v>530641.56000000006</v>
      </c>
      <c r="C393" s="16">
        <f>-'bilans '!B492</f>
        <v>1075939.3899999999</v>
      </c>
      <c r="D393" s="477">
        <v>825737.12</v>
      </c>
      <c r="E393" s="146">
        <v>1106815.04999999</v>
      </c>
    </row>
    <row r="394" spans="1:7">
      <c r="A394" s="165" t="s">
        <v>2023</v>
      </c>
      <c r="B394" s="48"/>
      <c r="C394" s="16">
        <f>-'bilans '!B502</f>
        <v>0</v>
      </c>
      <c r="D394" s="477"/>
      <c r="E394" s="146">
        <v>0</v>
      </c>
    </row>
    <row r="395" spans="1:7" s="1422" customFormat="1" ht="15" thickBot="1">
      <c r="A395" s="1411" t="s">
        <v>2747</v>
      </c>
      <c r="B395" s="1406">
        <f>B394+B393+B392+B391</f>
        <v>530641.56000000006</v>
      </c>
      <c r="C395" s="1406">
        <f>C394+C393+C392+C391</f>
        <v>13763745.049999896</v>
      </c>
      <c r="D395" s="1407">
        <v>825737.12</v>
      </c>
      <c r="E395" s="1407">
        <v>9841693.9099998791</v>
      </c>
    </row>
    <row r="396" spans="1:7" ht="15" thickTop="1">
      <c r="B396" s="252">
        <f>B395-'FC Spr.z syt.finans.'!B56</f>
        <v>0</v>
      </c>
      <c r="C396" s="252">
        <f>C395-'FC Spr.z syt.finans.'!B65-'FC Spr.z syt.finans.'!B71</f>
        <v>0</v>
      </c>
      <c r="D396" s="252">
        <f>D395-'FC Spr.z syt.finans.'!C56</f>
        <v>0</v>
      </c>
      <c r="E396" s="252">
        <f>E395-'FC Spr.z syt.finans.'!C65-'FC Spr.z syt.finans.'!C71</f>
        <v>0</v>
      </c>
    </row>
    <row r="398" spans="1:7" s="1422" customFormat="1" ht="16.2" thickBot="1">
      <c r="A398" s="1718" t="s">
        <v>3851</v>
      </c>
      <c r="B398" s="1718"/>
      <c r="C398" s="1718"/>
    </row>
    <row r="399" spans="1:7" ht="61.8" thickBot="1">
      <c r="A399" s="1556" t="s">
        <v>3870</v>
      </c>
      <c r="B399" s="1557" t="s">
        <v>2748</v>
      </c>
      <c r="C399" s="1557" t="s">
        <v>2671</v>
      </c>
      <c r="D399" s="1557" t="s">
        <v>2749</v>
      </c>
      <c r="E399" s="1557" t="s">
        <v>2750</v>
      </c>
      <c r="F399" s="1557" t="s">
        <v>2565</v>
      </c>
    </row>
    <row r="400" spans="1:7">
      <c r="A400" s="548" t="s">
        <v>2751</v>
      </c>
      <c r="B400" s="549"/>
      <c r="C400" s="550">
        <f>'RZiS, koszty rodz.'!B107+'RZiS, koszty rodz.'!B108</f>
        <v>79.329999999999899</v>
      </c>
      <c r="D400" s="550">
        <f>SUM('RZiS, koszty rodz.'!B109:B118)+'RZiS, koszty rodz.'!B119</f>
        <v>160041.4</v>
      </c>
      <c r="E400" s="550">
        <f>-'noty do RZiS'!B174</f>
        <v>-226807.63999999902</v>
      </c>
      <c r="F400" s="551">
        <f>SUM(B400:E400)</f>
        <v>-66686.909999999043</v>
      </c>
      <c r="G400" s="1079"/>
    </row>
    <row r="401" spans="1:10">
      <c r="A401" s="548" t="s">
        <v>2752</v>
      </c>
      <c r="B401" s="549"/>
      <c r="C401" s="550"/>
      <c r="D401" s="550">
        <f>'noty do RZiS'!B164</f>
        <v>7815.7699999999886</v>
      </c>
      <c r="E401" s="550">
        <f>-'noty do RZiS'!B175</f>
        <v>-36489.4</v>
      </c>
      <c r="F401" s="551">
        <f>SUM(B401:E401)</f>
        <v>-28673.630000000012</v>
      </c>
      <c r="G401" s="1079"/>
    </row>
    <row r="402" spans="1:10">
      <c r="A402" s="548" t="s">
        <v>2023</v>
      </c>
      <c r="B402" s="549"/>
      <c r="C402" s="550"/>
      <c r="D402" s="550"/>
      <c r="E402" s="550">
        <f>-'noty do RZiS'!B176</f>
        <v>-234.509999999999</v>
      </c>
      <c r="F402" s="551">
        <f>SUM(B402:E402)</f>
        <v>-234.509999999999</v>
      </c>
    </row>
    <row r="403" spans="1:10" s="1422" customFormat="1" ht="15" thickBot="1">
      <c r="A403" s="1558" t="s">
        <v>2753</v>
      </c>
      <c r="B403" s="1559"/>
      <c r="C403" s="1560">
        <f>SUM(C400:C402)</f>
        <v>79.329999999999899</v>
      </c>
      <c r="D403" s="1560">
        <f>SUM(D400:D402)</f>
        <v>167857.16999999998</v>
      </c>
      <c r="E403" s="1560">
        <f>SUM(E400:E402)</f>
        <v>-263531.54999999906</v>
      </c>
      <c r="F403" s="1560">
        <f>SUM(B403:E403)</f>
        <v>-95595.049999999086</v>
      </c>
      <c r="G403" s="1440">
        <f>'noty do RZiS'!B166-'noty do RZiS'!B177-F403</f>
        <v>0</v>
      </c>
    </row>
    <row r="404" spans="1:10" ht="15.6" thickTop="1" thickBot="1"/>
    <row r="405" spans="1:10" s="1076" customFormat="1" ht="61.8" thickBot="1">
      <c r="A405" s="1561" t="s">
        <v>3663</v>
      </c>
      <c r="B405" s="1562" t="s">
        <v>2748</v>
      </c>
      <c r="C405" s="1562" t="s">
        <v>2671</v>
      </c>
      <c r="D405" s="1562" t="s">
        <v>2749</v>
      </c>
      <c r="E405" s="1562" t="s">
        <v>2750</v>
      </c>
      <c r="F405" s="1562" t="s">
        <v>2565</v>
      </c>
    </row>
    <row r="406" spans="1:10" s="1076" customFormat="1">
      <c r="A406" s="552" t="s">
        <v>2751</v>
      </c>
      <c r="B406" s="553"/>
      <c r="C406" s="554">
        <v>2.8199999999999901</v>
      </c>
      <c r="D406" s="554">
        <v>18532.260000000002</v>
      </c>
      <c r="E406" s="554">
        <v>-594766.39999999898</v>
      </c>
      <c r="F406" s="555">
        <v>-576231.31999999902</v>
      </c>
      <c r="G406" s="1083"/>
    </row>
    <row r="407" spans="1:10" s="1076" customFormat="1">
      <c r="A407" s="552" t="s">
        <v>2752</v>
      </c>
      <c r="B407" s="553"/>
      <c r="C407" s="554"/>
      <c r="D407" s="554">
        <v>1982.8799999999899</v>
      </c>
      <c r="E407" s="554">
        <v>-7283.8799999999974</v>
      </c>
      <c r="F407" s="555">
        <v>-5301.0000000000073</v>
      </c>
      <c r="G407" s="1083"/>
    </row>
    <row r="408" spans="1:10" s="1076" customFormat="1">
      <c r="A408" s="552" t="s">
        <v>2023</v>
      </c>
      <c r="B408" s="553"/>
      <c r="C408" s="554"/>
      <c r="D408" s="554"/>
      <c r="E408" s="554">
        <v>-314.39999999999901</v>
      </c>
      <c r="F408" s="555">
        <v>-314.39999999999901</v>
      </c>
      <c r="G408" s="1083"/>
    </row>
    <row r="409" spans="1:10" s="1435" customFormat="1" ht="15" thickBot="1">
      <c r="A409" s="1530" t="s">
        <v>2753</v>
      </c>
      <c r="B409" s="1563"/>
      <c r="C409" s="1564">
        <v>2.8199999999999901</v>
      </c>
      <c r="D409" s="1564">
        <v>20515.139999999992</v>
      </c>
      <c r="E409" s="1564">
        <v>-602364.679999999</v>
      </c>
      <c r="F409" s="1564">
        <v>-581846.71999999904</v>
      </c>
      <c r="G409" s="1440">
        <f>'noty do RZiS'!C166-'noty do RZiS'!C177-F409</f>
        <v>0</v>
      </c>
    </row>
    <row r="410" spans="1:10" ht="15" thickTop="1">
      <c r="G410" s="1079"/>
    </row>
    <row r="412" spans="1:10" ht="15" thickBot="1">
      <c r="A412" s="1703" t="s">
        <v>2754</v>
      </c>
      <c r="B412" s="1703"/>
      <c r="C412" s="1703"/>
      <c r="D412" s="1703"/>
      <c r="E412" s="1703"/>
    </row>
    <row r="413" spans="1:10" ht="19.2" customHeight="1">
      <c r="A413" s="1722"/>
      <c r="B413" s="1724" t="s">
        <v>2755</v>
      </c>
      <c r="C413" s="1726" t="s">
        <v>3871</v>
      </c>
      <c r="D413" s="1726"/>
      <c r="H413" s="976" t="s">
        <v>3787</v>
      </c>
      <c r="I413" s="1084"/>
      <c r="J413" s="1085">
        <v>4.2691999999999997</v>
      </c>
    </row>
    <row r="414" spans="1:10" ht="15.6" customHeight="1" thickBot="1">
      <c r="A414" s="1723"/>
      <c r="B414" s="1725"/>
      <c r="C414" s="1565" t="s">
        <v>2756</v>
      </c>
      <c r="D414" s="1566" t="s">
        <v>2757</v>
      </c>
      <c r="H414" s="1086">
        <v>2050000000</v>
      </c>
      <c r="I414" s="243">
        <v>0</v>
      </c>
    </row>
    <row r="415" spans="1:10" s="1422" customFormat="1" ht="14.4" customHeight="1">
      <c r="A415" s="1357" t="s">
        <v>2758</v>
      </c>
      <c r="B415" s="1369">
        <f>B416+B417+B418</f>
        <v>28539698.619999979</v>
      </c>
      <c r="C415" s="1369">
        <f>C416+C417+C418</f>
        <v>2.5499999999999998</v>
      </c>
      <c r="D415" s="1369">
        <f>D416+D417+D418</f>
        <v>10.89</v>
      </c>
      <c r="E415" s="1440">
        <f>B415-'FC Spr.z syt.finans.'!B24-'FC Spr.z syt.finans.'!B25-'FC Spr.z syt.finans.'!B29-'FC Spr.z syt.finans.'!B9</f>
        <v>1.6298145055770874E-9</v>
      </c>
      <c r="G415" s="1710" t="s">
        <v>2832</v>
      </c>
      <c r="H415" s="1470" t="s">
        <v>147</v>
      </c>
      <c r="I415" s="1471">
        <f>'bilans '!B154</f>
        <v>0</v>
      </c>
      <c r="J415" s="1433" t="s">
        <v>3600</v>
      </c>
    </row>
    <row r="416" spans="1:10">
      <c r="A416" s="556" t="s">
        <v>2759</v>
      </c>
      <c r="B416" s="69">
        <f>'FC Spr.z syt.finans.'!B24</f>
        <v>25022304.54999999</v>
      </c>
      <c r="C416" s="1626"/>
      <c r="D416" s="69">
        <v>0</v>
      </c>
      <c r="F416" s="1087">
        <f>D416/B416</f>
        <v>0</v>
      </c>
      <c r="G416" s="1710"/>
      <c r="H416" s="992">
        <v>2070000000</v>
      </c>
      <c r="I416" s="243"/>
      <c r="J416" s="242" t="s">
        <v>3601</v>
      </c>
    </row>
    <row r="417" spans="1:13">
      <c r="A417" s="556" t="s">
        <v>2740</v>
      </c>
      <c r="B417" s="69">
        <f>'FC Spr.z syt.finans.'!B25+'FC Spr.z syt.finans.'!B9</f>
        <v>2986485.3999999873</v>
      </c>
      <c r="C417" s="69"/>
      <c r="D417" s="69"/>
      <c r="E417" s="1074" t="s">
        <v>3785</v>
      </c>
      <c r="F417" s="1087">
        <f>D417/B417</f>
        <v>0</v>
      </c>
      <c r="G417" s="1710"/>
      <c r="H417" s="1086" t="s">
        <v>229</v>
      </c>
      <c r="I417" s="242"/>
      <c r="J417" s="1073" t="s">
        <v>3530</v>
      </c>
    </row>
    <row r="418" spans="1:13">
      <c r="A418" s="165" t="s">
        <v>2760</v>
      </c>
      <c r="B418" s="69">
        <f>'FC Spr.z syt.finans.'!B29</f>
        <v>530908.67000000016</v>
      </c>
      <c r="C418" s="1626">
        <v>2.5499999999999998</v>
      </c>
      <c r="D418" s="69">
        <f>'bilans '!B325+'bilans '!B326+'bilans '!B327</f>
        <v>10.89</v>
      </c>
      <c r="E418" s="1692">
        <f>J413</f>
        <v>4.2691999999999997</v>
      </c>
      <c r="F418" s="1087">
        <f>D418/B418</f>
        <v>2.0512002563454084E-5</v>
      </c>
      <c r="G418" s="1710"/>
      <c r="H418" s="1070"/>
      <c r="I418" s="252">
        <f>I416+I415+I414+I417</f>
        <v>0</v>
      </c>
      <c r="J418" s="1073" t="s">
        <v>3530</v>
      </c>
    </row>
    <row r="419" spans="1:13" s="1422" customFormat="1">
      <c r="A419" s="1357" t="s">
        <v>2761</v>
      </c>
      <c r="B419" s="1362">
        <f>B420</f>
        <v>14294386.609999897</v>
      </c>
      <c r="C419" s="1362">
        <f>C420</f>
        <v>10913</v>
      </c>
      <c r="D419" s="1362">
        <f>D420</f>
        <v>45515.776955999994</v>
      </c>
      <c r="E419" s="1440">
        <f>B419-'FC Spr.z syt.finans.'!B65-'FC Spr.z syt.finans.'!B56-'FC Spr.z syt.finans.'!B71</f>
        <v>0</v>
      </c>
      <c r="G419" s="1710"/>
      <c r="H419" s="1470" t="s">
        <v>227</v>
      </c>
      <c r="I419" s="1471">
        <v>0</v>
      </c>
    </row>
    <row r="420" spans="1:13" ht="20.399999999999999">
      <c r="A420" s="165" t="s">
        <v>2762</v>
      </c>
      <c r="B420" s="69">
        <f>'bilans, RZiS,przepływy,kapitały'!C75+'bilans, RZiS,przepływy,kapitały'!C69</f>
        <v>14294386.609999897</v>
      </c>
      <c r="C420" s="69">
        <f>C421+C422</f>
        <v>10913</v>
      </c>
      <c r="D420" s="69">
        <f>D421+D422</f>
        <v>45515.776955999994</v>
      </c>
      <c r="E420" s="1073">
        <f>ROUND(C418*E418,2)</f>
        <v>10.89</v>
      </c>
      <c r="F420" s="1158">
        <f>D420/B420</f>
        <v>3.1841713952355682E-3</v>
      </c>
      <c r="G420" s="1710"/>
      <c r="H420" s="992">
        <v>2150000000</v>
      </c>
      <c r="I420" s="1082">
        <f>10661.43*E418</f>
        <v>45515.776955999994</v>
      </c>
      <c r="J420" s="1076" t="s">
        <v>2756</v>
      </c>
      <c r="K420" s="1089" t="s">
        <v>3773</v>
      </c>
      <c r="L420" s="1089" t="s">
        <v>3775</v>
      </c>
      <c r="M420" s="1089">
        <v>1018459</v>
      </c>
    </row>
    <row r="421" spans="1:13">
      <c r="A421" s="1090" t="s">
        <v>2744</v>
      </c>
      <c r="B421" s="493">
        <f>'FC Spr.z syt.finans.'!B65</f>
        <v>12409750.059999898</v>
      </c>
      <c r="C421" s="1625">
        <v>10913</v>
      </c>
      <c r="D421" s="493">
        <f>I420</f>
        <v>45515.776955999994</v>
      </c>
      <c r="G421" s="590"/>
      <c r="H421" s="590"/>
      <c r="I421" s="252">
        <f>I420+I419</f>
        <v>45515.776955999994</v>
      </c>
      <c r="K421" s="1091" t="s">
        <v>3774</v>
      </c>
      <c r="L421" s="1755" t="s">
        <v>3777</v>
      </c>
      <c r="M421" s="1756">
        <f>104*E418+103.06</f>
        <v>547.05679999999995</v>
      </c>
    </row>
    <row r="422" spans="1:13" ht="14.4" customHeight="1" thickBot="1">
      <c r="A422" s="1090" t="s">
        <v>2763</v>
      </c>
      <c r="B422" s="493">
        <f>-'bilans '!B482</f>
        <v>278055.59999999899</v>
      </c>
      <c r="C422" s="493"/>
      <c r="D422" s="493"/>
      <c r="G422" s="1700" t="s">
        <v>3786</v>
      </c>
      <c r="H422" s="1700"/>
      <c r="I422" s="1700"/>
      <c r="J422" s="1700"/>
      <c r="K422" s="1091" t="s">
        <v>3776</v>
      </c>
      <c r="L422" s="1755"/>
      <c r="M422" s="1756"/>
    </row>
    <row r="423" spans="1:13" s="1422" customFormat="1" ht="15" thickBot="1">
      <c r="A423" s="1570" t="s">
        <v>2764</v>
      </c>
      <c r="B423" s="1571">
        <f>B415-B419</f>
        <v>14245312.010000082</v>
      </c>
      <c r="C423" s="1571">
        <f>C415-C419</f>
        <v>-10910.45</v>
      </c>
      <c r="D423" s="1571">
        <f>D415-D419</f>
        <v>-45504.886955999995</v>
      </c>
      <c r="G423" s="1700"/>
      <c r="H423" s="1700"/>
      <c r="I423" s="1700"/>
      <c r="J423" s="1700"/>
    </row>
    <row r="424" spans="1:13" ht="15" thickBot="1">
      <c r="G424" s="1700"/>
      <c r="H424" s="1700"/>
      <c r="I424" s="1700"/>
      <c r="J424" s="1700"/>
    </row>
    <row r="425" spans="1:13" s="1076" customFormat="1" ht="19.2" customHeight="1">
      <c r="A425" s="1702"/>
      <c r="B425" s="1719" t="s">
        <v>2755</v>
      </c>
      <c r="C425" s="1721" t="s">
        <v>3664</v>
      </c>
      <c r="D425" s="1721"/>
      <c r="G425" s="1700"/>
      <c r="H425" s="1700"/>
      <c r="I425" s="1700"/>
      <c r="J425" s="1700"/>
    </row>
    <row r="426" spans="1:13" s="1076" customFormat="1" ht="15" customHeight="1" thickBot="1">
      <c r="A426" s="1716"/>
      <c r="B426" s="1720"/>
      <c r="C426" s="1568" t="s">
        <v>2756</v>
      </c>
      <c r="D426" s="1569" t="s">
        <v>2757</v>
      </c>
      <c r="G426" s="971"/>
      <c r="H426" s="971"/>
      <c r="I426" s="971"/>
      <c r="J426" s="971"/>
    </row>
    <row r="427" spans="1:13" s="1435" customFormat="1">
      <c r="A427" s="1472" t="s">
        <v>2758</v>
      </c>
      <c r="B427" s="1370">
        <v>31389147.819999997</v>
      </c>
      <c r="C427" s="1370">
        <v>9744.48</v>
      </c>
      <c r="D427" s="1370">
        <v>41638.159999999996</v>
      </c>
      <c r="G427" s="1424"/>
      <c r="H427" s="1424"/>
      <c r="I427" s="1424"/>
      <c r="J427" s="1424"/>
    </row>
    <row r="428" spans="1:13" s="1076" customFormat="1">
      <c r="A428" s="557" t="s">
        <v>2759</v>
      </c>
      <c r="B428" s="506">
        <v>26085018.280000001</v>
      </c>
      <c r="C428" s="506">
        <v>0</v>
      </c>
      <c r="D428" s="506">
        <v>0</v>
      </c>
      <c r="G428" s="971"/>
      <c r="H428" s="971"/>
      <c r="I428" s="971"/>
      <c r="J428" s="971"/>
    </row>
    <row r="429" spans="1:13" s="1076" customFormat="1">
      <c r="A429" s="557" t="s">
        <v>2740</v>
      </c>
      <c r="B429" s="506">
        <v>3952932.8099999963</v>
      </c>
      <c r="C429" s="506"/>
      <c r="D429" s="506"/>
      <c r="G429" s="971"/>
      <c r="H429" s="971"/>
      <c r="I429" s="971"/>
      <c r="J429" s="971"/>
    </row>
    <row r="430" spans="1:13" s="1076" customFormat="1">
      <c r="A430" s="503" t="s">
        <v>2760</v>
      </c>
      <c r="B430" s="506">
        <v>1351196.7300000002</v>
      </c>
      <c r="C430" s="506">
        <v>9744.48</v>
      </c>
      <c r="D430" s="506">
        <v>41638.159999999996</v>
      </c>
      <c r="G430" s="1071"/>
      <c r="H430" s="1071"/>
      <c r="I430" s="1071"/>
    </row>
    <row r="431" spans="1:13" s="1435" customFormat="1">
      <c r="A431" s="1472" t="s">
        <v>2761</v>
      </c>
      <c r="B431" s="1363">
        <v>10667431.029999878</v>
      </c>
      <c r="C431" s="1363">
        <v>104</v>
      </c>
      <c r="D431" s="1363">
        <v>444.39196755496442</v>
      </c>
    </row>
    <row r="432" spans="1:13" s="1076" customFormat="1" ht="20.399999999999999">
      <c r="A432" s="503" t="s">
        <v>2762</v>
      </c>
      <c r="B432" s="506">
        <v>10667431.029999878</v>
      </c>
      <c r="C432" s="506">
        <v>104</v>
      </c>
      <c r="D432" s="506">
        <v>444.39196755496442</v>
      </c>
      <c r="F432" s="1088">
        <f>D432/C432</f>
        <v>4.2729996880285039</v>
      </c>
      <c r="G432" s="976" t="s">
        <v>3787</v>
      </c>
      <c r="H432" s="1084"/>
      <c r="I432" s="1085">
        <v>4.2729999999999997</v>
      </c>
    </row>
    <row r="433" spans="1:13" s="1076" customFormat="1">
      <c r="A433" s="1092" t="s">
        <v>2744</v>
      </c>
      <c r="B433" s="498">
        <v>8582281.2699998897</v>
      </c>
      <c r="C433" s="498">
        <v>104</v>
      </c>
      <c r="D433" s="498">
        <v>444.39196755496442</v>
      </c>
      <c r="F433" s="1088">
        <f>D433/C433</f>
        <v>4.2729996880285039</v>
      </c>
    </row>
    <row r="434" spans="1:13" s="1076" customFormat="1" ht="15" thickBot="1">
      <c r="A434" s="1092" t="s">
        <v>2763</v>
      </c>
      <c r="B434" s="498">
        <v>152597.59</v>
      </c>
      <c r="C434" s="498"/>
      <c r="D434" s="498"/>
    </row>
    <row r="435" spans="1:13" s="1435" customFormat="1" ht="15" customHeight="1" thickBot="1">
      <c r="A435" s="1572" t="s">
        <v>2764</v>
      </c>
      <c r="B435" s="1573">
        <v>20721716.790000118</v>
      </c>
      <c r="C435" s="1573">
        <v>9640.48</v>
      </c>
      <c r="D435" s="1573">
        <v>41193.768032445034</v>
      </c>
    </row>
    <row r="438" spans="1:13" ht="15" thickBot="1">
      <c r="A438" s="1703" t="s">
        <v>2765</v>
      </c>
      <c r="B438" s="1703"/>
      <c r="C438" s="1703"/>
      <c r="D438" s="1703"/>
      <c r="E438" s="1703"/>
    </row>
    <row r="439" spans="1:13">
      <c r="A439" s="1711" t="s">
        <v>3872</v>
      </c>
      <c r="B439" s="1701" t="s">
        <v>2717</v>
      </c>
      <c r="C439" s="1701" t="s">
        <v>2766</v>
      </c>
      <c r="D439" s="1701" t="s">
        <v>2767</v>
      </c>
      <c r="E439" s="1485" t="s">
        <v>2768</v>
      </c>
      <c r="F439" s="1701" t="s">
        <v>2769</v>
      </c>
    </row>
    <row r="440" spans="1:13" ht="15" thickBot="1">
      <c r="A440" s="1712"/>
      <c r="B440" s="1709"/>
      <c r="C440" s="1709"/>
      <c r="D440" s="1709"/>
      <c r="E440" s="1487" t="s">
        <v>2770</v>
      </c>
      <c r="F440" s="1709"/>
    </row>
    <row r="441" spans="1:13">
      <c r="A441" s="165" t="s">
        <v>2743</v>
      </c>
      <c r="B441" s="551">
        <f>'FC Spr.z syt.finans.'!B68</f>
        <v>0</v>
      </c>
      <c r="C441" s="558"/>
      <c r="D441" s="558">
        <f>B441</f>
        <v>0</v>
      </c>
      <c r="E441" s="558"/>
      <c r="F441" s="558"/>
      <c r="G441" s="862">
        <f>F441+E441+D441+C441-B441</f>
        <v>0</v>
      </c>
    </row>
    <row r="442" spans="1:13">
      <c r="A442" s="165" t="s">
        <v>3321</v>
      </c>
      <c r="B442" s="551">
        <f>'FC Spr.z syt.finans.'!B69</f>
        <v>0</v>
      </c>
      <c r="C442" s="558">
        <f>B442</f>
        <v>0</v>
      </c>
      <c r="D442" s="558"/>
      <c r="E442" s="558"/>
      <c r="F442" s="558"/>
      <c r="G442" s="862">
        <f>F442+E442+D442+C442-B442</f>
        <v>0</v>
      </c>
      <c r="I442" s="1093" t="s">
        <v>3873</v>
      </c>
    </row>
    <row r="443" spans="1:13" ht="30.6">
      <c r="A443" s="165" t="s">
        <v>2771</v>
      </c>
      <c r="B443" s="860">
        <f>'FC Spr.z syt.finans.'!B65+'FC Spr.z syt.finans.'!B71+'FC Spr.z syt.finans.'!B56</f>
        <v>14294386.609999897</v>
      </c>
      <c r="C443" s="861">
        <f>-'bilans '!B486-'bilans '!B383-'bilans '!B504-'bilans '!B506-'bilans '!B501+H445</f>
        <v>13129204.319999898</v>
      </c>
      <c r="D443" s="861">
        <f>I445</f>
        <v>637180.37</v>
      </c>
      <c r="E443" s="861">
        <f>J445</f>
        <v>528001.92000000004</v>
      </c>
      <c r="F443" s="558">
        <f>K445</f>
        <v>0</v>
      </c>
      <c r="G443" s="862">
        <f>F443+E443+D443+C443-B443</f>
        <v>0</v>
      </c>
      <c r="H443" s="1697" t="s">
        <v>3531</v>
      </c>
      <c r="I443" s="1697"/>
      <c r="J443" s="1697"/>
      <c r="K443" s="1697"/>
    </row>
    <row r="444" spans="1:13" ht="20.399999999999999">
      <c r="A444" s="165" t="s">
        <v>2772</v>
      </c>
      <c r="B444" s="860">
        <f>'FC Spr.z syt.finans.'!B70+'FC Spr.z syt.finans.'!B53</f>
        <v>7193909.0299999993</v>
      </c>
      <c r="C444" s="861">
        <f>-'bilans '!B468+H447+H449</f>
        <v>210798.40000000002</v>
      </c>
      <c r="D444" s="861">
        <f>I447+I449</f>
        <v>254727.1</v>
      </c>
      <c r="E444" s="861">
        <f>J447+J449</f>
        <v>1121723.76</v>
      </c>
      <c r="F444" s="558">
        <f>K449</f>
        <v>5606659.7699999996</v>
      </c>
      <c r="G444" s="862">
        <f>F444+E444+D444+C444-B444</f>
        <v>0</v>
      </c>
      <c r="H444" s="993" t="s">
        <v>3874</v>
      </c>
      <c r="I444" s="993" t="s">
        <v>3875</v>
      </c>
      <c r="J444" s="1094" t="s">
        <v>3876</v>
      </c>
      <c r="K444" s="1094" t="s">
        <v>3877</v>
      </c>
    </row>
    <row r="445" spans="1:13" s="1422" customFormat="1" ht="15" thickBot="1">
      <c r="A445" s="1411" t="s">
        <v>2565</v>
      </c>
      <c r="B445" s="1395">
        <f>B444+B443+B441+B442</f>
        <v>21488295.639999896</v>
      </c>
      <c r="C445" s="1395">
        <f>C444+C443+C441+C442</f>
        <v>13340002.719999898</v>
      </c>
      <c r="D445" s="1395">
        <f>D444+D443+D441+D442</f>
        <v>891907.47</v>
      </c>
      <c r="E445" s="1395">
        <f>E444+E443+E441+E442</f>
        <v>1649725.6800000002</v>
      </c>
      <c r="F445" s="1395">
        <f>F444+F443+F441+F442</f>
        <v>5606659.7699999996</v>
      </c>
      <c r="G445" s="1440">
        <f>B445-'bilans, RZiS,przepływy,kapitały'!C69-'bilans, RZiS,przepływy,kapitały'!C73-'bilans, RZiS,przepływy,kapitały'!C75-'bilans, RZiS,przepływy,kapitały'!C66</f>
        <v>0</v>
      </c>
      <c r="H445" s="1473">
        <v>435398.66</v>
      </c>
      <c r="I445" s="1473">
        <v>637180.37</v>
      </c>
      <c r="J445" s="1473">
        <v>528001.92000000004</v>
      </c>
      <c r="K445" s="1473"/>
      <c r="M445" s="1474">
        <f>J445+I445+H445</f>
        <v>1600580.95</v>
      </c>
    </row>
    <row r="446" spans="1:13" ht="15" thickTop="1">
      <c r="B446" s="252">
        <f>B445-'FC Spr.z syt.finans.'!B53-'FC Spr.z syt.finans.'!B56-'FC Spr.z syt.finans.'!B65-'FC Spr.z syt.finans.'!B67-'FC Spr.z syt.finans.'!B71</f>
        <v>0</v>
      </c>
      <c r="H446" s="1698" t="s">
        <v>3532</v>
      </c>
      <c r="I446" s="1698"/>
      <c r="J446" s="1698"/>
      <c r="K446" s="1698"/>
      <c r="M446" s="1079"/>
    </row>
    <row r="447" spans="1:13" ht="15" thickBot="1">
      <c r="H447" s="249">
        <v>1405.41</v>
      </c>
      <c r="I447" s="249"/>
      <c r="J447" s="249"/>
      <c r="K447" s="249">
        <v>0</v>
      </c>
      <c r="M447" s="1079">
        <f>J447+I447+H447+K447</f>
        <v>1405.41</v>
      </c>
    </row>
    <row r="448" spans="1:13" s="1076" customFormat="1">
      <c r="A448" s="1714" t="s">
        <v>3665</v>
      </c>
      <c r="B448" s="1702" t="s">
        <v>2717</v>
      </c>
      <c r="C448" s="1702" t="s">
        <v>2766</v>
      </c>
      <c r="D448" s="1702" t="s">
        <v>2767</v>
      </c>
      <c r="E448" s="1486" t="s">
        <v>2768</v>
      </c>
      <c r="F448" s="1702" t="s">
        <v>2769</v>
      </c>
      <c r="H448" s="1699" t="s">
        <v>3533</v>
      </c>
      <c r="I448" s="1699"/>
      <c r="J448" s="1699"/>
      <c r="K448" s="1699"/>
      <c r="M448" s="1079"/>
    </row>
    <row r="449" spans="1:13" s="1076" customFormat="1" ht="15" thickBot="1">
      <c r="A449" s="1715"/>
      <c r="B449" s="1716"/>
      <c r="C449" s="1716"/>
      <c r="D449" s="1716"/>
      <c r="E449" s="1488" t="s">
        <v>2770</v>
      </c>
      <c r="F449" s="1716"/>
      <c r="H449" s="1095">
        <v>72083.02</v>
      </c>
      <c r="I449" s="1095">
        <v>254727.1</v>
      </c>
      <c r="J449" s="1095">
        <v>1121723.76</v>
      </c>
      <c r="K449" s="1095">
        <v>5606659.7699999996</v>
      </c>
      <c r="M449" s="1079">
        <f>J449+I449+H449+K449</f>
        <v>7055193.6499999994</v>
      </c>
    </row>
    <row r="450" spans="1:13" s="1076" customFormat="1">
      <c r="A450" s="503" t="s">
        <v>2743</v>
      </c>
      <c r="B450" s="555">
        <v>0</v>
      </c>
      <c r="C450" s="559"/>
      <c r="D450" s="559">
        <v>0</v>
      </c>
      <c r="E450" s="559"/>
      <c r="F450" s="559"/>
      <c r="G450" s="862">
        <f>F450+E450+D450+C450-B450</f>
        <v>0</v>
      </c>
      <c r="H450" s="1083"/>
    </row>
    <row r="451" spans="1:13" s="1076" customFormat="1">
      <c r="A451" s="165" t="s">
        <v>3321</v>
      </c>
      <c r="B451" s="555">
        <v>0</v>
      </c>
      <c r="C451" s="559">
        <v>0</v>
      </c>
      <c r="D451" s="559"/>
      <c r="E451" s="559"/>
      <c r="F451" s="559"/>
      <c r="G451" s="862">
        <f>F451+E451+D451+C451-B451</f>
        <v>0</v>
      </c>
      <c r="I451" s="1093" t="s">
        <v>3666</v>
      </c>
    </row>
    <row r="452" spans="1:13" s="1076" customFormat="1" ht="30.6">
      <c r="A452" s="503" t="s">
        <v>2771</v>
      </c>
      <c r="B452" s="555">
        <v>10667431.029999878</v>
      </c>
      <c r="C452" s="559">
        <v>9366955.2099998891</v>
      </c>
      <c r="D452" s="559">
        <v>474738.7</v>
      </c>
      <c r="E452" s="559">
        <v>825737.12000000011</v>
      </c>
      <c r="F452" s="559">
        <v>0</v>
      </c>
      <c r="G452" s="862">
        <f>F452+E452+D452+C452-B452</f>
        <v>0</v>
      </c>
      <c r="H452" s="1697" t="s">
        <v>3531</v>
      </c>
      <c r="I452" s="1697"/>
      <c r="J452" s="1697"/>
      <c r="K452" s="1697"/>
    </row>
    <row r="453" spans="1:13" s="1076" customFormat="1" ht="20.399999999999999">
      <c r="A453" s="503" t="s">
        <v>2772</v>
      </c>
      <c r="B453" s="555">
        <v>7432690.739999989</v>
      </c>
      <c r="C453" s="559">
        <v>239811.38</v>
      </c>
      <c r="D453" s="559">
        <v>216144.03</v>
      </c>
      <c r="E453" s="559">
        <v>1154103.8700000001</v>
      </c>
      <c r="F453" s="559">
        <v>5822631.46</v>
      </c>
      <c r="G453" s="862">
        <f>F453+E453+D453+C453-B453</f>
        <v>1.1175870895385742E-8</v>
      </c>
      <c r="H453" s="993" t="s">
        <v>3744</v>
      </c>
      <c r="I453" s="993" t="s">
        <v>3745</v>
      </c>
      <c r="J453" s="1094" t="s">
        <v>3878</v>
      </c>
      <c r="K453" s="1094" t="s">
        <v>3746</v>
      </c>
    </row>
    <row r="454" spans="1:13" s="1435" customFormat="1" ht="15" thickBot="1">
      <c r="A454" s="1527" t="s">
        <v>2565</v>
      </c>
      <c r="B454" s="1396">
        <v>18100121.769999869</v>
      </c>
      <c r="C454" s="1396">
        <v>9606766.58999989</v>
      </c>
      <c r="D454" s="1396">
        <v>690882.73</v>
      </c>
      <c r="E454" s="1396">
        <v>1979840.9900000002</v>
      </c>
      <c r="F454" s="1396">
        <v>5822631.46</v>
      </c>
      <c r="G454" s="1440">
        <f>F454+E454+D454+C454-B454</f>
        <v>0</v>
      </c>
      <c r="H454" s="1473">
        <v>562576.35</v>
      </c>
      <c r="I454" s="1473">
        <v>474738.7</v>
      </c>
      <c r="J454" s="1473">
        <v>825737.12000000011</v>
      </c>
      <c r="K454" s="1473"/>
    </row>
    <row r="455" spans="1:13" ht="15" thickTop="1">
      <c r="B455" s="252">
        <f>B454-'FC Spr.z syt.finans.'!C53-'FC Spr.z syt.finans.'!C56-'FC Spr.z syt.finans.'!C65-'FC Spr.z syt.finans.'!C67-'FC Spr.z syt.finans.'!C71</f>
        <v>0</v>
      </c>
      <c r="C455" s="1076"/>
      <c r="H455" s="1698" t="s">
        <v>3532</v>
      </c>
      <c r="I455" s="1698"/>
      <c r="J455" s="1698"/>
      <c r="K455" s="1698"/>
    </row>
    <row r="456" spans="1:13">
      <c r="H456" s="249">
        <v>1317.59</v>
      </c>
      <c r="I456" s="249">
        <v>4125.49</v>
      </c>
      <c r="J456" s="249"/>
      <c r="K456" s="249">
        <v>0</v>
      </c>
    </row>
    <row r="457" spans="1:13" ht="15" thickBot="1">
      <c r="A457" s="1703" t="s">
        <v>2773</v>
      </c>
      <c r="B457" s="1703"/>
      <c r="C457" s="1703"/>
      <c r="D457" s="1703"/>
      <c r="E457" s="1703"/>
      <c r="F457" s="1703"/>
      <c r="H457" s="1699" t="s">
        <v>3533</v>
      </c>
      <c r="I457" s="1699"/>
      <c r="J457" s="1699"/>
      <c r="K457" s="1699"/>
    </row>
    <row r="458" spans="1:13">
      <c r="A458" s="1704"/>
      <c r="B458" s="1503" t="s">
        <v>2009</v>
      </c>
      <c r="C458" s="1504" t="s">
        <v>2009</v>
      </c>
      <c r="H458" s="1095">
        <v>101314.25</v>
      </c>
      <c r="I458" s="1095">
        <v>212018.54</v>
      </c>
      <c r="J458" s="1095">
        <v>1154103.8700000001</v>
      </c>
      <c r="K458" s="1095">
        <v>5822631.46</v>
      </c>
    </row>
    <row r="459" spans="1:13" ht="15" thickBot="1">
      <c r="A459" s="1705"/>
      <c r="B459" s="1505" t="s">
        <v>3859</v>
      </c>
      <c r="C459" s="1506" t="s">
        <v>3649</v>
      </c>
    </row>
    <row r="460" spans="1:13">
      <c r="A460" s="165" t="s">
        <v>2738</v>
      </c>
      <c r="B460" s="69">
        <f>'FC Spr.z syt.finans.'!B24</f>
        <v>25022304.54999999</v>
      </c>
      <c r="C460" s="506">
        <v>26085018.280000001</v>
      </c>
      <c r="D460" s="1717" t="s">
        <v>3879</v>
      </c>
      <c r="E460" s="1717"/>
      <c r="F460" s="1717"/>
      <c r="G460" s="1717"/>
    </row>
    <row r="461" spans="1:13">
      <c r="A461" s="165" t="s">
        <v>2774</v>
      </c>
      <c r="B461" s="69">
        <f>'FC Spr.z syt.finans.'!B9+'FC Spr.z syt.finans.'!B25</f>
        <v>2986485.3999999873</v>
      </c>
      <c r="C461" s="506">
        <v>3952932.8099999963</v>
      </c>
      <c r="D461" s="1717"/>
      <c r="E461" s="1717"/>
      <c r="F461" s="1717"/>
      <c r="G461" s="1717"/>
    </row>
    <row r="462" spans="1:13">
      <c r="A462" s="165" t="s">
        <v>1468</v>
      </c>
      <c r="B462" s="69">
        <f>'FC Spr.z syt.finans.'!B29</f>
        <v>530908.67000000016</v>
      </c>
      <c r="C462" s="506">
        <v>1351196.7300000002</v>
      </c>
      <c r="G462" s="1347">
        <f>'bilans '!B126/'bilans '!B124</f>
        <v>0.99680648359785118</v>
      </c>
    </row>
    <row r="463" spans="1:13" s="1422" customFormat="1" ht="15" thickBot="1">
      <c r="A463" s="1411" t="s">
        <v>2775</v>
      </c>
      <c r="B463" s="1406">
        <f>B462+B461+B460</f>
        <v>28539698.619999975</v>
      </c>
      <c r="C463" s="1407">
        <v>31389147.819999997</v>
      </c>
    </row>
    <row r="464" spans="1:13" ht="15" thickTop="1">
      <c r="B464" s="252">
        <f>B463-'FC Spr.z syt.finans.'!B29-'FC Spr.z syt.finans.'!B24-'FC Spr.z syt.finans.'!B25-'FC Spr.z syt.finans.'!B9</f>
        <v>-3.7252902984619141E-9</v>
      </c>
      <c r="C464" s="252">
        <f>C463-'FC Spr.z syt.finans.'!C29-'FC Spr.z syt.finans.'!C24-'FC Spr.z syt.finans.'!C25-'FC Spr.z syt.finans.'!C9</f>
        <v>-1.3969838619232178E-9</v>
      </c>
    </row>
    <row r="465" spans="1:15" ht="15" thickBot="1">
      <c r="A465" s="1706" t="s">
        <v>2776</v>
      </c>
      <c r="B465" s="1706"/>
      <c r="C465" s="1706"/>
      <c r="D465" s="1706"/>
    </row>
    <row r="466" spans="1:15" ht="14.4" customHeight="1">
      <c r="A466" s="1519"/>
      <c r="B466" s="1707" t="s">
        <v>3880</v>
      </c>
      <c r="C466" s="1707"/>
      <c r="D466" s="1708" t="s">
        <v>3667</v>
      </c>
      <c r="E466" s="1708"/>
    </row>
    <row r="467" spans="1:15" ht="15" thickBot="1">
      <c r="A467" s="1575"/>
      <c r="B467" s="1576" t="s">
        <v>2777</v>
      </c>
      <c r="C467" s="1576" t="s">
        <v>2778</v>
      </c>
      <c r="D467" s="1577" t="s">
        <v>2777</v>
      </c>
      <c r="E467" s="1577" t="s">
        <v>2778</v>
      </c>
      <c r="I467" s="1096" t="s">
        <v>2334</v>
      </c>
      <c r="J467" s="1096" t="s">
        <v>2852</v>
      </c>
      <c r="K467" s="1096"/>
    </row>
    <row r="468" spans="1:15">
      <c r="A468" s="560" t="s">
        <v>2779</v>
      </c>
      <c r="B468" s="69">
        <f>'bilans '!B124-H469-H471</f>
        <v>25022304.54999999</v>
      </c>
      <c r="C468" s="561">
        <f>B468/B470</f>
        <v>1</v>
      </c>
      <c r="D468" s="506">
        <v>26085018.280000001</v>
      </c>
      <c r="E468" s="562">
        <v>1</v>
      </c>
      <c r="F468" s="1710" t="s">
        <v>2833</v>
      </c>
      <c r="G468" s="1710"/>
      <c r="H468" s="1073" t="s">
        <v>147</v>
      </c>
      <c r="I468" s="1096"/>
      <c r="J468" s="1096"/>
      <c r="K468" s="1096"/>
    </row>
    <row r="469" spans="1:15">
      <c r="A469" s="560" t="s">
        <v>2780</v>
      </c>
      <c r="B469" s="69">
        <f>H469+H471</f>
        <v>0</v>
      </c>
      <c r="C469" s="561">
        <f>B469/B470</f>
        <v>0</v>
      </c>
      <c r="D469" s="506">
        <v>-1.0231815394945443E-12</v>
      </c>
      <c r="E469" s="562">
        <v>-3.9224873393285743E-20</v>
      </c>
      <c r="F469" s="1710"/>
      <c r="G469" s="1710"/>
      <c r="H469" s="1079">
        <f>'bilans '!B154</f>
        <v>0</v>
      </c>
      <c r="I469" s="1076">
        <v>4000710</v>
      </c>
      <c r="J469" s="1073" t="s">
        <v>2780</v>
      </c>
    </row>
    <row r="470" spans="1:15" s="1422" customFormat="1" ht="15" thickBot="1">
      <c r="A470" s="1393" t="s">
        <v>2565</v>
      </c>
      <c r="B470" s="1406">
        <f>B469+B468</f>
        <v>25022304.54999999</v>
      </c>
      <c r="C470" s="1578">
        <f>C469+C468</f>
        <v>1</v>
      </c>
      <c r="D470" s="1407">
        <v>26085018.280000001</v>
      </c>
      <c r="E470" s="1579">
        <v>1</v>
      </c>
      <c r="F470" s="1710"/>
      <c r="G470" s="1710"/>
      <c r="H470" s="1422" t="s">
        <v>229</v>
      </c>
    </row>
    <row r="471" spans="1:15" ht="15" thickTop="1">
      <c r="B471" s="252">
        <f>B470-'FC Spr.z syt.finans.'!B24</f>
        <v>0</v>
      </c>
      <c r="H471" s="1079">
        <f>'bilans '!B160</f>
        <v>0</v>
      </c>
      <c r="I471" s="1073">
        <v>4005394</v>
      </c>
      <c r="J471" s="1073" t="s">
        <v>2780</v>
      </c>
    </row>
    <row r="473" spans="1:15" ht="15" thickBot="1">
      <c r="A473" s="1703" t="s">
        <v>2781</v>
      </c>
      <c r="B473" s="1703"/>
      <c r="C473" s="1703"/>
      <c r="D473" s="1703"/>
      <c r="E473" s="1703"/>
      <c r="H473" s="1073" t="s">
        <v>2472</v>
      </c>
      <c r="I473" s="1073" t="s">
        <v>3317</v>
      </c>
      <c r="J473" s="1073" t="s">
        <v>3318</v>
      </c>
    </row>
    <row r="474" spans="1:15" ht="21" thickBot="1">
      <c r="A474" s="1580" t="s">
        <v>3881</v>
      </c>
      <c r="B474" s="1581" t="s">
        <v>2782</v>
      </c>
      <c r="C474" s="1581" t="s">
        <v>2783</v>
      </c>
      <c r="D474" s="1581" t="s">
        <v>2739</v>
      </c>
      <c r="E474" s="1581" t="s">
        <v>2784</v>
      </c>
      <c r="F474" s="1581" t="s">
        <v>2740</v>
      </c>
      <c r="H474" s="78">
        <f>(IFERROR(VLOOKUP(L474,obrotówka!$A$3:$J$1600,3,0),0))</f>
        <v>-21132.61</v>
      </c>
      <c r="I474" s="78">
        <f>(IFERROR(VLOOKUP(L474,obrotówka!$A$3:$J$1600,6,0),0))</f>
        <v>0</v>
      </c>
      <c r="J474" s="78">
        <f>(IFERROR(VLOOKUP(L474,obrotówka!$A$3:$J$1600,7,0),0))</f>
        <v>0</v>
      </c>
      <c r="K474" s="78">
        <f>(IFERROR(VLOOKUP(L474,obrotówka!$A$3:$J$1600,10,0),0))</f>
        <v>-21132.61</v>
      </c>
      <c r="L474" s="242" t="s">
        <v>294</v>
      </c>
      <c r="M474" s="301">
        <f>(IFERROR(VLOOKUP(N474,obrotówka!$A$3:$J$1600,10,0),0))</f>
        <v>-1427.04</v>
      </c>
      <c r="N474" s="1097" t="s">
        <v>807</v>
      </c>
      <c r="O474" s="1097" t="s">
        <v>2853</v>
      </c>
    </row>
    <row r="475" spans="1:15" s="1422" customFormat="1">
      <c r="A475" s="1429" t="s">
        <v>2785</v>
      </c>
      <c r="B475" s="1369">
        <v>4050026.29</v>
      </c>
      <c r="C475" s="1362">
        <v>0</v>
      </c>
      <c r="D475" s="1362">
        <v>0</v>
      </c>
      <c r="E475" s="1362">
        <v>0</v>
      </c>
      <c r="F475" s="1362">
        <v>37465047.499999993</v>
      </c>
      <c r="H475" s="1475">
        <f>(IFERROR(VLOOKUP(L475,obrotówka!$A$3:$J$1600,3,0),0))</f>
        <v>0</v>
      </c>
      <c r="I475" s="1475">
        <f>(IFERROR(VLOOKUP(L475,obrotówka!$A$3:$J$1600,6,0),0))</f>
        <v>0</v>
      </c>
      <c r="J475" s="1475">
        <f>(IFERROR(VLOOKUP(L475,obrotówka!$A$3:$J$1600,7,0),0))</f>
        <v>0</v>
      </c>
      <c r="K475" s="1475">
        <f>(IFERROR(VLOOKUP(L475,obrotówka!$A$3:$J$1600,10,0),0))</f>
        <v>0</v>
      </c>
      <c r="L475" s="1433" t="s">
        <v>296</v>
      </c>
      <c r="M475" s="1476">
        <f>(IFERROR(VLOOKUP(N475,obrotówka!$A$3:$J$1600,10,0),0))</f>
        <v>-356880.39</v>
      </c>
      <c r="N475" s="1477" t="s">
        <v>2416</v>
      </c>
      <c r="O475" s="1477" t="s">
        <v>2853</v>
      </c>
    </row>
    <row r="476" spans="1:15">
      <c r="A476" s="563" t="s">
        <v>2786</v>
      </c>
      <c r="B476" s="484">
        <f>M478</f>
        <v>3479.6199999999899</v>
      </c>
      <c r="C476" s="564"/>
      <c r="D476" s="31"/>
      <c r="E476" s="31"/>
      <c r="F476" s="31">
        <f>M479</f>
        <v>2595.0599999999899</v>
      </c>
      <c r="H476" s="78">
        <f>(IFERROR(VLOOKUP(L476,obrotówka!$A$3:$J$1600,3,0),0))</f>
        <v>-28881.63</v>
      </c>
      <c r="I476" s="78">
        <f>(IFERROR(VLOOKUP(L476,obrotówka!$A$3:$J$1600,6,0),0))</f>
        <v>0</v>
      </c>
      <c r="J476" s="78">
        <f>(IFERROR(VLOOKUP(L476,obrotówka!$A$3:$J$1600,7,0),0))</f>
        <v>0</v>
      </c>
      <c r="K476" s="78">
        <f>(IFERROR(VLOOKUP(L476,obrotówka!$A$3:$J$1600,10,0),0))</f>
        <v>-28881.63</v>
      </c>
      <c r="L476" s="242" t="s">
        <v>2838</v>
      </c>
      <c r="M476" s="242"/>
      <c r="N476" s="242"/>
      <c r="O476" s="242"/>
    </row>
    <row r="477" spans="1:15">
      <c r="A477" s="563" t="s">
        <v>2787</v>
      </c>
      <c r="B477" s="484">
        <f>-M474</f>
        <v>1427.04</v>
      </c>
      <c r="C477" s="564"/>
      <c r="D477" s="31"/>
      <c r="E477" s="31"/>
      <c r="F477" s="31">
        <f>-M475</f>
        <v>356880.39</v>
      </c>
      <c r="H477" s="78">
        <f>(IFERROR(VLOOKUP(L477,obrotówka!$A$3:$J$1600,3,0),0))</f>
        <v>-4050026.29</v>
      </c>
      <c r="I477" s="78">
        <f>(IFERROR(VLOOKUP(L477,obrotówka!$A$3:$J$1600,6,0),0))</f>
        <v>2854.0799999999899</v>
      </c>
      <c r="J477" s="78">
        <f>(IFERROR(VLOOKUP(L477,obrotówka!$A$3:$J$1600,7,0),0))</f>
        <v>4906.6599999999899</v>
      </c>
      <c r="K477" s="78">
        <f>(IFERROR(VLOOKUP(L477,obrotówka!$A$3:$J$1600,10,0),0))</f>
        <v>-4052078.87</v>
      </c>
      <c r="L477" s="242" t="s">
        <v>150</v>
      </c>
      <c r="M477" s="301">
        <f>(IFERROR(VLOOKUP(N477,obrotówka!$A$3:$J$1600,10,0),0))</f>
        <v>0</v>
      </c>
      <c r="N477" s="1097" t="s">
        <v>838</v>
      </c>
      <c r="O477" s="1097" t="s">
        <v>2854</v>
      </c>
    </row>
    <row r="478" spans="1:15" s="1422" customFormat="1" ht="15" thickBot="1">
      <c r="A478" s="1429" t="s">
        <v>2788</v>
      </c>
      <c r="B478" s="1369">
        <f>B475+B476-B477</f>
        <v>4052078.87</v>
      </c>
      <c r="C478" s="1369">
        <f>C475+C476-C477</f>
        <v>0</v>
      </c>
      <c r="D478" s="1369">
        <f>D475+D476-D477</f>
        <v>0</v>
      </c>
      <c r="E478" s="1369">
        <f>E475+E476-E477</f>
        <v>0</v>
      </c>
      <c r="F478" s="1369">
        <f>F475+F476-F477</f>
        <v>37110762.169999994</v>
      </c>
      <c r="G478" s="1440">
        <f>F478+E478+D478+C478+B478+K482</f>
        <v>8.9406967163085938E-8</v>
      </c>
      <c r="H478" s="1475">
        <f>(IFERROR(VLOOKUP(L478,obrotówka!$A$3:$J$1600,3,0),0))</f>
        <v>-285631.66999999899</v>
      </c>
      <c r="I478" s="1475">
        <f>(IFERROR(VLOOKUP(L478,obrotówka!$A$3:$J$1600,6,0),0))</f>
        <v>0</v>
      </c>
      <c r="J478" s="1475">
        <f>(IFERROR(VLOOKUP(L478,obrotówka!$A$3:$J$1600,7,0),0))</f>
        <v>0</v>
      </c>
      <c r="K478" s="1475">
        <f>(IFERROR(VLOOKUP(L478,obrotówka!$A$3:$J$1600,10,0),0))</f>
        <v>-285631.66999999899</v>
      </c>
      <c r="L478" s="1433" t="s">
        <v>152</v>
      </c>
      <c r="M478" s="1476">
        <f>(IFERROR(VLOOKUP(N478,obrotówka!$A$3:$J$1600,10,0),0))</f>
        <v>3479.6199999999899</v>
      </c>
      <c r="N478" s="1477" t="s">
        <v>840</v>
      </c>
      <c r="O478" s="1477" t="s">
        <v>2854</v>
      </c>
    </row>
    <row r="479" spans="1:15" s="1422" customFormat="1" ht="15" customHeight="1" thickTop="1">
      <c r="A479" s="1582" t="s">
        <v>2789</v>
      </c>
      <c r="B479" s="1583">
        <f>'FC Spr.z syt.finans.'!B24+B478</f>
        <v>29074383.419999991</v>
      </c>
      <c r="C479" s="1584"/>
      <c r="D479" s="1584">
        <f>'FC Spr.z syt.finans.'!B26</f>
        <v>2501383.25999999</v>
      </c>
      <c r="E479" s="1584"/>
      <c r="F479" s="1584">
        <f>'FC Spr.z syt.finans.'!B9+'FC Spr.z syt.finans.'!B25+F478+'FC Spr.z syt.finans.'!B22-D479</f>
        <v>37595864.309999987</v>
      </c>
      <c r="H479" s="1475">
        <f>(IFERROR(VLOOKUP(L479,obrotówka!$A$3:$J$1600,3,0),0))</f>
        <v>-37129401.590000004</v>
      </c>
      <c r="I479" s="1475">
        <f>(IFERROR(VLOOKUP(L479,obrotówka!$A$3:$J$1600,6,0),0))</f>
        <v>357652.02</v>
      </c>
      <c r="J479" s="1475">
        <f>(IFERROR(VLOOKUP(L479,obrotówka!$A$3:$J$1600,7,0),0))</f>
        <v>3366.69</v>
      </c>
      <c r="K479" s="1475">
        <f>(IFERROR(VLOOKUP(L479,obrotówka!$A$3:$J$1600,10,0),0))</f>
        <v>-36775116.259999901</v>
      </c>
      <c r="L479" s="1433" t="s">
        <v>154</v>
      </c>
      <c r="M479" s="1476">
        <f>(IFERROR(VLOOKUP(N479,obrotówka!$A$3:$J$1600,10,0),0))</f>
        <v>2595.0599999999899</v>
      </c>
      <c r="N479" s="1477" t="s">
        <v>841</v>
      </c>
      <c r="O479" s="1477" t="s">
        <v>2854</v>
      </c>
    </row>
    <row r="480" spans="1:15" s="1422" customFormat="1" ht="15" thickBot="1">
      <c r="A480" s="1411" t="s">
        <v>2790</v>
      </c>
      <c r="B480" s="1406">
        <f>B479-B478</f>
        <v>25022304.54999999</v>
      </c>
      <c r="C480" s="1406">
        <f>C479-C478</f>
        <v>0</v>
      </c>
      <c r="D480" s="1406">
        <f>D479-D478</f>
        <v>2501383.25999999</v>
      </c>
      <c r="E480" s="1406">
        <f>E479-E478</f>
        <v>0</v>
      </c>
      <c r="F480" s="1406">
        <f>F479-F478</f>
        <v>485102.13999999315</v>
      </c>
      <c r="G480" s="1440">
        <f>'bilans, RZiS,przepływy,kapitały'!C42+'bilans, RZiS,przepływy,kapitały'!C51-F480-B480-D480</f>
        <v>4.1909515857696533E-9</v>
      </c>
      <c r="H480" s="1475">
        <f>(IFERROR(VLOOKUP(L480,obrotówka!$A$3:$J$1600,3,0),0))</f>
        <v>0</v>
      </c>
      <c r="I480" s="1475">
        <f>(IFERROR(VLOOKUP(L480,obrotówka!$A$3:$J$1600,6,0),0))</f>
        <v>0</v>
      </c>
      <c r="J480" s="1475">
        <f>(IFERROR(VLOOKUP(L480,obrotówka!$A$3:$J$1600,7,0),0))</f>
        <v>0</v>
      </c>
      <c r="K480" s="1475">
        <f>(IFERROR(VLOOKUP(L480,obrotówka!$A$3:$J$1600,10,0),0))</f>
        <v>0</v>
      </c>
      <c r="L480" s="1433" t="s">
        <v>156</v>
      </c>
      <c r="M480" s="1471">
        <f>SUM(M474:M479)</f>
        <v>-352232.75</v>
      </c>
      <c r="N480" s="1433"/>
      <c r="O480" s="1433"/>
    </row>
    <row r="481" spans="1:15" ht="15" thickTop="1">
      <c r="B481" s="252">
        <f>B480-'FC Spr.z syt.finans.'!B24</f>
        <v>0</v>
      </c>
      <c r="H481" s="78">
        <f>(IFERROR(VLOOKUP(L481,obrotówka!$A$3:$J$1600,3,0),0))</f>
        <v>0</v>
      </c>
      <c r="I481" s="78">
        <f>(IFERROR(VLOOKUP(L481,obrotówka!$A$3:$J$1600,6,0),0))</f>
        <v>3972642.08</v>
      </c>
      <c r="J481" s="78">
        <f>(IFERROR(VLOOKUP(L481,obrotówka!$A$3:$J$1600,7,0),0))</f>
        <v>3972642.08</v>
      </c>
      <c r="K481" s="78">
        <f>(IFERROR(VLOOKUP(L481,obrotówka!$A$3:$J$1600,10,0),0))</f>
        <v>0</v>
      </c>
      <c r="L481" s="242" t="s">
        <v>127</v>
      </c>
      <c r="M481" s="243">
        <f>J482-I482</f>
        <v>-352232.74999999953</v>
      </c>
      <c r="N481" s="242"/>
      <c r="O481" s="242"/>
    </row>
    <row r="482" spans="1:15">
      <c r="H482" s="243">
        <f>SUM(H474:H481)</f>
        <v>-41515073.790000007</v>
      </c>
      <c r="I482" s="243">
        <f>SUM(I474:I481)</f>
        <v>4333148.18</v>
      </c>
      <c r="J482" s="243">
        <f>SUM(J474:J481)</f>
        <v>3980915.43</v>
      </c>
      <c r="K482" s="243">
        <f>SUM(K474:K481)</f>
        <v>-41162841.039999902</v>
      </c>
      <c r="L482" s="242"/>
      <c r="M482" s="252">
        <f>M481-M480</f>
        <v>4.6566128730773926E-10</v>
      </c>
      <c r="N482" s="242"/>
      <c r="O482" s="242"/>
    </row>
    <row r="483" spans="1:15" ht="15" thickBot="1">
      <c r="H483" s="1083"/>
      <c r="I483" s="1083"/>
      <c r="J483" s="1083"/>
      <c r="K483" s="1083"/>
      <c r="L483" s="1083"/>
      <c r="M483" s="1083"/>
    </row>
    <row r="484" spans="1:15" s="1076" customFormat="1" ht="21" thickBot="1">
      <c r="A484" s="1585" t="s">
        <v>3882</v>
      </c>
      <c r="B484" s="1493" t="s">
        <v>2782</v>
      </c>
      <c r="C484" s="1493" t="s">
        <v>2783</v>
      </c>
      <c r="D484" s="1493" t="s">
        <v>2739</v>
      </c>
      <c r="E484" s="1493" t="s">
        <v>2784</v>
      </c>
      <c r="F484" s="1493" t="s">
        <v>2740</v>
      </c>
    </row>
    <row r="485" spans="1:15" s="1435" customFormat="1">
      <c r="A485" s="1437" t="s">
        <v>2785</v>
      </c>
      <c r="B485" s="1370">
        <v>4051791.99</v>
      </c>
      <c r="C485" s="1363">
        <v>0</v>
      </c>
      <c r="D485" s="1363">
        <v>0</v>
      </c>
      <c r="E485" s="1363">
        <v>0</v>
      </c>
      <c r="F485" s="1363">
        <v>37461557.479999989</v>
      </c>
    </row>
    <row r="486" spans="1:15" s="1076" customFormat="1">
      <c r="A486" s="565" t="s">
        <v>2786</v>
      </c>
      <c r="B486" s="482">
        <v>314.61</v>
      </c>
      <c r="C486" s="566"/>
      <c r="D486" s="147"/>
      <c r="E486" s="147"/>
      <c r="F486" s="147">
        <v>4828.75</v>
      </c>
      <c r="I486" s="1083"/>
      <c r="J486" s="1083"/>
    </row>
    <row r="487" spans="1:15" s="1076" customFormat="1">
      <c r="A487" s="565" t="s">
        <v>2787</v>
      </c>
      <c r="B487" s="482">
        <v>2080.3099999999899</v>
      </c>
      <c r="C487" s="566"/>
      <c r="D487" s="147"/>
      <c r="E487" s="147"/>
      <c r="F487" s="147">
        <v>1338.73</v>
      </c>
    </row>
    <row r="488" spans="1:15" s="1435" customFormat="1" ht="15" thickBot="1">
      <c r="A488" s="1437" t="s">
        <v>2788</v>
      </c>
      <c r="B488" s="1370">
        <v>4050026.29</v>
      </c>
      <c r="C488" s="1370">
        <v>0</v>
      </c>
      <c r="D488" s="1370">
        <v>0</v>
      </c>
      <c r="E488" s="1370">
        <v>0</v>
      </c>
      <c r="F488" s="1370">
        <v>37465047.499999993</v>
      </c>
    </row>
    <row r="489" spans="1:15" s="1435" customFormat="1" ht="12.6" customHeight="1" thickTop="1">
      <c r="A489" s="1586" t="s">
        <v>2789</v>
      </c>
      <c r="B489" s="1587">
        <v>30135044.57</v>
      </c>
      <c r="C489" s="1588"/>
      <c r="D489" s="1588">
        <v>3363244.02</v>
      </c>
      <c r="E489" s="1588"/>
      <c r="F489" s="1588">
        <v>38107960.289999984</v>
      </c>
    </row>
    <row r="490" spans="1:15" s="1435" customFormat="1" ht="15" thickBot="1">
      <c r="A490" s="1527" t="s">
        <v>2790</v>
      </c>
      <c r="B490" s="1407">
        <v>26085018.280000001</v>
      </c>
      <c r="C490" s="1407">
        <v>0</v>
      </c>
      <c r="D490" s="1407">
        <v>3363244.02</v>
      </c>
      <c r="E490" s="1407">
        <v>0</v>
      </c>
      <c r="F490" s="1407">
        <v>642912.78999999166</v>
      </c>
      <c r="G490" s="1478"/>
    </row>
    <row r="491" spans="1:15" s="1076" customFormat="1" ht="15" thickTop="1">
      <c r="B491" s="252">
        <f>B490-'FC Spr.z syt.finans.'!C24</f>
        <v>0</v>
      </c>
      <c r="C491" s="242"/>
      <c r="D491" s="242"/>
      <c r="E491" s="242"/>
      <c r="F491" s="252">
        <f>F490+B490+C490+D490+E490-G504</f>
        <v>0</v>
      </c>
    </row>
    <row r="494" spans="1:15" s="1422" customFormat="1" ht="15" thickBot="1">
      <c r="A494" s="1713" t="s">
        <v>2791</v>
      </c>
      <c r="B494" s="1713"/>
      <c r="C494" s="1713"/>
      <c r="D494" s="1713"/>
      <c r="E494" s="1713"/>
      <c r="F494" s="1713"/>
    </row>
    <row r="495" spans="1:15" ht="14.4" customHeight="1">
      <c r="A495" s="1589"/>
      <c r="B495" s="1701" t="s">
        <v>3880</v>
      </c>
      <c r="C495" s="1701"/>
      <c r="D495" s="1701"/>
      <c r="E495" s="1702" t="s">
        <v>3667</v>
      </c>
      <c r="F495" s="1702"/>
      <c r="G495" s="1702"/>
      <c r="H495" s="1076"/>
    </row>
    <row r="496" spans="1:15" ht="21" thickBot="1">
      <c r="A496" s="1590"/>
      <c r="B496" s="1591" t="s">
        <v>2792</v>
      </c>
      <c r="C496" s="1591" t="s">
        <v>2629</v>
      </c>
      <c r="D496" s="1591" t="s">
        <v>2793</v>
      </c>
      <c r="E496" s="1592" t="s">
        <v>2792</v>
      </c>
      <c r="F496" s="1592" t="s">
        <v>2629</v>
      </c>
      <c r="G496" s="1592" t="s">
        <v>2793</v>
      </c>
      <c r="H496" s="1076"/>
    </row>
    <row r="497" spans="1:8" s="1422" customFormat="1">
      <c r="A497" s="1429" t="s">
        <v>2794</v>
      </c>
      <c r="B497" s="1362">
        <f>29490229.9+'bilans '!B184</f>
        <v>31991613.159999989</v>
      </c>
      <c r="C497" s="1362">
        <v>-3982823.21</v>
      </c>
      <c r="D497" s="1362">
        <f>C497+B497</f>
        <v>28008789.949999988</v>
      </c>
      <c r="E497" s="1363">
        <v>34068238.229999997</v>
      </c>
      <c r="F497" s="1363">
        <v>-3977063.14</v>
      </c>
      <c r="G497" s="1363">
        <v>30091175.089999996</v>
      </c>
      <c r="H497" s="1435"/>
    </row>
    <row r="498" spans="1:8">
      <c r="A498" s="567" t="s">
        <v>2795</v>
      </c>
      <c r="B498" s="568">
        <v>0</v>
      </c>
      <c r="C498" s="568">
        <v>0</v>
      </c>
      <c r="D498" s="568">
        <f t="shared" ref="D498:D504" si="6">C498+B498</f>
        <v>0</v>
      </c>
      <c r="E498" s="569">
        <v>0</v>
      </c>
      <c r="F498" s="569">
        <v>0</v>
      </c>
      <c r="G498" s="569">
        <v>0</v>
      </c>
      <c r="H498" s="590"/>
    </row>
    <row r="499" spans="1:8">
      <c r="A499" s="567" t="s">
        <v>2796</v>
      </c>
      <c r="B499" s="568">
        <v>0</v>
      </c>
      <c r="C499" s="568">
        <v>0</v>
      </c>
      <c r="D499" s="568">
        <f t="shared" si="6"/>
        <v>0</v>
      </c>
      <c r="E499" s="569">
        <v>0</v>
      </c>
      <c r="F499" s="569">
        <v>0</v>
      </c>
      <c r="G499" s="569">
        <v>0</v>
      </c>
      <c r="H499" s="590"/>
    </row>
    <row r="500" spans="1:8">
      <c r="A500" s="567" t="s">
        <v>2797</v>
      </c>
      <c r="B500" s="568">
        <v>0</v>
      </c>
      <c r="C500" s="568">
        <v>0</v>
      </c>
      <c r="D500" s="568">
        <f t="shared" si="6"/>
        <v>0</v>
      </c>
      <c r="E500" s="569">
        <v>4124.58</v>
      </c>
      <c r="F500" s="569">
        <v>-4124.58</v>
      </c>
      <c r="G500" s="569">
        <v>0</v>
      </c>
      <c r="H500" s="590"/>
    </row>
    <row r="501" spans="1:8">
      <c r="A501" s="567" t="s">
        <v>2798</v>
      </c>
      <c r="B501" s="568">
        <v>0</v>
      </c>
      <c r="C501" s="568">
        <v>0</v>
      </c>
      <c r="D501" s="568">
        <f>C501+B501</f>
        <v>0</v>
      </c>
      <c r="E501" s="569">
        <v>704.17</v>
      </c>
      <c r="F501" s="569">
        <v>-704.17</v>
      </c>
      <c r="G501" s="569">
        <v>0</v>
      </c>
      <c r="H501" s="590"/>
    </row>
    <row r="502" spans="1:8">
      <c r="A502" s="567" t="s">
        <v>2799</v>
      </c>
      <c r="B502" s="568">
        <f>37180017.83</f>
        <v>37180017.829999998</v>
      </c>
      <c r="C502" s="568">
        <f>-B502</f>
        <v>-37180017.829999998</v>
      </c>
      <c r="D502" s="568">
        <f t="shared" si="6"/>
        <v>0</v>
      </c>
      <c r="E502" s="569">
        <v>37533025.710000001</v>
      </c>
      <c r="F502" s="569">
        <v>-37533025.710000001</v>
      </c>
      <c r="G502" s="569">
        <v>0</v>
      </c>
      <c r="H502" s="590"/>
    </row>
    <row r="503" spans="1:8" s="1422" customFormat="1">
      <c r="A503" s="1429" t="s">
        <v>2800</v>
      </c>
      <c r="B503" s="1362">
        <f>SUM(B498:B502)</f>
        <v>37180017.829999998</v>
      </c>
      <c r="C503" s="1362">
        <f>SUM(C498:C502)</f>
        <v>-37180017.829999998</v>
      </c>
      <c r="D503" s="1362">
        <f t="shared" si="6"/>
        <v>0</v>
      </c>
      <c r="E503" s="1363">
        <v>37537854.460000001</v>
      </c>
      <c r="F503" s="1363">
        <v>-37537854.460000001</v>
      </c>
      <c r="G503" s="1363">
        <v>0</v>
      </c>
      <c r="H503" s="1425"/>
    </row>
    <row r="504" spans="1:8" s="1422" customFormat="1" ht="15" thickBot="1">
      <c r="A504" s="1411" t="s">
        <v>2801</v>
      </c>
      <c r="B504" s="1395">
        <f>B503+B497</f>
        <v>69171630.98999998</v>
      </c>
      <c r="C504" s="1395">
        <f>C503+C497</f>
        <v>-41162841.039999999</v>
      </c>
      <c r="D504" s="1395">
        <f t="shared" si="6"/>
        <v>28008789.949999981</v>
      </c>
      <c r="E504" s="1396">
        <v>71606092.689999998</v>
      </c>
      <c r="F504" s="1396">
        <v>-41514917.600000001</v>
      </c>
      <c r="G504" s="1396">
        <v>30091175.089999996</v>
      </c>
      <c r="H504" s="1479"/>
    </row>
    <row r="505" spans="1:8" ht="15" thickTop="1">
      <c r="D505" s="252">
        <f>D504-F480-E480-D480-C480-B480</f>
        <v>0</v>
      </c>
      <c r="G505" s="252">
        <f>G504-F490-B490-D490-E490-C490</f>
        <v>3.2596290111541748E-9</v>
      </c>
    </row>
    <row r="506" spans="1:8">
      <c r="B506" s="1079"/>
      <c r="C506" s="1079"/>
      <c r="D506" s="1079"/>
    </row>
    <row r="507" spans="1:8">
      <c r="A507" s="1631" t="s">
        <v>3921</v>
      </c>
    </row>
    <row r="508" spans="1:8">
      <c r="B508" s="1079"/>
      <c r="C508" s="1079"/>
      <c r="D508" s="1079"/>
    </row>
    <row r="509" spans="1:8">
      <c r="B509" s="1079"/>
      <c r="C509" s="1079"/>
      <c r="D509" s="1079"/>
    </row>
    <row r="510" spans="1:8">
      <c r="B510" s="1079"/>
      <c r="C510" s="1079"/>
      <c r="D510" s="1079"/>
    </row>
    <row r="511" spans="1:8">
      <c r="B511" s="1079"/>
      <c r="C511" s="1079"/>
      <c r="D511" s="1079"/>
    </row>
    <row r="512" spans="1:8">
      <c r="B512" s="1098"/>
      <c r="C512" s="1098"/>
      <c r="D512" s="1098"/>
    </row>
    <row r="513" spans="2:4">
      <c r="B513" s="1098"/>
      <c r="C513" s="1098"/>
      <c r="D513" s="1098"/>
    </row>
  </sheetData>
  <mergeCells count="109">
    <mergeCell ref="L421:L422"/>
    <mergeCell ref="M421:M422"/>
    <mergeCell ref="H452:K452"/>
    <mergeCell ref="H455:K455"/>
    <mergeCell ref="H457:K457"/>
    <mergeCell ref="I25:I27"/>
    <mergeCell ref="D199:E199"/>
    <mergeCell ref="A398:C398"/>
    <mergeCell ref="D4:D8"/>
    <mergeCell ref="E328:F328"/>
    <mergeCell ref="D297:D298"/>
    <mergeCell ref="A312:A313"/>
    <mergeCell ref="D312:D313"/>
    <mergeCell ref="A327:D327"/>
    <mergeCell ref="A328:A329"/>
    <mergeCell ref="B328:B329"/>
    <mergeCell ref="C328:D328"/>
    <mergeCell ref="A12:A13"/>
    <mergeCell ref="A59:A60"/>
    <mergeCell ref="A69:A70"/>
    <mergeCell ref="A145:A146"/>
    <mergeCell ref="B145:D145"/>
    <mergeCell ref="E145:G145"/>
    <mergeCell ref="A233:E233"/>
    <mergeCell ref="E252:F256"/>
    <mergeCell ref="E229:H231"/>
    <mergeCell ref="G330:I332"/>
    <mergeCell ref="J229:M231"/>
    <mergeCell ref="D365:F366"/>
    <mergeCell ref="A335:E335"/>
    <mergeCell ref="B288:C288"/>
    <mergeCell ref="D288:E288"/>
    <mergeCell ref="A297:A298"/>
    <mergeCell ref="A287:C287"/>
    <mergeCell ref="A360:A361"/>
    <mergeCell ref="A345:C345"/>
    <mergeCell ref="A346:A347"/>
    <mergeCell ref="A359:C359"/>
    <mergeCell ref="C365:C366"/>
    <mergeCell ref="A339:A340"/>
    <mergeCell ref="G329:I329"/>
    <mergeCell ref="E244:F244"/>
    <mergeCell ref="A77:A78"/>
    <mergeCell ref="D77:D79"/>
    <mergeCell ref="B234:C234"/>
    <mergeCell ref="D234:E234"/>
    <mergeCell ref="B278:C278"/>
    <mergeCell ref="D278:E278"/>
    <mergeCell ref="A338:E338"/>
    <mergeCell ref="B365:B366"/>
    <mergeCell ref="A222:D222"/>
    <mergeCell ref="A206:A207"/>
    <mergeCell ref="A219:B219"/>
    <mergeCell ref="A202:C202"/>
    <mergeCell ref="A192:C192"/>
    <mergeCell ref="A153:A154"/>
    <mergeCell ref="A160:C160"/>
    <mergeCell ref="A161:A162"/>
    <mergeCell ref="A178:C178"/>
    <mergeCell ref="A179:A180"/>
    <mergeCell ref="A223:A224"/>
    <mergeCell ref="A116:C116"/>
    <mergeCell ref="A285:E285"/>
    <mergeCell ref="D208:D211"/>
    <mergeCell ref="A193:A194"/>
    <mergeCell ref="E249:F250"/>
    <mergeCell ref="D460:G461"/>
    <mergeCell ref="A379:D379"/>
    <mergeCell ref="A412:E412"/>
    <mergeCell ref="A370:D370"/>
    <mergeCell ref="B371:C371"/>
    <mergeCell ref="D371:E371"/>
    <mergeCell ref="A425:A426"/>
    <mergeCell ref="B425:B426"/>
    <mergeCell ref="C425:D425"/>
    <mergeCell ref="A438:E438"/>
    <mergeCell ref="A413:A414"/>
    <mergeCell ref="B413:B414"/>
    <mergeCell ref="B389:C389"/>
    <mergeCell ref="D389:E389"/>
    <mergeCell ref="C413:D413"/>
    <mergeCell ref="G415:G420"/>
    <mergeCell ref="B380:C380"/>
    <mergeCell ref="D380:E380"/>
    <mergeCell ref="A388:E388"/>
    <mergeCell ref="H443:K443"/>
    <mergeCell ref="H446:K446"/>
    <mergeCell ref="H448:K448"/>
    <mergeCell ref="G422:J425"/>
    <mergeCell ref="B495:D495"/>
    <mergeCell ref="E495:G495"/>
    <mergeCell ref="A457:F457"/>
    <mergeCell ref="A458:A459"/>
    <mergeCell ref="A465:D465"/>
    <mergeCell ref="B466:C466"/>
    <mergeCell ref="D466:E466"/>
    <mergeCell ref="A473:E473"/>
    <mergeCell ref="F439:F440"/>
    <mergeCell ref="F468:G470"/>
    <mergeCell ref="A439:A440"/>
    <mergeCell ref="B439:B440"/>
    <mergeCell ref="C439:C440"/>
    <mergeCell ref="D439:D440"/>
    <mergeCell ref="A494:F494"/>
    <mergeCell ref="A448:A449"/>
    <mergeCell ref="B448:B449"/>
    <mergeCell ref="C448:C449"/>
    <mergeCell ref="D448:D449"/>
    <mergeCell ref="F448:F449"/>
  </mergeCell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9"/>
  <sheetViews>
    <sheetView workbookViewId="0">
      <selection activeCell="F16" sqref="F16"/>
    </sheetView>
  </sheetViews>
  <sheetFormatPr defaultRowHeight="14.4"/>
  <cols>
    <col min="1" max="1" width="95.5546875" customWidth="1"/>
    <col min="2" max="2" width="11.33203125" customWidth="1"/>
    <col min="3" max="3" width="14" style="1" customWidth="1"/>
    <col min="4" max="4" width="16" customWidth="1"/>
  </cols>
  <sheetData>
    <row r="1" spans="1:4" ht="18">
      <c r="A1" s="353" t="s">
        <v>2390</v>
      </c>
      <c r="B1" s="369">
        <f>'SF-A-150 Pozostałe aktywa krótk'!C1</f>
        <v>45930</v>
      </c>
      <c r="C1" s="1" t="s">
        <v>2382</v>
      </c>
    </row>
    <row r="2" spans="1:4">
      <c r="A2" s="408" t="s">
        <v>2381</v>
      </c>
      <c r="C2" s="1" t="s">
        <v>923</v>
      </c>
    </row>
    <row r="3" spans="1:4">
      <c r="A3" t="s">
        <v>2383</v>
      </c>
      <c r="B3" t="s">
        <v>923</v>
      </c>
      <c r="C3" s="1">
        <f>C4+C8</f>
        <v>7784897.1399999987</v>
      </c>
      <c r="D3" s="130">
        <f>C3-'bilans '!B46</f>
        <v>1503798.2999999961</v>
      </c>
    </row>
    <row r="4" spans="1:4">
      <c r="A4" t="s">
        <v>2384</v>
      </c>
      <c r="B4" t="s">
        <v>923</v>
      </c>
      <c r="C4" s="1">
        <f>C5+C6+C7</f>
        <v>7291027.5799999991</v>
      </c>
    </row>
    <row r="5" spans="1:4">
      <c r="A5" t="s">
        <v>2385</v>
      </c>
      <c r="B5" t="s">
        <v>923</v>
      </c>
      <c r="C5" s="130">
        <v>134534.93</v>
      </c>
      <c r="D5" s="130">
        <f>C5-'bilans '!B57</f>
        <v>133395.79999999999</v>
      </c>
    </row>
    <row r="6" spans="1:4">
      <c r="A6" t="s">
        <v>2386</v>
      </c>
      <c r="B6" t="s">
        <v>923</v>
      </c>
      <c r="C6" s="130">
        <v>7061294.7599999998</v>
      </c>
      <c r="D6" s="1850">
        <f>C6+C7-'bilans '!B54+C5</f>
        <v>1402210.5799999984</v>
      </c>
    </row>
    <row r="7" spans="1:4">
      <c r="A7" t="s">
        <v>2387</v>
      </c>
      <c r="B7" t="s">
        <v>923</v>
      </c>
      <c r="C7" s="130">
        <v>95197.89</v>
      </c>
      <c r="D7" s="1851"/>
    </row>
    <row r="8" spans="1:4">
      <c r="A8" t="s">
        <v>2388</v>
      </c>
      <c r="B8" t="s">
        <v>923</v>
      </c>
      <c r="C8" s="1">
        <f>C9</f>
        <v>493869.56</v>
      </c>
    </row>
    <row r="9" spans="1:4">
      <c r="A9" t="s">
        <v>2389</v>
      </c>
      <c r="B9" t="s">
        <v>923</v>
      </c>
      <c r="C9" s="130">
        <v>493869.56</v>
      </c>
      <c r="D9" s="130">
        <f>C9-'bilans '!B48-'bilans '!B51</f>
        <v>101587.71999999898</v>
      </c>
    </row>
  </sheetData>
  <mergeCells count="1">
    <mergeCell ref="D6:D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5"/>
  <sheetViews>
    <sheetView topLeftCell="A17" workbookViewId="0">
      <selection activeCell="A42" sqref="A42"/>
    </sheetView>
  </sheetViews>
  <sheetFormatPr defaultRowHeight="14.4"/>
  <cols>
    <col min="1" max="1" width="78.77734375" customWidth="1"/>
    <col min="2" max="2" width="13.5546875" customWidth="1"/>
  </cols>
  <sheetData>
    <row r="1" spans="1:5" ht="36">
      <c r="A1" s="365" t="s">
        <v>2396</v>
      </c>
      <c r="B1" s="369">
        <f>'SF-A-150 Pozostałe aktywa krótk'!C1</f>
        <v>45930</v>
      </c>
      <c r="C1" t="s">
        <v>2391</v>
      </c>
    </row>
    <row r="2" spans="1:5">
      <c r="A2" s="408" t="s">
        <v>2381</v>
      </c>
      <c r="C2" t="s">
        <v>923</v>
      </c>
      <c r="E2" t="s">
        <v>2249</v>
      </c>
    </row>
    <row r="3" spans="1:5">
      <c r="A3" t="s">
        <v>2362</v>
      </c>
      <c r="B3" t="s">
        <v>923</v>
      </c>
      <c r="D3" s="210">
        <f>(IFERROR(VLOOKUP(E3,obrotówka!$A$3:$J$1600,3,0),0))</f>
        <v>0</v>
      </c>
      <c r="E3" s="217" t="s">
        <v>58</v>
      </c>
    </row>
    <row r="4" spans="1:5">
      <c r="A4" t="s">
        <v>2363</v>
      </c>
      <c r="B4" t="s">
        <v>923</v>
      </c>
    </row>
    <row r="5" spans="1:5">
      <c r="A5" t="s">
        <v>1943</v>
      </c>
      <c r="B5" t="s">
        <v>923</v>
      </c>
    </row>
    <row r="6" spans="1:5">
      <c r="A6" t="s">
        <v>923</v>
      </c>
      <c r="B6" t="s">
        <v>923</v>
      </c>
    </row>
    <row r="7" spans="1:5">
      <c r="A7" t="s">
        <v>2364</v>
      </c>
      <c r="B7" t="s">
        <v>923</v>
      </c>
      <c r="D7" s="33"/>
    </row>
    <row r="8" spans="1:5">
      <c r="A8" t="s">
        <v>2365</v>
      </c>
      <c r="B8" t="s">
        <v>923</v>
      </c>
    </row>
    <row r="9" spans="1:5">
      <c r="A9" t="s">
        <v>2392</v>
      </c>
      <c r="B9" t="s">
        <v>923</v>
      </c>
    </row>
    <row r="10" spans="1:5">
      <c r="A10" t="s">
        <v>2393</v>
      </c>
      <c r="B10" t="s">
        <v>923</v>
      </c>
    </row>
    <row r="11" spans="1:5">
      <c r="A11" t="s">
        <v>2366</v>
      </c>
      <c r="B11" t="s">
        <v>923</v>
      </c>
    </row>
    <row r="12" spans="1:5">
      <c r="A12" t="s">
        <v>2369</v>
      </c>
      <c r="B12" t="s">
        <v>923</v>
      </c>
    </row>
    <row r="13" spans="1:5">
      <c r="A13" t="s">
        <v>2371</v>
      </c>
      <c r="B13" t="s">
        <v>923</v>
      </c>
    </row>
    <row r="14" spans="1:5">
      <c r="A14" t="s">
        <v>1982</v>
      </c>
      <c r="B14" t="s">
        <v>923</v>
      </c>
    </row>
    <row r="15" spans="1:5">
      <c r="A15" t="s">
        <v>2394</v>
      </c>
      <c r="B15" t="s">
        <v>923</v>
      </c>
    </row>
    <row r="16" spans="1:5">
      <c r="A16" t="s">
        <v>923</v>
      </c>
      <c r="B16" t="s">
        <v>923</v>
      </c>
    </row>
    <row r="17" spans="1:6">
      <c r="A17" t="s">
        <v>2373</v>
      </c>
      <c r="B17" t="s">
        <v>923</v>
      </c>
      <c r="D17" s="33"/>
    </row>
    <row r="18" spans="1:6">
      <c r="A18" t="s">
        <v>2374</v>
      </c>
      <c r="B18" t="s">
        <v>923</v>
      </c>
    </row>
    <row r="19" spans="1:6">
      <c r="A19" t="s">
        <v>2375</v>
      </c>
      <c r="B19" t="s">
        <v>923</v>
      </c>
    </row>
    <row r="20" spans="1:6">
      <c r="A20" t="s">
        <v>2376</v>
      </c>
      <c r="B20" t="s">
        <v>923</v>
      </c>
    </row>
    <row r="21" spans="1:6">
      <c r="A21" t="s">
        <v>2377</v>
      </c>
      <c r="B21" t="s">
        <v>923</v>
      </c>
    </row>
    <row r="22" spans="1:6">
      <c r="A22" t="s">
        <v>2378</v>
      </c>
      <c r="B22" t="s">
        <v>923</v>
      </c>
    </row>
    <row r="23" spans="1:6">
      <c r="A23" t="s">
        <v>2379</v>
      </c>
      <c r="B23" t="s">
        <v>923</v>
      </c>
    </row>
    <row r="24" spans="1:6">
      <c r="A24" t="s">
        <v>923</v>
      </c>
      <c r="B24" t="s">
        <v>923</v>
      </c>
    </row>
    <row r="25" spans="1:6">
      <c r="A25" t="s">
        <v>2395</v>
      </c>
      <c r="B25" t="s">
        <v>923</v>
      </c>
      <c r="D25" s="210">
        <f>(IFERROR(VLOOKUP(E25,obrotówka!$A$3:$J$1600,10,0),0))</f>
        <v>0</v>
      </c>
      <c r="E25" s="217" t="s">
        <v>58</v>
      </c>
      <c r="F25" s="130">
        <f>D3+D7-D17-D25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57"/>
  <sheetViews>
    <sheetView workbookViewId="0">
      <pane xSplit="4" ySplit="2" topLeftCell="E26" activePane="bottomRight" state="frozen"/>
      <selection pane="topRight" activeCell="E1" sqref="E1"/>
      <selection pane="bottomLeft" activeCell="A3" sqref="A3"/>
      <selection pane="bottomRight" activeCell="E52" sqref="E52"/>
    </sheetView>
  </sheetViews>
  <sheetFormatPr defaultColWidth="8.88671875" defaultRowHeight="10.199999999999999"/>
  <cols>
    <col min="1" max="1" width="8.88671875" style="228"/>
    <col min="2" max="2" width="65.109375" style="228" customWidth="1"/>
    <col min="3" max="4" width="0" style="228" hidden="1" customWidth="1"/>
    <col min="5" max="5" width="20.88671875" style="52" customWidth="1"/>
    <col min="6" max="16384" width="8.88671875" style="228"/>
  </cols>
  <sheetData>
    <row r="2" spans="2:5" ht="18">
      <c r="B2" s="154" t="s">
        <v>920</v>
      </c>
      <c r="E2" s="470">
        <f>'RZiS, koszty rodz.'!A1</f>
        <v>45930</v>
      </c>
    </row>
    <row r="3" spans="2:5">
      <c r="E3" s="52" t="s">
        <v>923</v>
      </c>
    </row>
    <row r="4" spans="2:5">
      <c r="B4" s="228" t="s">
        <v>923</v>
      </c>
      <c r="C4" s="228" t="s">
        <v>923</v>
      </c>
    </row>
    <row r="5" spans="2:5" ht="20.399999999999999">
      <c r="B5" s="229" t="s">
        <v>1938</v>
      </c>
      <c r="C5" s="228" t="s">
        <v>923</v>
      </c>
      <c r="E5" s="52">
        <f>'RZiS, koszty rodz.'!B5</f>
        <v>17909.869999999901</v>
      </c>
    </row>
    <row r="6" spans="2:5">
      <c r="B6" s="228" t="s">
        <v>1939</v>
      </c>
      <c r="C6" s="228" t="s">
        <v>923</v>
      </c>
    </row>
    <row r="7" spans="2:5">
      <c r="B7" s="230" t="s">
        <v>924</v>
      </c>
      <c r="C7" s="230" t="s">
        <v>923</v>
      </c>
      <c r="D7" s="230"/>
      <c r="E7" s="231">
        <f>E5</f>
        <v>17909.869999999901</v>
      </c>
    </row>
    <row r="8" spans="2:5">
      <c r="B8" s="228" t="s">
        <v>925</v>
      </c>
      <c r="C8" s="228" t="s">
        <v>923</v>
      </c>
      <c r="E8" s="52">
        <f>'RZiS, koszty rodz.'!B10</f>
        <v>119131718.89</v>
      </c>
    </row>
    <row r="9" spans="2:5">
      <c r="B9" s="228" t="s">
        <v>1940</v>
      </c>
      <c r="C9" s="228" t="s">
        <v>923</v>
      </c>
      <c r="E9" s="52">
        <f>'RZiS, koszty rodz.'!B16</f>
        <v>116591.91</v>
      </c>
    </row>
    <row r="10" spans="2:5">
      <c r="B10" s="228" t="s">
        <v>1941</v>
      </c>
      <c r="C10" s="228" t="s">
        <v>923</v>
      </c>
    </row>
    <row r="11" spans="2:5">
      <c r="B11" s="228" t="s">
        <v>923</v>
      </c>
      <c r="C11" s="228" t="s">
        <v>923</v>
      </c>
    </row>
    <row r="12" spans="2:5">
      <c r="B12" s="232" t="s">
        <v>928</v>
      </c>
      <c r="C12" s="232" t="s">
        <v>923</v>
      </c>
      <c r="D12" s="232"/>
      <c r="E12" s="233">
        <f>E7+E8+E9</f>
        <v>119266220.67</v>
      </c>
    </row>
    <row r="13" spans="2:5">
      <c r="B13" s="228" t="s">
        <v>923</v>
      </c>
      <c r="C13" s="228" t="s">
        <v>923</v>
      </c>
    </row>
    <row r="14" spans="2:5">
      <c r="B14" s="228" t="s">
        <v>929</v>
      </c>
      <c r="C14" s="228" t="s">
        <v>923</v>
      </c>
      <c r="E14" s="52">
        <f>'RZiS, koszty rodz.'!B22</f>
        <v>102874818.31</v>
      </c>
    </row>
    <row r="15" spans="2:5">
      <c r="B15" s="228" t="s">
        <v>923</v>
      </c>
      <c r="C15" s="228" t="s">
        <v>923</v>
      </c>
    </row>
    <row r="16" spans="2:5">
      <c r="B16" s="232" t="s">
        <v>930</v>
      </c>
      <c r="C16" s="232" t="s">
        <v>923</v>
      </c>
      <c r="D16" s="232"/>
      <c r="E16" s="233">
        <f>E12-E14</f>
        <v>16391402.359999999</v>
      </c>
    </row>
    <row r="17" spans="2:5">
      <c r="B17" s="228" t="s">
        <v>923</v>
      </c>
      <c r="C17" s="228" t="s">
        <v>923</v>
      </c>
    </row>
    <row r="18" spans="2:5">
      <c r="B18" s="228" t="s">
        <v>931</v>
      </c>
      <c r="C18" s="228" t="s">
        <v>923</v>
      </c>
      <c r="E18" s="52">
        <f>'RZiS, koszty rodz.'!B30</f>
        <v>7325082.9799999986</v>
      </c>
    </row>
    <row r="19" spans="2:5">
      <c r="B19" s="228" t="s">
        <v>932</v>
      </c>
      <c r="C19" s="228" t="s">
        <v>923</v>
      </c>
      <c r="E19" s="52">
        <v>0</v>
      </c>
    </row>
    <row r="20" spans="2:5">
      <c r="B20" s="228" t="s">
        <v>933</v>
      </c>
      <c r="C20" s="228" t="s">
        <v>923</v>
      </c>
      <c r="E20" s="52">
        <f>'RZiS, koszty rodz.'!B65</f>
        <v>12837409.4</v>
      </c>
    </row>
    <row r="21" spans="2:5">
      <c r="B21" s="228" t="s">
        <v>934</v>
      </c>
      <c r="C21" s="228" t="s">
        <v>923</v>
      </c>
      <c r="E21" s="52">
        <f>'RZiS, koszty rodz.'!B66</f>
        <v>331120.35999999876</v>
      </c>
    </row>
    <row r="22" spans="2:5">
      <c r="B22" s="228" t="s">
        <v>923</v>
      </c>
      <c r="C22" s="228" t="s">
        <v>923</v>
      </c>
    </row>
    <row r="23" spans="2:5">
      <c r="B23" s="232" t="s">
        <v>935</v>
      </c>
      <c r="C23" s="232" t="s">
        <v>923</v>
      </c>
      <c r="D23" s="232"/>
      <c r="E23" s="233">
        <f>E16+E18-E19-E20-E21</f>
        <v>10547955.579999996</v>
      </c>
    </row>
    <row r="24" spans="2:5">
      <c r="B24" s="228" t="s">
        <v>923</v>
      </c>
      <c r="C24" s="228" t="s">
        <v>923</v>
      </c>
    </row>
    <row r="25" spans="2:5">
      <c r="B25" s="228" t="s">
        <v>936</v>
      </c>
      <c r="C25" s="228" t="s">
        <v>923</v>
      </c>
      <c r="E25" s="52">
        <f>'RZiS, koszty rodz.'!B105</f>
        <v>167936.49999999997</v>
      </c>
    </row>
    <row r="26" spans="2:5">
      <c r="B26" s="228" t="s">
        <v>937</v>
      </c>
      <c r="C26" s="228" t="s">
        <v>923</v>
      </c>
      <c r="E26" s="52">
        <f>'RZiS, koszty rodz.'!B135</f>
        <v>888198.2799999991</v>
      </c>
    </row>
    <row r="27" spans="2:5">
      <c r="B27" s="228" t="s">
        <v>938</v>
      </c>
      <c r="C27" s="228" t="s">
        <v>923</v>
      </c>
    </row>
    <row r="28" spans="2:5">
      <c r="B28" s="228" t="s">
        <v>923</v>
      </c>
      <c r="C28" s="228" t="s">
        <v>923</v>
      </c>
    </row>
    <row r="29" spans="2:5">
      <c r="B29" s="232" t="s">
        <v>939</v>
      </c>
      <c r="C29" s="232" t="s">
        <v>923</v>
      </c>
      <c r="D29" s="232"/>
      <c r="E29" s="233">
        <f>E23+E25-E26</f>
        <v>9827693.799999997</v>
      </c>
    </row>
    <row r="30" spans="2:5">
      <c r="B30" s="228" t="s">
        <v>923</v>
      </c>
      <c r="C30" s="228" t="s">
        <v>923</v>
      </c>
    </row>
    <row r="31" spans="2:5">
      <c r="B31" s="228" t="s">
        <v>940</v>
      </c>
      <c r="C31" s="228" t="s">
        <v>923</v>
      </c>
      <c r="E31" s="52">
        <f>'RZiS, koszty rodz.'!B177</f>
        <v>1908461.01</v>
      </c>
    </row>
    <row r="32" spans="2:5">
      <c r="B32" s="228" t="s">
        <v>923</v>
      </c>
      <c r="C32" s="228" t="s">
        <v>923</v>
      </c>
    </row>
    <row r="33" spans="2:6">
      <c r="B33" s="232" t="s">
        <v>941</v>
      </c>
      <c r="C33" s="232" t="s">
        <v>923</v>
      </c>
      <c r="D33" s="232"/>
      <c r="E33" s="233">
        <f>E29-E31</f>
        <v>7919232.7899999972</v>
      </c>
    </row>
    <row r="34" spans="2:6">
      <c r="B34" s="228" t="s">
        <v>923</v>
      </c>
      <c r="C34" s="228" t="s">
        <v>923</v>
      </c>
    </row>
    <row r="35" spans="2:6">
      <c r="B35" s="228" t="s">
        <v>942</v>
      </c>
      <c r="C35" s="228" t="s">
        <v>923</v>
      </c>
    </row>
    <row r="36" spans="2:6">
      <c r="B36" s="228" t="s">
        <v>923</v>
      </c>
      <c r="C36" s="228" t="s">
        <v>923</v>
      </c>
    </row>
    <row r="37" spans="2:6">
      <c r="B37" s="228" t="s">
        <v>943</v>
      </c>
      <c r="C37" s="228" t="s">
        <v>923</v>
      </c>
    </row>
    <row r="38" spans="2:6">
      <c r="B38" s="228" t="s">
        <v>923</v>
      </c>
      <c r="C38" s="228" t="s">
        <v>923</v>
      </c>
    </row>
    <row r="39" spans="2:6">
      <c r="B39" s="232" t="s">
        <v>944</v>
      </c>
      <c r="C39" s="232" t="s">
        <v>923</v>
      </c>
      <c r="D39" s="232"/>
      <c r="E39" s="233">
        <f>E33</f>
        <v>7919232.7899999972</v>
      </c>
      <c r="F39" s="201">
        <f>E39-'SF Spr.z całk.doch.'!C19</f>
        <v>0</v>
      </c>
    </row>
    <row r="40" spans="2:6">
      <c r="B40" s="228" t="s">
        <v>923</v>
      </c>
      <c r="C40" s="228" t="s">
        <v>923</v>
      </c>
    </row>
    <row r="41" spans="2:6">
      <c r="B41" s="228" t="s">
        <v>945</v>
      </c>
      <c r="C41" s="228" t="s">
        <v>923</v>
      </c>
    </row>
    <row r="42" spans="2:6">
      <c r="B42" s="228" t="s">
        <v>923</v>
      </c>
      <c r="C42" s="228" t="s">
        <v>923</v>
      </c>
    </row>
    <row r="43" spans="2:6" ht="20.399999999999999">
      <c r="B43" s="234" t="s">
        <v>946</v>
      </c>
      <c r="C43" s="228" t="s">
        <v>923</v>
      </c>
    </row>
    <row r="44" spans="2:6">
      <c r="B44" s="228" t="s">
        <v>947</v>
      </c>
      <c r="C44" s="228" t="s">
        <v>923</v>
      </c>
    </row>
    <row r="45" spans="2:6">
      <c r="B45" s="228" t="s">
        <v>948</v>
      </c>
      <c r="C45" s="228" t="s">
        <v>923</v>
      </c>
      <c r="E45" s="52">
        <f>-'wycena rezerw aktuarialnych'!K5</f>
        <v>0</v>
      </c>
      <c r="F45" s="52">
        <f>-E45</f>
        <v>0</v>
      </c>
    </row>
    <row r="46" spans="2:6">
      <c r="B46" s="228" t="s">
        <v>949</v>
      </c>
      <c r="C46" s="228" t="s">
        <v>923</v>
      </c>
      <c r="E46" s="52">
        <f>-'wycena rezerw aktuarialnych'!K8</f>
        <v>0</v>
      </c>
      <c r="F46" s="52">
        <f>-E46</f>
        <v>0</v>
      </c>
    </row>
    <row r="47" spans="2:6">
      <c r="B47" s="228" t="s">
        <v>950</v>
      </c>
      <c r="C47" s="228" t="s">
        <v>923</v>
      </c>
    </row>
    <row r="48" spans="2:6">
      <c r="B48" s="228" t="s">
        <v>951</v>
      </c>
      <c r="C48" s="228" t="s">
        <v>923</v>
      </c>
    </row>
    <row r="49" spans="2:6">
      <c r="B49" s="228" t="s">
        <v>952</v>
      </c>
      <c r="C49" s="228" t="s">
        <v>923</v>
      </c>
    </row>
    <row r="50" spans="2:6">
      <c r="B50" s="228" t="s">
        <v>953</v>
      </c>
      <c r="C50" s="228" t="s">
        <v>923</v>
      </c>
      <c r="E50" s="52">
        <f>-'wycena rezerw aktuarialnych'!D19</f>
        <v>0</v>
      </c>
      <c r="F50" s="52">
        <f>E50</f>
        <v>0</v>
      </c>
    </row>
    <row r="51" spans="2:6">
      <c r="B51" s="228" t="s">
        <v>923</v>
      </c>
      <c r="C51" s="228" t="s">
        <v>923</v>
      </c>
    </row>
    <row r="52" spans="2:6">
      <c r="B52" s="235" t="s">
        <v>954</v>
      </c>
      <c r="C52" s="235" t="s">
        <v>923</v>
      </c>
      <c r="D52" s="235"/>
      <c r="E52" s="236">
        <f>E45+E46-E50</f>
        <v>0</v>
      </c>
    </row>
    <row r="53" spans="2:6">
      <c r="B53" s="228" t="s">
        <v>923</v>
      </c>
      <c r="C53" s="228" t="s">
        <v>923</v>
      </c>
    </row>
    <row r="54" spans="2:6">
      <c r="B54" s="232" t="s">
        <v>955</v>
      </c>
      <c r="C54" s="232" t="s">
        <v>923</v>
      </c>
      <c r="D54" s="232"/>
      <c r="E54" s="233">
        <f>E33+E52</f>
        <v>7919232.7899999972</v>
      </c>
    </row>
    <row r="55" spans="2:6">
      <c r="B55" s="228" t="s">
        <v>923</v>
      </c>
      <c r="C55" s="228" t="s">
        <v>923</v>
      </c>
    </row>
    <row r="56" spans="2:6">
      <c r="B56" s="228" t="s">
        <v>923</v>
      </c>
      <c r="C56" s="228" t="s">
        <v>923</v>
      </c>
    </row>
    <row r="57" spans="2:6">
      <c r="B57" s="232" t="s">
        <v>956</v>
      </c>
      <c r="C57" s="232" t="s">
        <v>923</v>
      </c>
      <c r="D57" s="232"/>
      <c r="E57" s="233">
        <f>E23+'RZiS, koszty rodz.'!B215</f>
        <v>12745276.699999996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workbookViewId="0">
      <pane xSplit="2" ySplit="4" topLeftCell="C35" activePane="bottomRight" state="frozen"/>
      <selection pane="topRight" activeCell="C1" sqref="C1"/>
      <selection pane="bottomLeft" activeCell="A5" sqref="A5"/>
      <selection pane="bottomRight" activeCell="I45" sqref="I45"/>
    </sheetView>
  </sheetViews>
  <sheetFormatPr defaultRowHeight="14.4"/>
  <cols>
    <col min="1" max="1" width="68" customWidth="1"/>
    <col min="3" max="4" width="18.6640625" style="1" customWidth="1"/>
  </cols>
  <sheetData>
    <row r="1" spans="1:4" ht="18">
      <c r="A1" s="80" t="s">
        <v>1493</v>
      </c>
    </row>
    <row r="2" spans="1:4" ht="15" thickBot="1"/>
    <row r="3" spans="1:4">
      <c r="A3" s="1852"/>
      <c r="B3" s="1854" t="s">
        <v>1415</v>
      </c>
      <c r="C3" s="45" t="s">
        <v>1449</v>
      </c>
      <c r="D3" s="45" t="s">
        <v>1449</v>
      </c>
    </row>
    <row r="4" spans="1:4" ht="15" thickBot="1">
      <c r="A4" s="1853"/>
      <c r="B4" s="1855"/>
      <c r="C4" s="438">
        <f>'RZiS, koszty rodz.'!A1</f>
        <v>45930</v>
      </c>
      <c r="D4" s="46">
        <v>44926</v>
      </c>
    </row>
    <row r="5" spans="1:4">
      <c r="A5" s="10" t="s">
        <v>1451</v>
      </c>
      <c r="B5" s="36"/>
      <c r="C5" s="47">
        <f>SUM(C6:C14)</f>
        <v>33860652.019999996</v>
      </c>
      <c r="D5" s="47">
        <v>44195387.829999901</v>
      </c>
    </row>
    <row r="6" spans="1:4">
      <c r="A6" s="14" t="s">
        <v>1452</v>
      </c>
      <c r="B6" s="37">
        <v>6</v>
      </c>
      <c r="C6" s="48">
        <f>'bilans '!B5</f>
        <v>22151879.409999989</v>
      </c>
      <c r="D6" s="48">
        <v>25084885.059999898</v>
      </c>
    </row>
    <row r="7" spans="1:4">
      <c r="A7" s="14" t="s">
        <v>1453</v>
      </c>
      <c r="B7" s="37">
        <v>7</v>
      </c>
      <c r="C7" s="48">
        <f>'bilans '!B58</f>
        <v>156655.69</v>
      </c>
      <c r="D7" s="48">
        <v>184855.31000000102</v>
      </c>
    </row>
    <row r="8" spans="1:4">
      <c r="A8" s="14" t="s">
        <v>1454</v>
      </c>
      <c r="B8" s="37">
        <v>8</v>
      </c>
      <c r="C8" s="48">
        <f>'bilans '!B63+'bilans '!B66</f>
        <v>100630.32000001008</v>
      </c>
      <c r="D8" s="48">
        <v>154960.96999999997</v>
      </c>
    </row>
    <row r="9" spans="1:4">
      <c r="A9" s="14" t="s">
        <v>1455</v>
      </c>
      <c r="B9" s="38"/>
      <c r="C9" s="48">
        <f>'bilans '!B46</f>
        <v>6281098.8400000026</v>
      </c>
      <c r="D9" s="48">
        <v>7139268.0499999998</v>
      </c>
    </row>
    <row r="10" spans="1:4">
      <c r="A10" s="14" t="s">
        <v>1456</v>
      </c>
      <c r="B10" s="37" t="s">
        <v>1457</v>
      </c>
      <c r="C10" s="48">
        <f>'bilans '!B69</f>
        <v>0</v>
      </c>
      <c r="D10" s="48">
        <v>618105</v>
      </c>
    </row>
    <row r="11" spans="1:4">
      <c r="A11" s="14" t="s">
        <v>1458</v>
      </c>
      <c r="B11" s="38"/>
      <c r="C11" s="48"/>
      <c r="D11" s="48"/>
    </row>
    <row r="12" spans="1:4">
      <c r="A12" s="14" t="s">
        <v>1459</v>
      </c>
      <c r="B12" s="38"/>
      <c r="C12" s="48"/>
      <c r="D12" s="48"/>
    </row>
    <row r="13" spans="1:4">
      <c r="A13" s="14" t="s">
        <v>1460</v>
      </c>
      <c r="B13" s="38"/>
      <c r="C13" s="48">
        <f>'bilans '!B75</f>
        <v>200</v>
      </c>
      <c r="D13" s="48">
        <v>200</v>
      </c>
    </row>
    <row r="14" spans="1:4">
      <c r="A14" s="14" t="s">
        <v>1461</v>
      </c>
      <c r="B14" s="37" t="s">
        <v>1462</v>
      </c>
      <c r="C14" s="48">
        <f>'bilans '!B81</f>
        <v>5170187.7599999942</v>
      </c>
      <c r="D14" s="48">
        <v>11013113.439999999</v>
      </c>
    </row>
    <row r="15" spans="1:4">
      <c r="A15" s="10"/>
      <c r="B15" s="38"/>
      <c r="C15" s="47"/>
      <c r="D15" s="47"/>
    </row>
    <row r="16" spans="1:4">
      <c r="A16" s="10" t="s">
        <v>1463</v>
      </c>
      <c r="B16" s="38"/>
      <c r="C16" s="47">
        <f>SUM(C17:C21)</f>
        <v>38986432.899999969</v>
      </c>
      <c r="D16" s="47">
        <v>43962090.299999997</v>
      </c>
    </row>
    <row r="17" spans="1:5">
      <c r="A17" s="14" t="s">
        <v>1464</v>
      </c>
      <c r="B17" s="37">
        <v>11</v>
      </c>
      <c r="C17" s="48">
        <f>'bilans '!B107</f>
        <v>7840534.6899999911</v>
      </c>
      <c r="D17" s="48">
        <v>2592337.9900000095</v>
      </c>
    </row>
    <row r="18" spans="1:5">
      <c r="A18" s="14" t="s">
        <v>1465</v>
      </c>
      <c r="B18" s="37" t="s">
        <v>1457</v>
      </c>
      <c r="C18" s="48">
        <f>'bilans '!B124+'bilans '!B181</f>
        <v>28008789.949999977</v>
      </c>
      <c r="D18" s="48">
        <v>34514253.219999991</v>
      </c>
    </row>
    <row r="19" spans="1:5">
      <c r="A19" s="14" t="s">
        <v>1466</v>
      </c>
      <c r="B19" s="38"/>
      <c r="C19" s="48"/>
      <c r="D19" s="48"/>
    </row>
    <row r="20" spans="1:5">
      <c r="A20" s="14" t="s">
        <v>1467</v>
      </c>
      <c r="B20" s="37">
        <v>12</v>
      </c>
      <c r="C20" s="48">
        <f>'bilans '!B229</f>
        <v>2606199.5899999985</v>
      </c>
      <c r="D20" s="48">
        <v>2695344.1699999971</v>
      </c>
    </row>
    <row r="21" spans="1:5">
      <c r="A21" s="14" t="s">
        <v>1468</v>
      </c>
      <c r="B21" s="37">
        <v>13</v>
      </c>
      <c r="C21" s="48">
        <f>'bilans '!B306</f>
        <v>530908.67000000016</v>
      </c>
      <c r="D21" s="48">
        <v>4160154.92</v>
      </c>
    </row>
    <row r="22" spans="1:5">
      <c r="A22" s="10"/>
      <c r="B22" s="38"/>
      <c r="C22" s="47"/>
      <c r="D22" s="47"/>
    </row>
    <row r="23" spans="1:5" ht="15" thickBot="1">
      <c r="A23" s="17" t="s">
        <v>1469</v>
      </c>
      <c r="B23" s="39"/>
      <c r="C23" s="49">
        <f>C16+C5</f>
        <v>72847084.919999957</v>
      </c>
      <c r="D23" s="49">
        <v>88157478.129999906</v>
      </c>
    </row>
    <row r="24" spans="1:5" ht="15" thickTop="1">
      <c r="A24" s="40"/>
      <c r="B24" s="38"/>
      <c r="C24" s="50"/>
      <c r="D24" s="50"/>
    </row>
    <row r="25" spans="1:5">
      <c r="A25" s="10" t="s">
        <v>1470</v>
      </c>
      <c r="B25" s="38"/>
      <c r="C25" s="47">
        <f>SUM(C26:C29)</f>
        <v>19058412.740000006</v>
      </c>
      <c r="D25" s="47">
        <v>10837779.099999975</v>
      </c>
    </row>
    <row r="26" spans="1:5">
      <c r="A26" s="14" t="s">
        <v>1260</v>
      </c>
      <c r="B26" s="37" t="s">
        <v>1471</v>
      </c>
      <c r="C26" s="48">
        <f>-'bilans '!B340</f>
        <v>34874500</v>
      </c>
      <c r="D26" s="48">
        <v>34874500</v>
      </c>
    </row>
    <row r="27" spans="1:5">
      <c r="A27" s="14" t="s">
        <v>1472</v>
      </c>
      <c r="B27" s="37" t="s">
        <v>1473</v>
      </c>
      <c r="C27" s="48">
        <f>-'bilans '!B342</f>
        <v>0</v>
      </c>
      <c r="D27" s="48">
        <v>0</v>
      </c>
    </row>
    <row r="28" spans="1:5">
      <c r="A28" s="14" t="s">
        <v>1474</v>
      </c>
      <c r="B28" s="38"/>
      <c r="C28" s="48"/>
      <c r="D28" s="48"/>
    </row>
    <row r="29" spans="1:5">
      <c r="A29" s="14" t="s">
        <v>1475</v>
      </c>
      <c r="B29" s="37" t="s">
        <v>1476</v>
      </c>
      <c r="C29" s="48">
        <f>-'bilans '!B344+'SF Spr.z całk.doch.'!C19</f>
        <v>-15816087.259999994</v>
      </c>
      <c r="D29" s="48">
        <v>-24036720.900000025</v>
      </c>
      <c r="E29" s="1"/>
    </row>
    <row r="30" spans="1:5">
      <c r="A30" s="19"/>
      <c r="B30" s="38"/>
      <c r="C30" s="47"/>
      <c r="D30" s="47"/>
    </row>
    <row r="31" spans="1:5">
      <c r="A31" s="10" t="s">
        <v>1477</v>
      </c>
      <c r="B31" s="38"/>
      <c r="C31" s="47">
        <f>SUM(C32:C36)</f>
        <v>22080419.389999989</v>
      </c>
      <c r="D31" s="47">
        <v>18815277.940000001</v>
      </c>
    </row>
    <row r="32" spans="1:5">
      <c r="A32" s="14" t="s">
        <v>1478</v>
      </c>
      <c r="B32" s="37">
        <v>18.190000000000001</v>
      </c>
      <c r="C32" s="48">
        <f>-'bilans '!B369</f>
        <v>14821394.29999999</v>
      </c>
      <c r="D32" s="48">
        <v>10587242</v>
      </c>
    </row>
    <row r="33" spans="1:4">
      <c r="A33" s="14" t="s">
        <v>1479</v>
      </c>
      <c r="B33" s="37" t="s">
        <v>1480</v>
      </c>
      <c r="C33" s="48">
        <f>-'bilans '!B355</f>
        <v>6728383.5299999993</v>
      </c>
      <c r="D33" s="48">
        <v>7319163.2799999993</v>
      </c>
    </row>
    <row r="34" spans="1:4">
      <c r="A34" s="14" t="s">
        <v>1466</v>
      </c>
      <c r="B34" s="38"/>
      <c r="C34" s="48"/>
      <c r="D34" s="48"/>
    </row>
    <row r="35" spans="1:4">
      <c r="A35" s="14" t="s">
        <v>1481</v>
      </c>
      <c r="B35" s="38"/>
      <c r="C35" s="48"/>
      <c r="D35" s="48"/>
    </row>
    <row r="36" spans="1:4">
      <c r="A36" s="14" t="s">
        <v>1482</v>
      </c>
      <c r="B36" s="37" t="s">
        <v>1483</v>
      </c>
      <c r="C36" s="48">
        <f>-'bilans '!B377</f>
        <v>530641.56000000006</v>
      </c>
      <c r="D36" s="48">
        <v>908872.66</v>
      </c>
    </row>
    <row r="37" spans="1:4">
      <c r="A37" s="10"/>
      <c r="B37" s="38"/>
      <c r="C37" s="47"/>
      <c r="D37" s="47"/>
    </row>
    <row r="38" spans="1:4">
      <c r="A38" s="10" t="s">
        <v>1484</v>
      </c>
      <c r="B38" s="38"/>
      <c r="C38" s="47">
        <f>SUM(C39:C45)</f>
        <v>31708252.789999858</v>
      </c>
      <c r="D38" s="47">
        <v>58504421.089999877</v>
      </c>
    </row>
    <row r="39" spans="1:4">
      <c r="A39" s="14" t="s">
        <v>1485</v>
      </c>
      <c r="B39" s="37">
        <v>18.190000000000001</v>
      </c>
      <c r="C39" s="48">
        <f>-'bilans '!B588</f>
        <v>2248540.1799999988</v>
      </c>
      <c r="D39" s="48">
        <v>9443670.5699999891</v>
      </c>
    </row>
    <row r="40" spans="1:4">
      <c r="A40" s="14" t="s">
        <v>1486</v>
      </c>
      <c r="B40" s="37" t="s">
        <v>1480</v>
      </c>
      <c r="C40" s="48">
        <f>-'bilans '!B456</f>
        <v>465525.50000000006</v>
      </c>
      <c r="D40" s="48">
        <v>6962430.2299999986</v>
      </c>
    </row>
    <row r="41" spans="1:4">
      <c r="A41" s="14" t="s">
        <v>1466</v>
      </c>
      <c r="B41" s="38"/>
      <c r="C41" s="48"/>
      <c r="D41" s="48"/>
    </row>
    <row r="42" spans="1:4">
      <c r="A42" s="14" t="s">
        <v>1487</v>
      </c>
      <c r="B42" s="37" t="s">
        <v>1483</v>
      </c>
      <c r="C42" s="48">
        <f>-'bilans '!B383-'bilans '!B481</f>
        <v>13763745.049999896</v>
      </c>
      <c r="D42" s="48">
        <v>15710704.869999899</v>
      </c>
    </row>
    <row r="43" spans="1:4">
      <c r="A43" s="14" t="s">
        <v>1488</v>
      </c>
      <c r="B43" s="38"/>
      <c r="C43" s="48">
        <f>'FC Spr.z syt.finans.'!B73</f>
        <v>31513</v>
      </c>
      <c r="D43" s="48">
        <v>863286</v>
      </c>
    </row>
    <row r="44" spans="1:4">
      <c r="A44" s="14" t="s">
        <v>1489</v>
      </c>
      <c r="B44" s="38"/>
      <c r="C44" s="48">
        <f>-'bilans '!B583</f>
        <v>0</v>
      </c>
      <c r="D44" s="48">
        <v>1870109.97</v>
      </c>
    </row>
    <row r="45" spans="1:4">
      <c r="A45" s="14" t="s">
        <v>1490</v>
      </c>
      <c r="B45" s="37">
        <v>21</v>
      </c>
      <c r="C45" s="48">
        <f>-'bilans '!B513</f>
        <v>15198929.059999961</v>
      </c>
      <c r="D45" s="48">
        <v>23654219.449999988</v>
      </c>
    </row>
    <row r="46" spans="1:4">
      <c r="A46" s="19"/>
      <c r="B46" s="38"/>
      <c r="C46" s="47"/>
      <c r="D46" s="47"/>
    </row>
    <row r="47" spans="1:4">
      <c r="A47" s="41" t="s">
        <v>1491</v>
      </c>
      <c r="B47" s="42"/>
      <c r="C47" s="47">
        <f>C38+C31</f>
        <v>53788672.179999843</v>
      </c>
      <c r="D47" s="47">
        <v>77319699.029999882</v>
      </c>
    </row>
    <row r="48" spans="1:4" ht="15" thickBot="1">
      <c r="A48" s="43" t="s">
        <v>1492</v>
      </c>
      <c r="B48" s="44"/>
      <c r="C48" s="51">
        <f>C47+C25</f>
        <v>72847084.919999853</v>
      </c>
      <c r="D48" s="51">
        <v>88157478.129999861</v>
      </c>
    </row>
    <row r="49" spans="3:4" ht="15" thickTop="1">
      <c r="C49" s="52">
        <f>C48-C23</f>
        <v>0</v>
      </c>
      <c r="D49" s="52">
        <v>0</v>
      </c>
    </row>
    <row r="50" spans="3:4">
      <c r="C50" s="201">
        <f>C48-'bilans '!B3</f>
        <v>0</v>
      </c>
      <c r="D50" s="1">
        <v>0</v>
      </c>
    </row>
  </sheetData>
  <mergeCells count="2">
    <mergeCell ref="A3:A4"/>
    <mergeCell ref="B3:B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S14" sqref="S14"/>
    </sheetView>
  </sheetViews>
  <sheetFormatPr defaultRowHeight="14.4"/>
  <cols>
    <col min="1" max="1" width="16.33203125" customWidth="1"/>
    <col min="2" max="2" width="15.5546875" style="1" customWidth="1"/>
    <col min="3" max="3" width="16.88671875" style="1" customWidth="1"/>
    <col min="4" max="18" width="8.88671875" style="1" hidden="1" customWidth="1"/>
    <col min="19" max="19" width="18.21875" style="1" customWidth="1"/>
    <col min="20" max="20" width="16.109375" style="1" customWidth="1"/>
    <col min="21" max="21" width="15.77734375" customWidth="1"/>
    <col min="22" max="22" width="27.109375" customWidth="1"/>
  </cols>
  <sheetData>
    <row r="1" spans="1:29" ht="19.8" customHeight="1">
      <c r="A1" s="387" t="s">
        <v>2300</v>
      </c>
      <c r="B1" s="380"/>
      <c r="C1" s="380"/>
      <c r="T1" s="425" t="e">
        <f>#REF!</f>
        <v>#REF!</v>
      </c>
    </row>
    <row r="2" spans="1:29" s="386" customFormat="1" ht="114.6" customHeight="1">
      <c r="A2" s="386" t="s">
        <v>2301</v>
      </c>
      <c r="B2" s="391" t="s">
        <v>2281</v>
      </c>
      <c r="C2" s="391" t="s">
        <v>2282</v>
      </c>
      <c r="D2" s="391" t="s">
        <v>2283</v>
      </c>
      <c r="E2" s="391" t="s">
        <v>2284</v>
      </c>
      <c r="F2" s="391" t="s">
        <v>2285</v>
      </c>
      <c r="G2" s="391" t="s">
        <v>2286</v>
      </c>
      <c r="H2" s="391" t="s">
        <v>2287</v>
      </c>
      <c r="I2" s="391" t="s">
        <v>2288</v>
      </c>
      <c r="J2" s="391" t="s">
        <v>2289</v>
      </c>
      <c r="K2" s="391" t="s">
        <v>2290</v>
      </c>
      <c r="L2" s="391" t="s">
        <v>2291</v>
      </c>
      <c r="M2" s="391" t="s">
        <v>2292</v>
      </c>
      <c r="N2" s="391" t="s">
        <v>2293</v>
      </c>
      <c r="O2" s="391" t="s">
        <v>2294</v>
      </c>
      <c r="P2" s="391" t="s">
        <v>2295</v>
      </c>
      <c r="Q2" s="391" t="s">
        <v>2296</v>
      </c>
      <c r="R2" s="391" t="s">
        <v>2297</v>
      </c>
      <c r="S2" s="391" t="s">
        <v>2298</v>
      </c>
      <c r="T2" s="391" t="s">
        <v>2299</v>
      </c>
    </row>
    <row r="3" spans="1:29">
      <c r="A3" s="390" t="s">
        <v>2122</v>
      </c>
      <c r="B3" s="389">
        <f>-'bilans '!B370</f>
        <v>2384733</v>
      </c>
      <c r="C3" s="389">
        <f>-'bilans '!B372</f>
        <v>9434203</v>
      </c>
      <c r="D3" s="389"/>
      <c r="E3" s="389"/>
      <c r="F3" s="389"/>
      <c r="G3" s="389"/>
      <c r="H3" s="389"/>
      <c r="I3" s="389"/>
      <c r="J3" s="389"/>
      <c r="K3" s="389"/>
      <c r="L3" s="389"/>
      <c r="M3" s="389"/>
      <c r="N3" s="389"/>
      <c r="O3" s="389"/>
      <c r="P3" s="389"/>
      <c r="Q3" s="389"/>
      <c r="R3" s="389"/>
      <c r="S3" s="389">
        <f>-'bilans '!B374</f>
        <v>3002458.29999999</v>
      </c>
      <c r="T3" s="355">
        <f>SUM(B3:S3)</f>
        <v>14821394.29999999</v>
      </c>
      <c r="U3" s="1">
        <f>T3-'FC Spr.z syt.finans.'!B58</f>
        <v>0</v>
      </c>
    </row>
    <row r="4" spans="1:29">
      <c r="A4" s="390" t="s">
        <v>2123</v>
      </c>
      <c r="B4" s="389">
        <f>-'bilans '!B589</f>
        <v>448323</v>
      </c>
      <c r="C4" s="389">
        <f>-'bilans '!B591</f>
        <v>1502741</v>
      </c>
      <c r="D4" s="389"/>
      <c r="E4" s="389"/>
      <c r="F4" s="389"/>
      <c r="G4" s="389"/>
      <c r="H4" s="389"/>
      <c r="I4" s="389"/>
      <c r="J4" s="389"/>
      <c r="K4" s="389"/>
      <c r="L4" s="389"/>
      <c r="M4" s="389"/>
      <c r="N4" s="389"/>
      <c r="O4" s="389"/>
      <c r="P4" s="389"/>
      <c r="Q4" s="389"/>
      <c r="R4" s="389"/>
      <c r="S4" s="389">
        <f>-'bilans '!B595</f>
        <v>297476.179999999</v>
      </c>
      <c r="T4" s="355">
        <f>SUM(B4:S4)</f>
        <v>2248540.1799999988</v>
      </c>
      <c r="U4" s="1">
        <f>T4-'FC Spr.z syt.finans.'!B75</f>
        <v>0</v>
      </c>
    </row>
    <row r="5" spans="1:29">
      <c r="A5" s="390" t="s">
        <v>1501</v>
      </c>
      <c r="B5" s="355">
        <f t="shared" ref="B5:S5" si="0">B4+B3</f>
        <v>2833056</v>
      </c>
      <c r="C5" s="355">
        <f t="shared" si="0"/>
        <v>10936944</v>
      </c>
      <c r="D5" s="355">
        <f t="shared" si="0"/>
        <v>0</v>
      </c>
      <c r="E5" s="355">
        <f t="shared" si="0"/>
        <v>0</v>
      </c>
      <c r="F5" s="355">
        <f t="shared" si="0"/>
        <v>0</v>
      </c>
      <c r="G5" s="355">
        <f t="shared" si="0"/>
        <v>0</v>
      </c>
      <c r="H5" s="355">
        <f t="shared" si="0"/>
        <v>0</v>
      </c>
      <c r="I5" s="355">
        <f t="shared" si="0"/>
        <v>0</v>
      </c>
      <c r="J5" s="355">
        <f t="shared" si="0"/>
        <v>0</v>
      </c>
      <c r="K5" s="355">
        <f t="shared" si="0"/>
        <v>0</v>
      </c>
      <c r="L5" s="355">
        <f t="shared" si="0"/>
        <v>0</v>
      </c>
      <c r="M5" s="355">
        <f t="shared" si="0"/>
        <v>0</v>
      </c>
      <c r="N5" s="355">
        <f t="shared" si="0"/>
        <v>0</v>
      </c>
      <c r="O5" s="355">
        <f t="shared" si="0"/>
        <v>0</v>
      </c>
      <c r="P5" s="355">
        <f t="shared" si="0"/>
        <v>0</v>
      </c>
      <c r="Q5" s="355">
        <f t="shared" si="0"/>
        <v>0</v>
      </c>
      <c r="R5" s="355">
        <f t="shared" si="0"/>
        <v>0</v>
      </c>
      <c r="S5" s="355">
        <f t="shared" si="0"/>
        <v>3299934.4799999893</v>
      </c>
      <c r="T5" s="355">
        <f>T4+T3</f>
        <v>17069934.479999989</v>
      </c>
    </row>
    <row r="8" spans="1:29" s="414" customFormat="1" ht="88.2" customHeight="1">
      <c r="B8" s="415"/>
      <c r="C8" s="416" t="s">
        <v>2406</v>
      </c>
      <c r="D8" s="416" t="s">
        <v>2407</v>
      </c>
      <c r="E8" s="416" t="s">
        <v>2408</v>
      </c>
      <c r="F8" s="416" t="s">
        <v>2409</v>
      </c>
      <c r="G8" s="416" t="s">
        <v>2410</v>
      </c>
      <c r="H8" s="416" t="s">
        <v>2411</v>
      </c>
      <c r="I8" s="416" t="s">
        <v>2412</v>
      </c>
      <c r="J8" s="416"/>
      <c r="K8" s="416"/>
      <c r="L8" s="416"/>
      <c r="M8" s="416"/>
      <c r="N8" s="416"/>
      <c r="O8" s="416"/>
      <c r="P8" s="416"/>
      <c r="Q8" s="416"/>
      <c r="R8" s="416"/>
      <c r="S8" s="416" t="s">
        <v>2281</v>
      </c>
      <c r="T8" s="416" t="s">
        <v>923</v>
      </c>
      <c r="U8" s="416" t="s">
        <v>2282</v>
      </c>
      <c r="V8" s="416" t="s">
        <v>2413</v>
      </c>
      <c r="W8" s="415"/>
      <c r="X8" s="415"/>
      <c r="Y8" s="415"/>
      <c r="Z8" s="415"/>
      <c r="AA8" s="415"/>
      <c r="AB8" s="415"/>
      <c r="AC8" s="415"/>
    </row>
    <row r="9" spans="1:29">
      <c r="A9" s="354" t="s">
        <v>2122</v>
      </c>
      <c r="B9" s="355" t="s">
        <v>923</v>
      </c>
      <c r="C9" s="355">
        <f>-'bilans '!B370</f>
        <v>2384733</v>
      </c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>
        <f>C9</f>
        <v>2384733</v>
      </c>
      <c r="T9" s="355"/>
      <c r="U9" s="355">
        <f>-'bilans '!B372</f>
        <v>9434203</v>
      </c>
      <c r="V9" s="355">
        <f>U9+S9</f>
        <v>11818936</v>
      </c>
      <c r="W9" s="1"/>
      <c r="X9" s="1"/>
      <c r="Y9" s="1"/>
      <c r="Z9" s="1"/>
      <c r="AA9" s="1"/>
      <c r="AB9" s="1"/>
      <c r="AC9" s="1"/>
    </row>
    <row r="10" spans="1:29">
      <c r="A10" s="354" t="s">
        <v>2123</v>
      </c>
      <c r="B10" s="355" t="s">
        <v>923</v>
      </c>
      <c r="C10" s="355">
        <f>-'bilans '!B589</f>
        <v>448323</v>
      </c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>
        <f>C10</f>
        <v>448323</v>
      </c>
      <c r="T10" s="355"/>
      <c r="U10" s="355">
        <f>-'bilans '!B591</f>
        <v>1502741</v>
      </c>
      <c r="V10" s="355">
        <f>U10+S10</f>
        <v>1951064</v>
      </c>
      <c r="W10" s="1"/>
      <c r="X10" s="1"/>
      <c r="Y10" s="1"/>
      <c r="Z10" s="1"/>
      <c r="AA10" s="1"/>
      <c r="AB10" s="1"/>
      <c r="AC10" s="1"/>
    </row>
    <row r="11" spans="1:29">
      <c r="A11" s="354" t="s">
        <v>1501</v>
      </c>
      <c r="B11" s="355" t="s">
        <v>923</v>
      </c>
      <c r="C11" s="355">
        <f>C10+C9</f>
        <v>2833056</v>
      </c>
      <c r="D11" s="355"/>
      <c r="E11" s="355"/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>
        <f>C11</f>
        <v>2833056</v>
      </c>
      <c r="T11" s="355"/>
      <c r="U11" s="355">
        <f>U10+U9</f>
        <v>10936944</v>
      </c>
      <c r="V11" s="355">
        <f>U11+S11</f>
        <v>13770000</v>
      </c>
      <c r="W11" s="1"/>
      <c r="X11" s="1"/>
      <c r="Y11" s="1"/>
      <c r="Z11" s="1"/>
      <c r="AA11" s="1"/>
      <c r="AB11" s="1"/>
      <c r="AC11" s="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D20" sqref="D20:E20"/>
    </sheetView>
  </sheetViews>
  <sheetFormatPr defaultRowHeight="14.4"/>
  <cols>
    <col min="1" max="1" width="78" customWidth="1"/>
    <col min="5" max="5" width="8.88671875" style="1"/>
  </cols>
  <sheetData>
    <row r="1" spans="1:6" ht="18">
      <c r="A1" s="353" t="s">
        <v>2404</v>
      </c>
      <c r="B1" s="369">
        <f>'SF-A-150 Pozostałe aktywa krótk'!C1</f>
        <v>45930</v>
      </c>
      <c r="C1" t="s">
        <v>2121</v>
      </c>
      <c r="D1" t="s">
        <v>923</v>
      </c>
      <c r="E1" s="1" t="s">
        <v>2382</v>
      </c>
    </row>
    <row r="2" spans="1:6">
      <c r="C2" t="s">
        <v>923</v>
      </c>
      <c r="D2" t="s">
        <v>923</v>
      </c>
      <c r="E2" s="1" t="s">
        <v>923</v>
      </c>
    </row>
    <row r="3" spans="1:6">
      <c r="A3" t="s">
        <v>2397</v>
      </c>
      <c r="B3" t="s">
        <v>923</v>
      </c>
      <c r="C3" t="s">
        <v>923</v>
      </c>
    </row>
    <row r="4" spans="1:6">
      <c r="A4" t="s">
        <v>2398</v>
      </c>
      <c r="B4" t="s">
        <v>923</v>
      </c>
      <c r="C4" t="s">
        <v>923</v>
      </c>
    </row>
    <row r="5" spans="1:6">
      <c r="A5" t="s">
        <v>2399</v>
      </c>
      <c r="B5" t="s">
        <v>923</v>
      </c>
      <c r="C5" t="s">
        <v>923</v>
      </c>
    </row>
    <row r="6" spans="1:6">
      <c r="A6" t="s">
        <v>2400</v>
      </c>
      <c r="B6" t="s">
        <v>923</v>
      </c>
    </row>
    <row r="7" spans="1:6">
      <c r="A7" t="s">
        <v>2401</v>
      </c>
      <c r="B7" t="s">
        <v>923</v>
      </c>
      <c r="C7" t="s">
        <v>923</v>
      </c>
    </row>
    <row r="8" spans="1:6">
      <c r="A8" t="s">
        <v>2402</v>
      </c>
      <c r="B8" t="s">
        <v>923</v>
      </c>
      <c r="C8" t="s">
        <v>923</v>
      </c>
      <c r="E8" s="1">
        <v>0</v>
      </c>
      <c r="F8" s="130">
        <f>E8-'FC Spr.z syt.finans.'!B13</f>
        <v>0</v>
      </c>
    </row>
    <row r="9" spans="1:6">
      <c r="A9" t="s">
        <v>923</v>
      </c>
      <c r="B9" t="s">
        <v>923</v>
      </c>
      <c r="C9" t="s">
        <v>923</v>
      </c>
    </row>
    <row r="10" spans="1:6">
      <c r="A10" t="s">
        <v>923</v>
      </c>
      <c r="B10" t="s">
        <v>923</v>
      </c>
      <c r="C10" t="s">
        <v>923</v>
      </c>
    </row>
    <row r="11" spans="1:6">
      <c r="A11" t="s">
        <v>2403</v>
      </c>
      <c r="B11" t="s">
        <v>923</v>
      </c>
      <c r="C11" t="s">
        <v>923</v>
      </c>
    </row>
    <row r="12" spans="1:6">
      <c r="A12" t="s">
        <v>923</v>
      </c>
      <c r="B12" t="s">
        <v>923</v>
      </c>
      <c r="C12" t="s">
        <v>923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27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24" sqref="F24"/>
    </sheetView>
  </sheetViews>
  <sheetFormatPr defaultRowHeight="14.4"/>
  <cols>
    <col min="1" max="1" width="24.88671875" customWidth="1"/>
    <col min="2" max="5" width="12.44140625" customWidth="1"/>
    <col min="6" max="6" width="15.21875" customWidth="1"/>
    <col min="7" max="7" width="12.44140625" customWidth="1"/>
    <col min="8" max="8" width="16.109375" customWidth="1"/>
    <col min="9" max="9" width="12.5546875" customWidth="1"/>
    <col min="10" max="10" width="12.21875" customWidth="1"/>
  </cols>
  <sheetData>
    <row r="1" spans="1:9" ht="18">
      <c r="A1" s="80" t="s">
        <v>1511</v>
      </c>
    </row>
    <row r="2" spans="1:9" ht="15" thickBot="1"/>
    <row r="3" spans="1:9" ht="30" customHeight="1">
      <c r="A3" s="1856"/>
      <c r="B3" s="34" t="s">
        <v>1495</v>
      </c>
      <c r="C3" s="34" t="s">
        <v>1495</v>
      </c>
      <c r="D3" s="1854" t="s">
        <v>1498</v>
      </c>
      <c r="E3" s="419" t="s">
        <v>2458</v>
      </c>
      <c r="F3" s="34" t="s">
        <v>1499</v>
      </c>
      <c r="G3" s="34" t="s">
        <v>1501</v>
      </c>
    </row>
    <row r="4" spans="1:9" ht="15" thickBot="1">
      <c r="A4" s="1857"/>
      <c r="B4" s="35" t="s">
        <v>1496</v>
      </c>
      <c r="C4" s="35" t="s">
        <v>1497</v>
      </c>
      <c r="D4" s="1855"/>
      <c r="E4" s="420" t="s">
        <v>2459</v>
      </c>
      <c r="F4" s="35" t="s">
        <v>1500</v>
      </c>
      <c r="G4" s="35" t="s">
        <v>1502</v>
      </c>
    </row>
    <row r="5" spans="1:9">
      <c r="A5" s="53" t="s">
        <v>1415</v>
      </c>
      <c r="B5" s="54" t="s">
        <v>1471</v>
      </c>
      <c r="C5" s="54" t="s">
        <v>1473</v>
      </c>
      <c r="D5" s="55"/>
      <c r="E5" s="55"/>
      <c r="F5" s="54" t="s">
        <v>1476</v>
      </c>
      <c r="G5" s="56"/>
    </row>
    <row r="6" spans="1:9">
      <c r="A6" s="152" t="s">
        <v>3652</v>
      </c>
      <c r="B6" s="65">
        <v>34874500</v>
      </c>
      <c r="C6" s="25">
        <v>0</v>
      </c>
      <c r="D6" s="25"/>
      <c r="E6" s="25">
        <v>-24036720.900000833</v>
      </c>
      <c r="F6" s="65"/>
      <c r="G6" s="65">
        <f>F6+E6+D6+C6+B6</f>
        <v>10837779.099999167</v>
      </c>
    </row>
    <row r="7" spans="1:9">
      <c r="A7" s="57" t="s">
        <v>1503</v>
      </c>
      <c r="B7" s="66"/>
      <c r="C7" s="74"/>
      <c r="D7" s="74"/>
      <c r="E7" s="74"/>
      <c r="F7" s="66">
        <v>685561.05000012857</v>
      </c>
      <c r="G7" s="65">
        <f>F7+E7+D7+C7+B7</f>
        <v>685561.05000012857</v>
      </c>
    </row>
    <row r="8" spans="1:9">
      <c r="A8" s="57" t="s">
        <v>1504</v>
      </c>
      <c r="B8" s="66"/>
      <c r="C8" s="74"/>
      <c r="D8" s="74"/>
      <c r="E8" s="74"/>
      <c r="F8" s="66">
        <v>-769648.85</v>
      </c>
      <c r="G8" s="65">
        <f>F8+E8+D8+C8+B8</f>
        <v>-769648.85</v>
      </c>
    </row>
    <row r="9" spans="1:9" ht="15" thickBot="1">
      <c r="A9" s="58" t="s">
        <v>1505</v>
      </c>
      <c r="B9" s="67">
        <f>B8+B7</f>
        <v>0</v>
      </c>
      <c r="C9" s="67">
        <f>C8+C7</f>
        <v>0</v>
      </c>
      <c r="D9" s="67">
        <f>D8+D7</f>
        <v>0</v>
      </c>
      <c r="E9" s="67">
        <v>0</v>
      </c>
      <c r="F9" s="67">
        <f>F8+F7</f>
        <v>-84087.799999871408</v>
      </c>
      <c r="G9" s="67">
        <f>F9+E9+D9+C9+B9</f>
        <v>-84087.799999871408</v>
      </c>
    </row>
    <row r="10" spans="1:9">
      <c r="A10" s="59"/>
      <c r="B10" s="65"/>
      <c r="C10" s="25"/>
      <c r="D10" s="25"/>
      <c r="E10" s="25"/>
      <c r="F10" s="65"/>
      <c r="G10" s="65"/>
    </row>
    <row r="11" spans="1:9">
      <c r="A11" s="57" t="s">
        <v>1506</v>
      </c>
      <c r="B11" s="60"/>
      <c r="C11" s="26"/>
      <c r="D11" s="26"/>
      <c r="E11" s="26">
        <f>F7</f>
        <v>685561.05000012857</v>
      </c>
      <c r="F11" s="60">
        <f>-E11</f>
        <v>-685561.05000012857</v>
      </c>
      <c r="G11" s="68">
        <f>SUM(B11:F11)</f>
        <v>0</v>
      </c>
    </row>
    <row r="12" spans="1:9">
      <c r="A12" s="57" t="s">
        <v>1507</v>
      </c>
      <c r="B12" s="60"/>
      <c r="C12" s="26"/>
      <c r="D12" s="26"/>
      <c r="E12" s="26"/>
      <c r="F12" s="60"/>
      <c r="G12" s="68">
        <f>SUM(B12:F12)</f>
        <v>0</v>
      </c>
    </row>
    <row r="13" spans="1:9">
      <c r="A13" s="57" t="s">
        <v>1508</v>
      </c>
      <c r="B13" s="75"/>
      <c r="C13" s="26" t="s">
        <v>1509</v>
      </c>
      <c r="D13" s="26"/>
      <c r="E13" s="26">
        <f>F8</f>
        <v>-769648.85</v>
      </c>
      <c r="F13" s="60">
        <f>-E13</f>
        <v>769648.85</v>
      </c>
      <c r="G13" s="68">
        <f>SUM(B13:F13)</f>
        <v>0</v>
      </c>
    </row>
    <row r="14" spans="1:9" ht="15" thickBot="1">
      <c r="A14" s="151" t="s">
        <v>3335</v>
      </c>
      <c r="B14" s="76">
        <f>B6+B11+B13+B9</f>
        <v>34874500</v>
      </c>
      <c r="C14" s="76">
        <v>0</v>
      </c>
      <c r="D14" s="76">
        <f>D6+D11+D13+D9</f>
        <v>0</v>
      </c>
      <c r="E14" s="76">
        <f>E6+E11+E13+E9</f>
        <v>-24120808.700000707</v>
      </c>
      <c r="F14" s="76">
        <f>F6+F11+F13+F9</f>
        <v>0</v>
      </c>
      <c r="G14" s="76">
        <f>G6+G11+G13+G9</f>
        <v>10753691.299999295</v>
      </c>
      <c r="I14" s="1"/>
    </row>
    <row r="15" spans="1:9" ht="15" thickTop="1">
      <c r="A15" s="61" t="s">
        <v>1503</v>
      </c>
      <c r="B15" s="69"/>
      <c r="C15" s="31"/>
      <c r="D15" s="31"/>
      <c r="E15" s="31"/>
      <c r="F15" s="79">
        <f>'SF Spr.z całk.doch.'!C19</f>
        <v>7919232.7899999991</v>
      </c>
      <c r="G15" s="70">
        <f>SUM(B15:F15)</f>
        <v>7919232.7899999991</v>
      </c>
    </row>
    <row r="16" spans="1:9">
      <c r="A16" s="61" t="s">
        <v>1504</v>
      </c>
      <c r="B16" s="69"/>
      <c r="C16" s="31"/>
      <c r="D16" s="31"/>
      <c r="E16" s="31"/>
      <c r="F16" s="79">
        <f>-'wycena rezerw aktuarialnych'!D20</f>
        <v>0</v>
      </c>
      <c r="G16" s="70">
        <f>SUM(B16:F16)</f>
        <v>0</v>
      </c>
    </row>
    <row r="17" spans="1:10">
      <c r="A17" s="62" t="s">
        <v>1505</v>
      </c>
      <c r="B17" s="47"/>
      <c r="C17" s="13"/>
      <c r="D17" s="13"/>
      <c r="E17" s="13"/>
      <c r="F17" s="47">
        <f>F16+F15</f>
        <v>7919232.7899999991</v>
      </c>
      <c r="G17" s="47">
        <f>G16+G15</f>
        <v>7919232.7899999991</v>
      </c>
    </row>
    <row r="18" spans="1:10">
      <c r="A18" s="63"/>
      <c r="B18" s="47"/>
      <c r="C18" s="13"/>
      <c r="D18" s="13"/>
      <c r="E18" s="13"/>
      <c r="F18" s="47"/>
      <c r="G18" s="47"/>
      <c r="H18" s="228"/>
    </row>
    <row r="19" spans="1:10">
      <c r="A19" s="64" t="s">
        <v>1506</v>
      </c>
      <c r="B19" s="48"/>
      <c r="C19" s="16" t="s">
        <v>1509</v>
      </c>
      <c r="D19" s="16"/>
      <c r="E19" s="16">
        <f>-F19</f>
        <v>685561.05000012857</v>
      </c>
      <c r="F19" s="48">
        <f>-F7</f>
        <v>-685561.05000012857</v>
      </c>
      <c r="G19" s="71">
        <f>SUM(B19:F19)</f>
        <v>0</v>
      </c>
      <c r="H19" s="238" t="s">
        <v>1510</v>
      </c>
      <c r="I19" s="238" t="s">
        <v>1510</v>
      </c>
      <c r="J19" s="238" t="s">
        <v>1510</v>
      </c>
    </row>
    <row r="20" spans="1:10">
      <c r="A20" s="61" t="s">
        <v>1508</v>
      </c>
      <c r="B20" s="48"/>
      <c r="C20" s="16"/>
      <c r="D20" s="16"/>
      <c r="E20" s="16">
        <f>-F20</f>
        <v>-769648.85</v>
      </c>
      <c r="F20" s="78">
        <f>-F8</f>
        <v>769648.85</v>
      </c>
      <c r="G20" s="71">
        <f>SUM(B20:F20)</f>
        <v>0</v>
      </c>
      <c r="H20" s="239" t="s">
        <v>859</v>
      </c>
      <c r="I20" s="239" t="s">
        <v>861</v>
      </c>
      <c r="J20" s="239" t="s">
        <v>857</v>
      </c>
    </row>
    <row r="21" spans="1:10" ht="15" thickBot="1">
      <c r="A21" s="586">
        <f>'FC Spr.z przepł.pien.'!B2</f>
        <v>45930</v>
      </c>
      <c r="B21" s="72">
        <v>34874500</v>
      </c>
      <c r="C21" s="77">
        <v>0</v>
      </c>
      <c r="D21" s="77"/>
      <c r="E21" s="72">
        <f>E20+E17+E14+E19</f>
        <v>-24204896.500000581</v>
      </c>
      <c r="F21" s="72">
        <f>F20+F17+F14+F19</f>
        <v>8003320.5899998704</v>
      </c>
      <c r="G21" s="72">
        <f>G20+G17+G14</f>
        <v>18672924.089999296</v>
      </c>
      <c r="H21" s="201">
        <f>G21-'FC Spr.z syt.finans.'!B51</f>
        <v>-385488.65000070632</v>
      </c>
    </row>
    <row r="22" spans="1:10" ht="15" thickTop="1">
      <c r="F22" s="73"/>
      <c r="G22" s="73"/>
      <c r="H22" s="210">
        <f>(IFERROR(VLOOKUP(I22,obrotówka!$A$3:$J$1600,10,0),0))</f>
        <v>0</v>
      </c>
      <c r="I22" s="228" t="s">
        <v>857</v>
      </c>
    </row>
    <row r="23" spans="1:10">
      <c r="F23" s="1"/>
      <c r="H23" s="210">
        <f>(IFERROR(VLOOKUP(I23,obrotówka!$A$3:$J$1600,10,0),0))</f>
        <v>22152423.800000001</v>
      </c>
      <c r="I23" s="228" t="s">
        <v>859</v>
      </c>
    </row>
    <row r="24" spans="1:10">
      <c r="H24" s="210">
        <f>(IFERROR(VLOOKUP(I24,obrotówka!$A$3:$J$1600,10,0),0))</f>
        <v>0</v>
      </c>
      <c r="I24" s="228" t="s">
        <v>861</v>
      </c>
    </row>
    <row r="25" spans="1:10">
      <c r="H25" s="210">
        <f>(IFERROR(VLOOKUP(I25,obrotówka!$A$3:$J$1600,10,0),0))</f>
        <v>2379160.1499999901</v>
      </c>
      <c r="I25" s="228" t="s">
        <v>863</v>
      </c>
    </row>
    <row r="26" spans="1:10">
      <c r="H26" s="210">
        <f>(IFERROR(VLOOKUP(I26,obrotówka!$A$3:$J$1600,10,0),0))</f>
        <v>-371296.65999999898</v>
      </c>
      <c r="I26" s="228" t="s">
        <v>865</v>
      </c>
    </row>
    <row r="27" spans="1:10">
      <c r="H27" s="210">
        <f>(IFERROR(VLOOKUP(I27,obrotówka!$A$3:$J$1600,10,0),0))</f>
        <v>-424967.239999999</v>
      </c>
      <c r="I27" s="228" t="s">
        <v>867</v>
      </c>
    </row>
  </sheetData>
  <mergeCells count="2">
    <mergeCell ref="A3:A4"/>
    <mergeCell ref="D3:D4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BEF5786-8696-4291-A212-7B02AC8BC90F}">
            <xm:f>COUNTIF('RZiS, koszty rodz.'!$D$5:$D$959,H20)&gt;0</xm:f>
            <x14:dxf>
              <fill>
                <patternFill>
                  <bgColor rgb="FFFF0000"/>
                </patternFill>
              </fill>
            </x14:dxf>
          </x14:cfRule>
          <xm:sqref>H20:I20</xm:sqref>
        </x14:conditionalFormatting>
        <x14:conditionalFormatting xmlns:xm="http://schemas.microsoft.com/office/excel/2006/main">
          <x14:cfRule type="expression" priority="1" id="{B6E7D740-A572-4643-9402-808AD689BD1A}">
            <xm:f>COUNTIF('\\01-kunap6\Zasoby_FF\Users\07arap\Documents\1. Sprawozdania\Sprawozdanie SAP\12-2021\[1. Sprawozdanie 12-2021 (02.02.2022).xlsx]RZiS, koszty rodz.'!#REF!,J20)&gt;0</xm:f>
            <x14:dxf>
              <fill>
                <patternFill>
                  <bgColor rgb="FFFF0000"/>
                </patternFill>
              </fill>
            </x14:dxf>
          </x14:cfRule>
          <xm:sqref>J20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workbookViewId="0">
      <pane xSplit="3" ySplit="1" topLeftCell="D23" activePane="bottomRight" state="frozen"/>
      <selection activeCell="B147" sqref="B147"/>
      <selection pane="topRight" activeCell="B147" sqref="B147"/>
      <selection pane="bottomLeft" activeCell="B147" sqref="B147"/>
      <selection pane="bottomRight" activeCell="B147" sqref="B147"/>
    </sheetView>
  </sheetViews>
  <sheetFormatPr defaultRowHeight="14.4"/>
  <cols>
    <col min="1" max="1" width="44" customWidth="1"/>
    <col min="2" max="3" width="21.109375" style="1" customWidth="1"/>
    <col min="4" max="4" width="12" customWidth="1"/>
  </cols>
  <sheetData>
    <row r="1" spans="1:5">
      <c r="A1" s="1863" t="s">
        <v>2007</v>
      </c>
      <c r="B1" s="1863"/>
      <c r="C1" s="1863"/>
      <c r="D1" s="155"/>
      <c r="E1" s="155"/>
    </row>
    <row r="2" spans="1:5">
      <c r="A2" s="156"/>
    </row>
    <row r="3" spans="1:5" ht="15" thickBot="1">
      <c r="A3" s="156" t="s">
        <v>2008</v>
      </c>
    </row>
    <row r="4" spans="1:5">
      <c r="A4" s="1858"/>
      <c r="B4" s="183" t="s">
        <v>2052</v>
      </c>
      <c r="C4" s="157" t="s">
        <v>2009</v>
      </c>
      <c r="D4" s="158"/>
      <c r="E4" s="158"/>
    </row>
    <row r="5" spans="1:5" ht="15" thickBot="1">
      <c r="A5" s="1859"/>
      <c r="B5" s="159">
        <f>'FC Spr.z przepł.pien.'!B2</f>
        <v>45930</v>
      </c>
      <c r="C5" s="160" t="s">
        <v>1450</v>
      </c>
      <c r="D5" s="158"/>
      <c r="E5" s="158"/>
    </row>
    <row r="6" spans="1:5">
      <c r="A6" s="57" t="s">
        <v>2010</v>
      </c>
      <c r="B6" s="48"/>
      <c r="C6" s="48"/>
      <c r="D6" s="161"/>
      <c r="E6" s="161"/>
    </row>
    <row r="7" spans="1:5">
      <c r="A7" s="57" t="s">
        <v>2011</v>
      </c>
      <c r="B7" s="48">
        <f>'CF dział.operac.'!B10</f>
        <v>100906.8999999989</v>
      </c>
      <c r="C7" s="48">
        <v>1262378.6599999999</v>
      </c>
      <c r="D7" s="161"/>
      <c r="E7" s="161"/>
    </row>
    <row r="8" spans="1:5" ht="15" thickBot="1">
      <c r="A8" s="162" t="s">
        <v>2012</v>
      </c>
      <c r="B8" s="163">
        <f>B7</f>
        <v>100906.8999999989</v>
      </c>
      <c r="C8" s="163">
        <f>C7</f>
        <v>1262378.6599999999</v>
      </c>
      <c r="D8" s="180">
        <f>B8-'FC Spr.z przepł.pien.'!B8</f>
        <v>0</v>
      </c>
      <c r="E8" s="164"/>
    </row>
    <row r="9" spans="1:5" ht="15" thickTop="1">
      <c r="A9" s="156" t="s">
        <v>1509</v>
      </c>
    </row>
    <row r="10" spans="1:5" ht="15" thickBot="1">
      <c r="A10" s="156" t="s">
        <v>2013</v>
      </c>
    </row>
    <row r="11" spans="1:5">
      <c r="A11" s="1858"/>
      <c r="B11" s="157" t="str">
        <f>B4</f>
        <v>Okres zakończony</v>
      </c>
      <c r="C11" s="157" t="s">
        <v>2009</v>
      </c>
      <c r="D11" s="158"/>
      <c r="E11" s="158"/>
    </row>
    <row r="12" spans="1:5" ht="15" thickBot="1">
      <c r="A12" s="1859"/>
      <c r="B12" s="160">
        <f>B5</f>
        <v>45930</v>
      </c>
      <c r="C12" s="160" t="s">
        <v>1450</v>
      </c>
      <c r="D12" s="158"/>
      <c r="E12" s="158"/>
    </row>
    <row r="13" spans="1:5">
      <c r="A13" s="165" t="s">
        <v>2014</v>
      </c>
      <c r="B13" s="48">
        <f>'CF dział.operac.'!B35</f>
        <v>0</v>
      </c>
      <c r="C13" s="48">
        <v>97955.520000000004</v>
      </c>
      <c r="D13" s="161"/>
      <c r="E13" s="161"/>
    </row>
    <row r="14" spans="1:5">
      <c r="A14" s="165" t="s">
        <v>2015</v>
      </c>
      <c r="B14" s="48">
        <f>'CF dział.operac.'!B36</f>
        <v>0</v>
      </c>
      <c r="C14" s="48">
        <v>17209.62</v>
      </c>
      <c r="D14" s="161"/>
      <c r="E14" s="161"/>
    </row>
    <row r="15" spans="1:5" ht="15" thickBot="1">
      <c r="A15" s="162" t="s">
        <v>2016</v>
      </c>
      <c r="B15" s="163">
        <f>B14+B13</f>
        <v>0</v>
      </c>
      <c r="C15" s="163">
        <f>C14+C13</f>
        <v>115165.14</v>
      </c>
      <c r="D15" s="180">
        <f>B15-'FC Spr.z przepł.pien.'!B9</f>
        <v>0</v>
      </c>
      <c r="E15" s="164"/>
    </row>
    <row r="16" spans="1:5" ht="15" thickTop="1">
      <c r="A16" s="166"/>
    </row>
    <row r="17" spans="1:5" ht="15" thickBot="1">
      <c r="A17" s="156" t="s">
        <v>2017</v>
      </c>
    </row>
    <row r="18" spans="1:5">
      <c r="A18" s="1858"/>
      <c r="B18" s="157" t="str">
        <f>B4</f>
        <v>Okres zakończony</v>
      </c>
      <c r="C18" s="157" t="s">
        <v>2009</v>
      </c>
      <c r="D18" s="158"/>
      <c r="E18" s="158"/>
    </row>
    <row r="19" spans="1:5" ht="15" thickBot="1">
      <c r="A19" s="1859"/>
      <c r="B19" s="160">
        <f>B5</f>
        <v>45930</v>
      </c>
      <c r="C19" s="160" t="s">
        <v>1450</v>
      </c>
      <c r="D19" s="158"/>
      <c r="E19" s="158"/>
    </row>
    <row r="20" spans="1:5">
      <c r="A20" s="57" t="s">
        <v>2018</v>
      </c>
      <c r="B20" s="48">
        <f>'CF dział.operac.'!B59</f>
        <v>1062713.7300000116</v>
      </c>
      <c r="C20" s="48">
        <v>18656015.09</v>
      </c>
      <c r="D20" s="161"/>
      <c r="E20" s="161"/>
    </row>
    <row r="21" spans="1:5" ht="20.399999999999999">
      <c r="A21" s="165" t="s">
        <v>2019</v>
      </c>
      <c r="B21" s="48">
        <f>'CF dział.operac.'!B51</f>
        <v>578122.89000000898</v>
      </c>
      <c r="C21" s="48">
        <v>-1377418.83</v>
      </c>
      <c r="D21" s="161"/>
      <c r="E21" s="161"/>
    </row>
    <row r="22" spans="1:5">
      <c r="A22" s="57" t="s">
        <v>2020</v>
      </c>
      <c r="B22" s="48">
        <f>'CF dział.operac.'!B64</f>
        <v>-861860.76000001002</v>
      </c>
      <c r="C22" s="48">
        <v>857408.59</v>
      </c>
      <c r="D22" s="161"/>
      <c r="E22" s="161"/>
    </row>
    <row r="23" spans="1:5">
      <c r="A23" s="165" t="s">
        <v>2021</v>
      </c>
      <c r="B23" s="48">
        <f>'CF dział.operac.'!B55</f>
        <v>388324.52</v>
      </c>
      <c r="C23" s="48">
        <v>-573028.39</v>
      </c>
      <c r="D23" s="161"/>
      <c r="E23" s="161"/>
    </row>
    <row r="24" spans="1:5" ht="20.399999999999999">
      <c r="A24" s="165" t="s">
        <v>2022</v>
      </c>
      <c r="B24" s="48">
        <f>'CF dział.operac.'!B61</f>
        <v>0</v>
      </c>
      <c r="C24" s="48">
        <v>-22000</v>
      </c>
      <c r="D24" s="161"/>
      <c r="E24" s="161"/>
    </row>
    <row r="25" spans="1:5">
      <c r="A25" s="57" t="s">
        <v>2023</v>
      </c>
      <c r="B25" s="48"/>
      <c r="C25" s="48"/>
      <c r="D25" s="161"/>
      <c r="E25" s="161"/>
    </row>
    <row r="26" spans="1:5" ht="15" thickBot="1">
      <c r="A26" s="162" t="s">
        <v>2024</v>
      </c>
      <c r="B26" s="163">
        <f>SUM(B20:B25)</f>
        <v>1167300.3800000106</v>
      </c>
      <c r="C26" s="163">
        <f>SUM(C20:C25)</f>
        <v>17540976.459999997</v>
      </c>
      <c r="D26" s="180">
        <f>B26-'FC Spr.z przepł.pien.'!B10</f>
        <v>0</v>
      </c>
      <c r="E26" s="164"/>
    </row>
    <row r="27" spans="1:5" ht="15" thickTop="1">
      <c r="A27" s="156"/>
    </row>
    <row r="28" spans="1:5" ht="15" thickBot="1">
      <c r="A28" s="156" t="s">
        <v>2025</v>
      </c>
    </row>
    <row r="29" spans="1:5">
      <c r="A29" s="1860"/>
      <c r="B29" s="167" t="str">
        <f>B4</f>
        <v>Okres zakończony</v>
      </c>
      <c r="C29" s="167" t="s">
        <v>2026</v>
      </c>
      <c r="D29" s="158"/>
      <c r="E29" s="158"/>
    </row>
    <row r="30" spans="1:5" ht="15" thickBot="1">
      <c r="A30" s="1861"/>
      <c r="B30" s="168">
        <f>B5</f>
        <v>45930</v>
      </c>
      <c r="C30" s="168" t="s">
        <v>1450</v>
      </c>
      <c r="D30" s="158"/>
      <c r="E30" s="158"/>
    </row>
    <row r="31" spans="1:5">
      <c r="A31" s="169" t="s">
        <v>2025</v>
      </c>
      <c r="B31" s="170">
        <f>'CF dział.operac.'!B67</f>
        <v>-5997169.7699999912</v>
      </c>
      <c r="C31" s="170">
        <v>-2007142.67</v>
      </c>
      <c r="D31" s="171"/>
      <c r="E31" s="171"/>
    </row>
    <row r="32" spans="1:5" ht="15" thickBot="1">
      <c r="A32" s="172" t="s">
        <v>2027</v>
      </c>
      <c r="B32" s="173">
        <f>B31</f>
        <v>-5997169.7699999912</v>
      </c>
      <c r="C32" s="173">
        <f>C31</f>
        <v>-2007142.67</v>
      </c>
      <c r="D32" s="181">
        <f>B32-'FC Spr.z przepł.pien.'!B11</f>
        <v>0</v>
      </c>
      <c r="E32" s="174"/>
    </row>
    <row r="33" spans="1:15" ht="15" thickBot="1">
      <c r="A33" s="156" t="s">
        <v>2028</v>
      </c>
    </row>
    <row r="34" spans="1:15">
      <c r="A34" s="1858"/>
      <c r="B34" s="157" t="str">
        <f>B4</f>
        <v>Okres zakończony</v>
      </c>
      <c r="C34" s="157" t="s">
        <v>2009</v>
      </c>
      <c r="D34" s="158"/>
      <c r="E34" s="158"/>
    </row>
    <row r="35" spans="1:15" ht="15" thickBot="1">
      <c r="A35" s="1859"/>
      <c r="B35" s="160">
        <f>B5</f>
        <v>45930</v>
      </c>
      <c r="C35" s="160" t="s">
        <v>1450</v>
      </c>
      <c r="D35" s="158"/>
      <c r="E35" s="158"/>
    </row>
    <row r="36" spans="1:15">
      <c r="A36" s="57" t="s">
        <v>2029</v>
      </c>
      <c r="B36" s="48">
        <f>'CF dział.operac.'!B76</f>
        <v>3827468.7900000084</v>
      </c>
      <c r="C36" s="48">
        <v>-12801105.58</v>
      </c>
      <c r="D36" s="161"/>
      <c r="E36" s="161"/>
    </row>
    <row r="37" spans="1:15">
      <c r="A37" s="57" t="s">
        <v>2030</v>
      </c>
      <c r="B37" s="48">
        <f>'CF dział.operac.'!B77-B40+'CF dział.operac.'!B82+'CF dział.operac.'!B75</f>
        <v>-200382.7799999913</v>
      </c>
      <c r="C37" s="48">
        <f>32484891.7-C40</f>
        <v>32457596.16</v>
      </c>
      <c r="D37" s="161"/>
      <c r="E37" s="161"/>
    </row>
    <row r="38" spans="1:15">
      <c r="A38" s="57" t="s">
        <v>2031</v>
      </c>
      <c r="B38" s="48">
        <f>'CF dział.operac.'!B78</f>
        <v>-9519793.8599999994</v>
      </c>
      <c r="C38" s="48">
        <v>3393592.64</v>
      </c>
      <c r="D38" s="161"/>
      <c r="E38" s="161"/>
    </row>
    <row r="39" spans="1:15">
      <c r="A39" s="165" t="s">
        <v>2032</v>
      </c>
      <c r="B39" s="48">
        <f>'CF dział.operac.'!B84</f>
        <v>-101998.38</v>
      </c>
      <c r="C39" s="48">
        <v>-176838.45</v>
      </c>
      <c r="D39" s="161"/>
      <c r="E39" s="161"/>
    </row>
    <row r="40" spans="1:15" ht="15" customHeight="1">
      <c r="A40" s="165" t="s">
        <v>2033</v>
      </c>
      <c r="B40" s="179"/>
      <c r="C40" s="48">
        <v>27295.54</v>
      </c>
      <c r="D40" s="1862" t="s">
        <v>2051</v>
      </c>
      <c r="E40" s="1862"/>
      <c r="F40" s="1862"/>
      <c r="G40" s="1862"/>
      <c r="H40" s="1862"/>
      <c r="I40" s="1862"/>
      <c r="J40" s="1862"/>
      <c r="K40" s="1862"/>
      <c r="L40" s="1862"/>
      <c r="M40" s="1862"/>
      <c r="N40" s="1862"/>
      <c r="O40" s="1862"/>
    </row>
    <row r="41" spans="1:15">
      <c r="A41" s="57" t="s">
        <v>2023</v>
      </c>
      <c r="B41" s="48">
        <f>'CF dział.operac.'!B88</f>
        <v>0</v>
      </c>
      <c r="C41" s="48">
        <v>-2240646.11</v>
      </c>
      <c r="D41" s="161"/>
      <c r="E41" s="161"/>
    </row>
    <row r="42" spans="1:15" ht="21" thickBot="1">
      <c r="A42" s="162" t="s">
        <v>2034</v>
      </c>
      <c r="B42" s="163">
        <f>SUM(B36:B41)</f>
        <v>-5994706.2299999828</v>
      </c>
      <c r="C42" s="163">
        <f>SUM(C36:C41)</f>
        <v>20659894.199999999</v>
      </c>
      <c r="D42" s="180">
        <f>B42-'CF dział.operac.'!B74</f>
        <v>0</v>
      </c>
      <c r="E42" s="164"/>
    </row>
    <row r="43" spans="1:15" ht="15" thickTop="1">
      <c r="A43" s="156"/>
    </row>
    <row r="44" spans="1:15" ht="15" thickBot="1">
      <c r="A44" s="156" t="s">
        <v>2035</v>
      </c>
    </row>
    <row r="45" spans="1:15">
      <c r="A45" s="1858"/>
      <c r="B45" s="157" t="str">
        <f>B4</f>
        <v>Okres zakończony</v>
      </c>
      <c r="C45" s="157" t="s">
        <v>2009</v>
      </c>
      <c r="D45" s="158"/>
      <c r="E45" s="158"/>
    </row>
    <row r="46" spans="1:15" ht="15" thickBot="1">
      <c r="A46" s="1859"/>
      <c r="B46" s="160">
        <f>B5</f>
        <v>45930</v>
      </c>
      <c r="C46" s="160" t="s">
        <v>1450</v>
      </c>
      <c r="D46" s="158"/>
      <c r="E46" s="158"/>
    </row>
    <row r="47" spans="1:15">
      <c r="A47" s="57" t="s">
        <v>2036</v>
      </c>
      <c r="B47" s="48">
        <f>'CF dział.operac.'!B90</f>
        <v>-830108.7499999986</v>
      </c>
      <c r="C47" s="48">
        <v>-10759421.98</v>
      </c>
      <c r="D47" s="161"/>
      <c r="E47" s="161"/>
    </row>
    <row r="48" spans="1:15">
      <c r="A48" s="165" t="s">
        <v>2037</v>
      </c>
      <c r="B48" s="48">
        <f>'CF dział.operac.'!B101</f>
        <v>-106435.2</v>
      </c>
      <c r="C48" s="48">
        <v>-1895654.19</v>
      </c>
      <c r="D48" s="161"/>
      <c r="E48" s="161"/>
    </row>
    <row r="49" spans="1:5" ht="15" thickBot="1">
      <c r="A49" s="162" t="s">
        <v>2038</v>
      </c>
      <c r="B49" s="163">
        <f>B48+B47</f>
        <v>-936543.94999999856</v>
      </c>
      <c r="C49" s="163">
        <f>C48+C47</f>
        <v>-12655076.17</v>
      </c>
      <c r="D49" s="180">
        <f>B49-'CF dział.operac.'!B101-'CF dział.operac.'!B90</f>
        <v>0</v>
      </c>
      <c r="E49" s="164"/>
    </row>
    <row r="50" spans="1:5" ht="15.6" thickTop="1" thickBot="1">
      <c r="A50" s="156" t="s">
        <v>2039</v>
      </c>
    </row>
    <row r="51" spans="1:5">
      <c r="A51" s="1860"/>
      <c r="B51" s="167" t="str">
        <f>B4</f>
        <v>Okres zakończony</v>
      </c>
      <c r="C51" s="167" t="s">
        <v>2026</v>
      </c>
      <c r="D51" s="158"/>
      <c r="E51" s="158"/>
    </row>
    <row r="52" spans="1:5" ht="15" thickBot="1">
      <c r="A52" s="1861"/>
      <c r="B52" s="168">
        <f>B5</f>
        <v>45930</v>
      </c>
      <c r="C52" s="168" t="s">
        <v>1450</v>
      </c>
      <c r="D52" s="158"/>
      <c r="E52" s="158"/>
    </row>
    <row r="53" spans="1:5">
      <c r="A53" s="165" t="s">
        <v>2040</v>
      </c>
      <c r="B53" s="175">
        <f>'CF dział.operac.'!B111</f>
        <v>-615977</v>
      </c>
      <c r="C53" s="175">
        <v>143272</v>
      </c>
      <c r="D53" s="161"/>
      <c r="E53" s="161"/>
    </row>
    <row r="54" spans="1:5">
      <c r="A54" s="165" t="s">
        <v>2041</v>
      </c>
      <c r="B54" s="175">
        <f>'CF dział.operac.'!B113</f>
        <v>28250.609999998938</v>
      </c>
      <c r="C54" s="175">
        <v>-966277.93</v>
      </c>
      <c r="D54" s="161"/>
      <c r="E54" s="161"/>
    </row>
    <row r="55" spans="1:5">
      <c r="A55" s="165" t="s">
        <v>2042</v>
      </c>
      <c r="B55" s="175">
        <f>'CF dział.operac.'!B116</f>
        <v>0</v>
      </c>
      <c r="C55" s="175">
        <v>-208929.86</v>
      </c>
      <c r="D55" s="161"/>
      <c r="E55" s="161"/>
    </row>
    <row r="56" spans="1:5" ht="15" thickBot="1">
      <c r="A56" s="58" t="s">
        <v>2043</v>
      </c>
      <c r="B56" s="176">
        <f>SUM(B53:B55)</f>
        <v>-587726.39000000106</v>
      </c>
      <c r="C56" s="176">
        <f>SUM(C53:C55)</f>
        <v>-1031935.79</v>
      </c>
      <c r="D56" s="182">
        <f>B56-'CF dział.operac.'!B110</f>
        <v>0</v>
      </c>
      <c r="E56" s="177"/>
    </row>
    <row r="57" spans="1:5" ht="15" thickBot="1">
      <c r="A57" s="156" t="s">
        <v>2044</v>
      </c>
    </row>
    <row r="58" spans="1:5">
      <c r="A58" s="1860"/>
      <c r="B58" s="167" t="str">
        <f>B4</f>
        <v>Okres zakończony</v>
      </c>
      <c r="C58" s="167" t="s">
        <v>2026</v>
      </c>
      <c r="D58" s="158"/>
      <c r="E58" s="158"/>
    </row>
    <row r="59" spans="1:5" ht="15" thickBot="1">
      <c r="A59" s="1861"/>
      <c r="B59" s="168">
        <f>B5</f>
        <v>45930</v>
      </c>
      <c r="C59" s="168" t="s">
        <v>1450</v>
      </c>
      <c r="D59" s="158"/>
      <c r="E59" s="158"/>
    </row>
    <row r="60" spans="1:5">
      <c r="A60" s="165" t="s">
        <v>2045</v>
      </c>
      <c r="B60" s="175">
        <f>'CF dział.operac.'!B120</f>
        <v>-1908461.01</v>
      </c>
      <c r="C60" s="175">
        <v>-374945.94</v>
      </c>
      <c r="D60" s="161"/>
      <c r="E60" s="161"/>
    </row>
    <row r="61" spans="1:5">
      <c r="A61" s="165" t="s">
        <v>2046</v>
      </c>
      <c r="B61" s="175">
        <f>'CF dział.operac.'!B130</f>
        <v>0</v>
      </c>
      <c r="C61" s="175">
        <v>39696.67</v>
      </c>
      <c r="D61" s="161"/>
      <c r="E61" s="161"/>
    </row>
    <row r="62" spans="1:5">
      <c r="A62" s="165" t="s">
        <v>2047</v>
      </c>
      <c r="B62" s="175">
        <f>'CF dział.operac.'!B121</f>
        <v>1422800.0100000091</v>
      </c>
      <c r="C62" s="175">
        <v>-3698832.73</v>
      </c>
      <c r="D62" s="161"/>
      <c r="E62" s="161"/>
    </row>
    <row r="63" spans="1:5">
      <c r="A63" s="165" t="s">
        <v>2048</v>
      </c>
      <c r="B63" s="175">
        <f>'CF dział.operac.'!B134</f>
        <v>0</v>
      </c>
      <c r="C63" s="175">
        <v>2215889</v>
      </c>
      <c r="D63" s="161"/>
      <c r="E63" s="161"/>
    </row>
    <row r="64" spans="1:5">
      <c r="A64" s="165" t="s">
        <v>2049</v>
      </c>
      <c r="B64" s="175"/>
      <c r="C64" s="175"/>
      <c r="D64" s="161"/>
      <c r="E64" s="161"/>
    </row>
    <row r="65" spans="1:5" ht="15" thickBot="1">
      <c r="A65" s="58" t="s">
        <v>2050</v>
      </c>
      <c r="B65" s="176">
        <f>SUM(B60:B64)</f>
        <v>-485660.99999999092</v>
      </c>
      <c r="C65" s="176">
        <f>SUM(C60:C64)</f>
        <v>-1818193</v>
      </c>
      <c r="D65" s="182">
        <f>B65-'CF dział.operac.'!B119</f>
        <v>-84737</v>
      </c>
      <c r="E65" s="177"/>
    </row>
  </sheetData>
  <mergeCells count="10">
    <mergeCell ref="A45:A46"/>
    <mergeCell ref="A51:A52"/>
    <mergeCell ref="A58:A59"/>
    <mergeCell ref="D40:O40"/>
    <mergeCell ref="A1:C1"/>
    <mergeCell ref="A4:A5"/>
    <mergeCell ref="A11:A12"/>
    <mergeCell ref="A18:A19"/>
    <mergeCell ref="A29:A30"/>
    <mergeCell ref="A34:A3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workbookViewId="0">
      <pane xSplit="2" ySplit="3" topLeftCell="C40" activePane="bottomRight" state="frozen"/>
      <selection activeCell="B147" sqref="B147"/>
      <selection pane="topRight" activeCell="B147" sqref="B147"/>
      <selection pane="bottomLeft" activeCell="B147" sqref="B147"/>
      <selection pane="bottomRight" activeCell="K54" sqref="K54"/>
    </sheetView>
  </sheetViews>
  <sheetFormatPr defaultRowHeight="14.4"/>
  <cols>
    <col min="1" max="1" width="57.44140625" customWidth="1"/>
    <col min="3" max="4" width="12.88671875" style="1" customWidth="1"/>
    <col min="5" max="5" width="11.33203125" bestFit="1" customWidth="1"/>
  </cols>
  <sheetData>
    <row r="1" spans="1:4" ht="18.600000000000001" thickBot="1">
      <c r="A1" s="80" t="s">
        <v>2053</v>
      </c>
    </row>
    <row r="2" spans="1:4">
      <c r="A2" s="1864"/>
      <c r="B2" s="1854" t="s">
        <v>1415</v>
      </c>
      <c r="C2" s="200" t="str">
        <f>'SF dział.operac.'!B4</f>
        <v>Okres zakończony</v>
      </c>
      <c r="D2" s="45" t="s">
        <v>2009</v>
      </c>
    </row>
    <row r="3" spans="1:4" ht="15" thickBot="1">
      <c r="A3" s="1865"/>
      <c r="B3" s="1855"/>
      <c r="C3" s="184">
        <f>'SF dział.operac.'!B5</f>
        <v>45930</v>
      </c>
      <c r="D3" s="46" t="s">
        <v>1450</v>
      </c>
    </row>
    <row r="4" spans="1:4">
      <c r="A4" s="41" t="s">
        <v>2054</v>
      </c>
      <c r="B4" s="185"/>
      <c r="C4" s="186"/>
      <c r="D4" s="186"/>
    </row>
    <row r="5" spans="1:4">
      <c r="A5" s="41" t="s">
        <v>2055</v>
      </c>
      <c r="B5" s="187"/>
      <c r="C5" s="47">
        <f>'FC Spr.z przepł.pien.'!B4</f>
        <v>9827693.799999997</v>
      </c>
      <c r="D5" s="47">
        <v>519597.77</v>
      </c>
    </row>
    <row r="6" spans="1:4">
      <c r="A6" s="188" t="s">
        <v>2044</v>
      </c>
      <c r="B6" s="189">
        <v>24</v>
      </c>
      <c r="C6" s="190">
        <f>'FC Spr.z przepł.pien.'!B17</f>
        <v>-400923.99999999092</v>
      </c>
      <c r="D6" s="190">
        <v>-1818193</v>
      </c>
    </row>
    <row r="7" spans="1:4">
      <c r="A7" s="188"/>
      <c r="B7" s="191"/>
      <c r="C7" s="190"/>
      <c r="D7" s="190"/>
    </row>
    <row r="8" spans="1:4">
      <c r="A8" s="192" t="s">
        <v>1513</v>
      </c>
      <c r="B8" s="178"/>
      <c r="C8" s="48"/>
      <c r="D8" s="48"/>
    </row>
    <row r="9" spans="1:4">
      <c r="A9" s="188" t="s">
        <v>2056</v>
      </c>
      <c r="B9" s="191"/>
      <c r="C9" s="190">
        <f>'FC Spr.z przepł.pien.'!B7</f>
        <v>2197321.12</v>
      </c>
      <c r="D9" s="190">
        <v>3369380.7</v>
      </c>
    </row>
    <row r="10" spans="1:4">
      <c r="A10" s="188" t="s">
        <v>2057</v>
      </c>
      <c r="B10" s="189">
        <v>24</v>
      </c>
      <c r="C10" s="190">
        <f>'FC Spr.z przepł.pien.'!B8</f>
        <v>100906.8999999989</v>
      </c>
      <c r="D10" s="190">
        <v>1262378.6599999999</v>
      </c>
    </row>
    <row r="11" spans="1:4">
      <c r="A11" s="188" t="s">
        <v>2058</v>
      </c>
      <c r="B11" s="189">
        <v>24</v>
      </c>
      <c r="C11" s="190">
        <f>'FC Spr.z przepł.pien.'!B9</f>
        <v>0</v>
      </c>
      <c r="D11" s="190">
        <v>115165.14</v>
      </c>
    </row>
    <row r="12" spans="1:4">
      <c r="A12" s="188" t="s">
        <v>2017</v>
      </c>
      <c r="B12" s="189">
        <v>24</v>
      </c>
      <c r="C12" s="190">
        <f>'FC Spr.z przepł.pien.'!B10</f>
        <v>1167300.3800000106</v>
      </c>
      <c r="D12" s="190">
        <v>17540976.460000001</v>
      </c>
    </row>
    <row r="13" spans="1:4">
      <c r="A13" s="188" t="s">
        <v>2025</v>
      </c>
      <c r="B13" s="189">
        <v>24</v>
      </c>
      <c r="C13" s="190">
        <f>'FC Spr.z przepł.pien.'!B11</f>
        <v>-5997169.7699999912</v>
      </c>
      <c r="D13" s="190">
        <v>-2007142.67</v>
      </c>
    </row>
    <row r="14" spans="1:4">
      <c r="A14" s="188" t="s">
        <v>2059</v>
      </c>
      <c r="B14" s="189">
        <v>24</v>
      </c>
      <c r="C14" s="190">
        <f>'FC Spr.z przepł.pien.'!B12</f>
        <v>-5994706.2299999828</v>
      </c>
      <c r="D14" s="190">
        <v>20659894.199999999</v>
      </c>
    </row>
    <row r="15" spans="1:4">
      <c r="A15" s="188" t="s">
        <v>2088</v>
      </c>
      <c r="B15" s="189">
        <v>24</v>
      </c>
      <c r="C15" s="190">
        <f>'FC Spr.z przepł.pien.'!B13+'FC Spr.z przepł.pien.'!B15</f>
        <v>-936543.94999999856</v>
      </c>
      <c r="D15" s="190">
        <v>-12655076.17</v>
      </c>
    </row>
    <row r="16" spans="1:4">
      <c r="A16" s="188" t="s">
        <v>2039</v>
      </c>
      <c r="B16" s="189">
        <v>24</v>
      </c>
      <c r="C16" s="190">
        <f>'FC Spr.z przepł.pien.'!B16</f>
        <v>-587726.39000000106</v>
      </c>
      <c r="D16" s="190">
        <v>-1031935.79</v>
      </c>
    </row>
    <row r="17" spans="1:5">
      <c r="A17" s="188" t="s">
        <v>2023</v>
      </c>
      <c r="B17" s="191"/>
      <c r="C17" s="190">
        <f>'FC Spr.z przepł.pien.'!B20</f>
        <v>-1.1725351214408875E-6</v>
      </c>
      <c r="D17" s="190">
        <v>-45705.74</v>
      </c>
    </row>
    <row r="18" spans="1:5" ht="15" thickBot="1">
      <c r="A18" s="193" t="s">
        <v>2060</v>
      </c>
      <c r="B18" s="194"/>
      <c r="C18" s="163">
        <f>SUM(C5:C17)</f>
        <v>-623848.14000113192</v>
      </c>
      <c r="D18" s="163">
        <f>SUM(D5:D17)</f>
        <v>25909339.560000006</v>
      </c>
      <c r="E18" s="201">
        <f>C18-'FC Spr.z przepł.pien.'!B21</f>
        <v>-1.6298145055770874E-9</v>
      </c>
    </row>
    <row r="19" spans="1:5" ht="15" thickTop="1">
      <c r="A19" s="195"/>
      <c r="B19" s="42"/>
      <c r="C19" s="196"/>
      <c r="D19" s="196"/>
    </row>
    <row r="20" spans="1:5">
      <c r="A20" s="41" t="s">
        <v>2061</v>
      </c>
      <c r="B20" s="202"/>
      <c r="C20" s="190"/>
      <c r="D20" s="190"/>
    </row>
    <row r="21" spans="1:5">
      <c r="A21" s="188" t="s">
        <v>2062</v>
      </c>
      <c r="B21" s="202"/>
      <c r="C21" s="203">
        <f>'FC Spr.z przepł.pien.'!B23</f>
        <v>0</v>
      </c>
      <c r="D21" s="203">
        <v>142619</v>
      </c>
    </row>
    <row r="22" spans="1:5">
      <c r="A22" s="188" t="s">
        <v>2063</v>
      </c>
      <c r="B22" s="197"/>
      <c r="C22" s="190">
        <f>'FC Spr.z przepł.pien.'!B24</f>
        <v>-710258.26999999897</v>
      </c>
      <c r="D22" s="190">
        <v>-1809084.95</v>
      </c>
    </row>
    <row r="23" spans="1:5">
      <c r="A23" s="188" t="s">
        <v>2064</v>
      </c>
      <c r="B23" s="197"/>
      <c r="C23" s="190"/>
      <c r="D23" s="190"/>
    </row>
    <row r="24" spans="1:5">
      <c r="A24" s="188" t="s">
        <v>2065</v>
      </c>
      <c r="B24" s="197"/>
      <c r="C24" s="190"/>
      <c r="D24" s="190"/>
    </row>
    <row r="25" spans="1:5">
      <c r="A25" s="188" t="s">
        <v>2066</v>
      </c>
      <c r="B25" s="198"/>
      <c r="C25" s="190"/>
      <c r="D25" s="190"/>
    </row>
    <row r="26" spans="1:5">
      <c r="A26" s="188" t="s">
        <v>2067</v>
      </c>
      <c r="B26" s="197"/>
      <c r="C26" s="190"/>
      <c r="D26" s="190"/>
    </row>
    <row r="27" spans="1:5">
      <c r="A27" s="188" t="s">
        <v>2068</v>
      </c>
      <c r="B27" s="197"/>
      <c r="C27" s="190"/>
      <c r="D27" s="190"/>
    </row>
    <row r="28" spans="1:5">
      <c r="A28" s="188" t="s">
        <v>2069</v>
      </c>
      <c r="B28" s="197"/>
      <c r="C28" s="190"/>
      <c r="D28" s="190"/>
    </row>
    <row r="29" spans="1:5">
      <c r="A29" s="188" t="s">
        <v>2070</v>
      </c>
      <c r="B29" s="197"/>
      <c r="C29" s="190"/>
      <c r="D29" s="190"/>
    </row>
    <row r="30" spans="1:5">
      <c r="A30" s="188" t="s">
        <v>2071</v>
      </c>
      <c r="B30" s="197"/>
      <c r="C30" s="190">
        <f>'FC Spr.z przepł.pien.'!B41</f>
        <v>0</v>
      </c>
      <c r="D30" s="190">
        <v>-19616006.390000001</v>
      </c>
    </row>
    <row r="31" spans="1:5">
      <c r="A31" s="188" t="s">
        <v>2072</v>
      </c>
      <c r="B31" s="197"/>
      <c r="C31" s="190"/>
      <c r="D31" s="190"/>
    </row>
    <row r="32" spans="1:5">
      <c r="A32" s="188" t="s">
        <v>2073</v>
      </c>
      <c r="B32" s="197"/>
      <c r="C32" s="190">
        <f>'FC Spr.z przepł.pien.'!B40</f>
        <v>117266.21999999999</v>
      </c>
      <c r="D32" s="190">
        <v>137.33000000000001</v>
      </c>
    </row>
    <row r="33" spans="1:5">
      <c r="A33" s="188" t="s">
        <v>2074</v>
      </c>
      <c r="B33" s="197"/>
      <c r="C33" s="190"/>
      <c r="D33" s="190"/>
    </row>
    <row r="34" spans="1:5">
      <c r="A34" s="188" t="s">
        <v>2023</v>
      </c>
      <c r="B34" s="197"/>
      <c r="C34" s="190"/>
      <c r="D34" s="190"/>
    </row>
    <row r="35" spans="1:5" ht="15" thickBot="1">
      <c r="A35" s="193" t="s">
        <v>2075</v>
      </c>
      <c r="B35" s="194"/>
      <c r="C35" s="163">
        <f>SUM(C21:C34)</f>
        <v>-592992.049999999</v>
      </c>
      <c r="D35" s="163">
        <f>SUM(D21:D34)</f>
        <v>-21282335.010000002</v>
      </c>
      <c r="E35" s="201">
        <f>C35-'FC Spr.z przepł.pien.'!B45</f>
        <v>0</v>
      </c>
    </row>
    <row r="36" spans="1:5" ht="15" thickTop="1">
      <c r="A36" s="195"/>
      <c r="B36" s="42"/>
      <c r="C36" s="196"/>
      <c r="D36" s="196"/>
    </row>
    <row r="37" spans="1:5">
      <c r="A37" s="41" t="s">
        <v>2076</v>
      </c>
      <c r="B37" s="191"/>
      <c r="C37" s="190"/>
      <c r="D37" s="190"/>
    </row>
    <row r="38" spans="1:5">
      <c r="A38" s="188" t="s">
        <v>2077</v>
      </c>
      <c r="B38" s="204"/>
      <c r="C38" s="190"/>
      <c r="D38" s="190"/>
    </row>
    <row r="39" spans="1:5">
      <c r="A39" s="188" t="s">
        <v>2078</v>
      </c>
      <c r="B39" s="204"/>
      <c r="C39" s="203">
        <f>'FC Spr.z przepł.pien.'!B48</f>
        <v>-247135.51000000007</v>
      </c>
      <c r="D39" s="203">
        <v>-299304.92</v>
      </c>
    </row>
    <row r="40" spans="1:5">
      <c r="A40" s="188" t="s">
        <v>2079</v>
      </c>
      <c r="B40" s="197"/>
      <c r="C40" s="190"/>
      <c r="D40" s="190"/>
    </row>
    <row r="41" spans="1:5">
      <c r="A41" s="188" t="s">
        <v>2080</v>
      </c>
      <c r="B41" s="197"/>
      <c r="C41" s="190"/>
      <c r="D41" s="190"/>
    </row>
    <row r="42" spans="1:5">
      <c r="A42" s="188" t="s">
        <v>2081</v>
      </c>
      <c r="B42" s="197"/>
      <c r="C42" s="190">
        <f>'FC Spr.z przepł.pien.'!B58</f>
        <v>898569.97000000998</v>
      </c>
      <c r="D42" s="190"/>
    </row>
    <row r="43" spans="1:5">
      <c r="A43" s="188" t="s">
        <v>2082</v>
      </c>
      <c r="B43" s="197"/>
      <c r="C43" s="190">
        <f>'FC Spr.z przepł.pien.'!B49+'FC Spr.z przepł.pien.'!B59</f>
        <v>-254882.32999999888</v>
      </c>
      <c r="D43" s="190">
        <v>-967560.74</v>
      </c>
    </row>
    <row r="44" spans="1:5">
      <c r="A44" s="188" t="s">
        <v>2023</v>
      </c>
      <c r="B44" s="197"/>
      <c r="C44" s="190">
        <f>'FC Spr.z przepł.pien.'!B61</f>
        <v>0</v>
      </c>
      <c r="D44" s="190">
        <v>-441.2</v>
      </c>
    </row>
    <row r="45" spans="1:5" ht="15" thickBot="1">
      <c r="A45" s="193" t="s">
        <v>2083</v>
      </c>
      <c r="B45" s="194"/>
      <c r="C45" s="163">
        <f>SUM(C39:C44)</f>
        <v>396552.13000001106</v>
      </c>
      <c r="D45" s="163">
        <f>SUM(D39:D44)</f>
        <v>-1267306.8599999999</v>
      </c>
      <c r="E45" s="201">
        <f>C45-'FC Spr.z przepł.pien.'!B62</f>
        <v>0</v>
      </c>
    </row>
    <row r="46" spans="1:5" ht="15" thickTop="1">
      <c r="A46" s="195"/>
      <c r="B46" s="42"/>
      <c r="C46" s="196"/>
      <c r="D46" s="196"/>
    </row>
    <row r="47" spans="1:5">
      <c r="A47" s="41" t="s">
        <v>2084</v>
      </c>
      <c r="B47" s="36"/>
      <c r="C47" s="47">
        <f>C18+C35+C45</f>
        <v>-820288.06000111997</v>
      </c>
      <c r="D47" s="47">
        <f>D18+D35+D45</f>
        <v>3359697.6900000046</v>
      </c>
      <c r="E47" s="201">
        <f>C47-'FC Spr.z przepł.pien.'!B64</f>
        <v>-1.7462298274040222E-9</v>
      </c>
    </row>
    <row r="48" spans="1:5">
      <c r="A48" s="188" t="s">
        <v>2085</v>
      </c>
      <c r="B48" s="191"/>
      <c r="C48" s="190"/>
      <c r="D48" s="190"/>
      <c r="E48" s="52"/>
    </row>
    <row r="49" spans="1:5">
      <c r="A49" s="41" t="s">
        <v>2086</v>
      </c>
      <c r="B49" s="189">
        <v>13</v>
      </c>
      <c r="C49" s="47">
        <f>'FC Spr.z przepł.pien.'!B66</f>
        <v>1351196.7300000002</v>
      </c>
      <c r="D49" s="47">
        <v>731545.28</v>
      </c>
      <c r="E49" s="201">
        <f>C49-'FC Spr.z przepł.pien.'!B66</f>
        <v>0</v>
      </c>
    </row>
    <row r="50" spans="1:5" ht="15" thickBot="1">
      <c r="A50" s="193" t="s">
        <v>2087</v>
      </c>
      <c r="B50" s="199">
        <v>13</v>
      </c>
      <c r="C50" s="49">
        <f>'FC Spr.z przepł.pien.'!B67</f>
        <v>530908.67000000016</v>
      </c>
      <c r="D50" s="49">
        <f>D49+D47</f>
        <v>4091242.9700000044</v>
      </c>
      <c r="E50" s="201">
        <f>C50-'FC Spr.z przepł.pien.'!B67</f>
        <v>0</v>
      </c>
    </row>
    <row r="51" spans="1:5" ht="15" thickTop="1"/>
  </sheetData>
  <mergeCells count="2">
    <mergeCell ref="A2:A3"/>
    <mergeCell ref="B2:B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72"/>
  <sheetViews>
    <sheetView workbookViewId="0">
      <pane xSplit="3" ySplit="3" topLeftCell="D4" activePane="bottomRight" state="frozen"/>
      <selection pane="topRight"/>
      <selection pane="bottomLeft"/>
      <selection pane="bottomRight" activeCell="I13" sqref="I13"/>
    </sheetView>
  </sheetViews>
  <sheetFormatPr defaultRowHeight="14.4"/>
  <cols>
    <col min="1" max="1" width="1.6640625" style="683" customWidth="1"/>
    <col min="2" max="2" width="60.109375" style="683" customWidth="1"/>
    <col min="3" max="3" width="4.88671875" style="683" customWidth="1"/>
    <col min="4" max="9" width="19.44140625" style="683" customWidth="1"/>
    <col min="10" max="10" width="1.5546875" style="683" customWidth="1"/>
    <col min="11" max="11" width="19.44140625" style="683" customWidth="1"/>
    <col min="12" max="12" width="18.109375" style="683" customWidth="1"/>
    <col min="13" max="16384" width="8.88671875" style="683"/>
  </cols>
  <sheetData>
    <row r="1" spans="2:12" ht="16.95" customHeight="1"/>
    <row r="2" spans="2:12" ht="64.05" customHeight="1">
      <c r="B2" s="684" t="s">
        <v>2886</v>
      </c>
      <c r="C2" s="684" t="s">
        <v>2886</v>
      </c>
      <c r="D2" s="1643" t="s">
        <v>3974</v>
      </c>
      <c r="E2" s="1643" t="s">
        <v>3975</v>
      </c>
      <c r="F2" s="1643" t="s">
        <v>3976</v>
      </c>
      <c r="G2" s="1643" t="s">
        <v>3977</v>
      </c>
      <c r="H2" s="1643" t="s">
        <v>3978</v>
      </c>
      <c r="I2" s="1643" t="s">
        <v>3979</v>
      </c>
      <c r="J2" s="1644" t="s">
        <v>2886</v>
      </c>
      <c r="K2" s="1645" t="s">
        <v>3980</v>
      </c>
      <c r="L2" s="1644" t="s">
        <v>2886</v>
      </c>
    </row>
    <row r="3" spans="2:12" ht="16.95" customHeight="1">
      <c r="B3" s="684" t="s">
        <v>2886</v>
      </c>
      <c r="C3" s="684" t="s">
        <v>2886</v>
      </c>
      <c r="D3" s="1646" t="s">
        <v>2886</v>
      </c>
      <c r="E3" s="1646" t="s">
        <v>2886</v>
      </c>
      <c r="F3" s="1646" t="s">
        <v>2886</v>
      </c>
      <c r="G3" s="1646" t="s">
        <v>2886</v>
      </c>
      <c r="H3" s="1646" t="s">
        <v>2886</v>
      </c>
      <c r="I3" s="1646" t="s">
        <v>2886</v>
      </c>
      <c r="J3" s="1646" t="s">
        <v>2886</v>
      </c>
      <c r="K3" s="1646" t="s">
        <v>2886</v>
      </c>
      <c r="L3" s="1646" t="s">
        <v>2886</v>
      </c>
    </row>
    <row r="4" spans="2:12" ht="31.05" customHeight="1">
      <c r="B4" s="1647" t="s">
        <v>3981</v>
      </c>
      <c r="C4" s="1646" t="s">
        <v>2886</v>
      </c>
      <c r="D4" s="1648"/>
      <c r="E4" s="1649"/>
      <c r="F4" s="1649">
        <v>-1040000</v>
      </c>
      <c r="G4" s="1649"/>
      <c r="H4" s="1649"/>
      <c r="I4" s="1649"/>
      <c r="J4" s="1650"/>
      <c r="K4" s="1651">
        <v>-1040000</v>
      </c>
      <c r="L4" s="1866" t="s">
        <v>3788</v>
      </c>
    </row>
    <row r="5" spans="2:12" ht="31.05" customHeight="1">
      <c r="B5" s="1653" t="s">
        <v>3982</v>
      </c>
      <c r="C5" s="1646" t="s">
        <v>2886</v>
      </c>
      <c r="D5" s="1654"/>
      <c r="E5" s="1655"/>
      <c r="F5" s="1655"/>
      <c r="G5" s="1655"/>
      <c r="H5" s="1655"/>
      <c r="I5" s="1655">
        <v>38200</v>
      </c>
      <c r="J5" s="1650"/>
      <c r="K5" s="1656">
        <v>38200</v>
      </c>
      <c r="L5" s="1866"/>
    </row>
    <row r="6" spans="2:12" ht="31.05" customHeight="1">
      <c r="B6" s="1653" t="s">
        <v>3983</v>
      </c>
      <c r="C6" s="1646" t="s">
        <v>2886</v>
      </c>
      <c r="D6" s="1654"/>
      <c r="E6" s="1655"/>
      <c r="F6" s="1655">
        <v>-5900</v>
      </c>
      <c r="G6" s="1655"/>
      <c r="H6" s="1655">
        <v>-33420</v>
      </c>
      <c r="I6" s="1655"/>
      <c r="J6" s="1650"/>
      <c r="K6" s="1656">
        <v>-39320</v>
      </c>
      <c r="L6" s="1866"/>
    </row>
    <row r="7" spans="2:12" ht="31.05" customHeight="1">
      <c r="B7" s="1653" t="s">
        <v>3984</v>
      </c>
      <c r="C7" s="1646" t="s">
        <v>2886</v>
      </c>
      <c r="D7" s="1654"/>
      <c r="E7" s="1655">
        <v>29234755.550000001</v>
      </c>
      <c r="F7" s="1655">
        <v>28825786.399999999</v>
      </c>
      <c r="G7" s="1655">
        <v>7042175.5599999996</v>
      </c>
      <c r="H7" s="1655">
        <v>14665273.119999999</v>
      </c>
      <c r="I7" s="1655">
        <v>237422.68</v>
      </c>
      <c r="J7" s="1650"/>
      <c r="K7" s="1656">
        <v>80005413.310000002</v>
      </c>
      <c r="L7" s="1866"/>
    </row>
    <row r="8" spans="2:12" ht="34.950000000000003" customHeight="1">
      <c r="B8" s="1657" t="s">
        <v>3985</v>
      </c>
      <c r="C8" s="1646" t="s">
        <v>2886</v>
      </c>
      <c r="D8" s="1658"/>
      <c r="E8" s="1658">
        <f>'noty do bilansu'!B24</f>
        <v>29234755.550000001</v>
      </c>
      <c r="F8" s="1658">
        <f>'noty do bilansu'!C24</f>
        <v>27779886.400000002</v>
      </c>
      <c r="G8" s="1658">
        <f>'noty do bilansu'!D24</f>
        <v>7042175.5599999996</v>
      </c>
      <c r="H8" s="1658">
        <f>'noty do bilansu'!E24</f>
        <v>14631853.119999999</v>
      </c>
      <c r="I8" s="1658">
        <f>'noty do bilansu'!F24</f>
        <v>275622.679999999</v>
      </c>
      <c r="J8" s="1658"/>
      <c r="K8" s="1658">
        <v>78964293.310000002</v>
      </c>
      <c r="L8" s="1652"/>
    </row>
    <row r="9" spans="2:12" ht="16.05" customHeight="1">
      <c r="B9" s="1659" t="s">
        <v>2886</v>
      </c>
      <c r="C9" s="1646" t="s">
        <v>2886</v>
      </c>
      <c r="D9" s="1660" t="s">
        <v>2886</v>
      </c>
      <c r="E9" s="1660" t="s">
        <v>2886</v>
      </c>
      <c r="F9" s="1660" t="s">
        <v>2886</v>
      </c>
      <c r="G9" s="1660" t="s">
        <v>2886</v>
      </c>
      <c r="H9" s="1660" t="s">
        <v>2886</v>
      </c>
      <c r="I9" s="1660" t="s">
        <v>2886</v>
      </c>
      <c r="J9" s="1660" t="s">
        <v>2886</v>
      </c>
      <c r="K9" s="1660" t="s">
        <v>2886</v>
      </c>
      <c r="L9" s="1660" t="s">
        <v>2886</v>
      </c>
    </row>
    <row r="10" spans="2:12" ht="37.049999999999997" customHeight="1">
      <c r="B10" s="1647" t="s">
        <v>3986</v>
      </c>
      <c r="C10" s="1646" t="s">
        <v>2886</v>
      </c>
      <c r="D10" s="1648"/>
      <c r="E10" s="1649"/>
      <c r="F10" s="1649"/>
      <c r="G10" s="1649"/>
      <c r="H10" s="1649"/>
      <c r="I10" s="1649"/>
      <c r="J10" s="1650"/>
      <c r="K10" s="1651"/>
      <c r="L10" s="1661" t="s">
        <v>3987</v>
      </c>
    </row>
    <row r="11" spans="2:12" ht="13.05" customHeight="1">
      <c r="B11" s="1659" t="s">
        <v>2886</v>
      </c>
      <c r="C11" s="1646" t="s">
        <v>2886</v>
      </c>
      <c r="D11" s="1660" t="s">
        <v>2886</v>
      </c>
      <c r="E11" s="1660" t="s">
        <v>2886</v>
      </c>
      <c r="F11" s="1660" t="s">
        <v>2886</v>
      </c>
      <c r="G11" s="1660" t="s">
        <v>2886</v>
      </c>
      <c r="H11" s="1660" t="s">
        <v>2886</v>
      </c>
      <c r="I11" s="1660" t="s">
        <v>2886</v>
      </c>
      <c r="J11" s="1660" t="s">
        <v>2886</v>
      </c>
      <c r="K11" s="1660" t="s">
        <v>2886</v>
      </c>
      <c r="L11" s="1660" t="s">
        <v>2886</v>
      </c>
    </row>
    <row r="12" spans="2:12" ht="31.05" customHeight="1">
      <c r="B12" s="1647" t="s">
        <v>3988</v>
      </c>
      <c r="C12" s="1646" t="s">
        <v>2886</v>
      </c>
      <c r="D12" s="1648"/>
      <c r="E12" s="1649"/>
      <c r="F12" s="1649"/>
      <c r="G12" s="1649"/>
      <c r="H12" s="1649"/>
      <c r="I12" s="1649"/>
      <c r="J12" s="1650"/>
      <c r="K12" s="1651"/>
      <c r="L12" s="1652"/>
    </row>
    <row r="13" spans="2:12" ht="31.05" customHeight="1">
      <c r="B13" s="1653" t="s">
        <v>3984</v>
      </c>
      <c r="C13" s="1646" t="s">
        <v>2886</v>
      </c>
      <c r="D13" s="1654"/>
      <c r="E13" s="1655"/>
      <c r="F13" s="1655"/>
      <c r="G13" s="1655"/>
      <c r="H13" s="1655"/>
      <c r="I13" s="1655">
        <f>-Przepływy!D190</f>
        <v>820787.19999999902</v>
      </c>
      <c r="J13" s="1650"/>
      <c r="K13" s="1656">
        <f>SUM(D13:I13)</f>
        <v>820787.19999999902</v>
      </c>
      <c r="L13" s="1652"/>
    </row>
    <row r="14" spans="2:12" ht="31.05" customHeight="1">
      <c r="B14" s="1662" t="s">
        <v>3989</v>
      </c>
      <c r="C14" s="1646" t="s">
        <v>2886</v>
      </c>
      <c r="D14" s="1663"/>
      <c r="E14" s="1663"/>
      <c r="F14" s="1663"/>
      <c r="G14" s="1663"/>
      <c r="H14" s="1663"/>
      <c r="I14" s="1663">
        <f>I13</f>
        <v>820787.19999999902</v>
      </c>
      <c r="J14" s="1650"/>
      <c r="K14" s="1663">
        <f>K13</f>
        <v>820787.19999999902</v>
      </c>
      <c r="L14" s="1652"/>
    </row>
    <row r="15" spans="2:12" ht="31.05" customHeight="1">
      <c r="B15" s="1653" t="s">
        <v>3990</v>
      </c>
      <c r="C15" s="1646" t="s">
        <v>2886</v>
      </c>
      <c r="D15" s="1654"/>
      <c r="E15" s="1655"/>
      <c r="F15" s="1655">
        <f>'noty do bilansu'!C26</f>
        <v>839233.22000000009</v>
      </c>
      <c r="G15" s="1655">
        <f>'noty do bilansu'!D26</f>
        <v>113378.8</v>
      </c>
      <c r="H15" s="1655">
        <f>'noty do bilansu'!E26</f>
        <v>65612.94</v>
      </c>
      <c r="I15" s="1655">
        <f>-(D15+E15+F15+G15+H15)</f>
        <v>-1018224.9600000002</v>
      </c>
      <c r="J15" s="1650"/>
      <c r="K15" s="1656">
        <f>SUM(D15:I15)</f>
        <v>0</v>
      </c>
      <c r="L15" s="1661" t="s">
        <v>3991</v>
      </c>
    </row>
    <row r="16" spans="2:12" ht="13.05" customHeight="1">
      <c r="B16" s="1659" t="s">
        <v>2886</v>
      </c>
      <c r="C16" s="1646" t="s">
        <v>2886</v>
      </c>
      <c r="D16" s="1660" t="s">
        <v>2886</v>
      </c>
      <c r="E16" s="1660" t="s">
        <v>2886</v>
      </c>
      <c r="F16" s="1660" t="s">
        <v>2886</v>
      </c>
      <c r="G16" s="1660" t="s">
        <v>2886</v>
      </c>
      <c r="H16" s="1660" t="s">
        <v>2886</v>
      </c>
      <c r="I16" s="1660" t="s">
        <v>2886</v>
      </c>
      <c r="J16" s="1660" t="s">
        <v>2886</v>
      </c>
      <c r="K16" s="1660" t="s">
        <v>2886</v>
      </c>
      <c r="L16" s="1660" t="s">
        <v>2886</v>
      </c>
    </row>
    <row r="17" spans="2:12" ht="31.05" customHeight="1">
      <c r="B17" s="1647" t="s">
        <v>3988</v>
      </c>
      <c r="C17" s="1646" t="s">
        <v>2886</v>
      </c>
      <c r="D17" s="1648"/>
      <c r="E17" s="1649"/>
      <c r="F17" s="1649"/>
      <c r="G17" s="1649"/>
      <c r="H17" s="1649"/>
      <c r="I17" s="1649"/>
      <c r="J17" s="1650"/>
      <c r="K17" s="1656">
        <f>SUM(D17:I17)</f>
        <v>0</v>
      </c>
      <c r="L17" s="1652"/>
    </row>
    <row r="18" spans="2:12" ht="31.05" customHeight="1">
      <c r="B18" s="1653" t="s">
        <v>3984</v>
      </c>
      <c r="C18" s="1646" t="s">
        <v>2886</v>
      </c>
      <c r="D18" s="1654"/>
      <c r="E18" s="1655"/>
      <c r="F18" s="1655"/>
      <c r="G18" s="1655"/>
      <c r="H18" s="1655"/>
      <c r="I18" s="1655"/>
      <c r="J18" s="1650"/>
      <c r="K18" s="1656">
        <f>SUM(D18:I18)</f>
        <v>0</v>
      </c>
      <c r="L18" s="1652"/>
    </row>
    <row r="19" spans="2:12" ht="31.05" customHeight="1">
      <c r="B19" s="1664" t="s">
        <v>3992</v>
      </c>
      <c r="C19" s="1646" t="s">
        <v>2886</v>
      </c>
      <c r="D19" s="1665"/>
      <c r="E19" s="1665"/>
      <c r="F19" s="1665"/>
      <c r="G19" s="1665"/>
      <c r="H19" s="1665"/>
      <c r="I19" s="1665"/>
      <c r="J19" s="1650"/>
      <c r="K19" s="1656">
        <f>SUM(D19:I19)</f>
        <v>0</v>
      </c>
      <c r="L19" s="1652"/>
    </row>
    <row r="20" spans="2:12" ht="31.05" customHeight="1">
      <c r="B20" s="1653" t="s">
        <v>3993</v>
      </c>
      <c r="C20" s="1646" t="s">
        <v>2886</v>
      </c>
      <c r="D20" s="1654"/>
      <c r="E20" s="1655"/>
      <c r="F20" s="1655"/>
      <c r="G20" s="1655"/>
      <c r="H20" s="1655"/>
      <c r="I20" s="1655"/>
      <c r="J20" s="1650"/>
      <c r="K20" s="1656">
        <f>SUM(D20:I20)</f>
        <v>0</v>
      </c>
      <c r="L20" s="1661" t="s">
        <v>3991</v>
      </c>
    </row>
    <row r="21" spans="2:12" ht="31.05" customHeight="1">
      <c r="B21" s="1653" t="s">
        <v>3994</v>
      </c>
      <c r="C21" s="1646" t="s">
        <v>2886</v>
      </c>
      <c r="D21" s="1654"/>
      <c r="E21" s="1655"/>
      <c r="F21" s="1655"/>
      <c r="G21" s="1655"/>
      <c r="H21" s="1655"/>
      <c r="I21" s="1655"/>
      <c r="J21" s="1650"/>
      <c r="K21" s="1656">
        <f t="shared" ref="K21:K33" si="0">SUM(D21:I21)</f>
        <v>0</v>
      </c>
      <c r="L21" s="1652"/>
    </row>
    <row r="22" spans="2:12" ht="31.05" customHeight="1">
      <c r="B22" s="1653" t="s">
        <v>3995</v>
      </c>
      <c r="C22" s="1646" t="s">
        <v>2886</v>
      </c>
      <c r="D22" s="1654"/>
      <c r="E22" s="1655">
        <f>'noty do bilansu'!B27</f>
        <v>0</v>
      </c>
      <c r="F22" s="1655">
        <f>'noty do bilansu'!C27</f>
        <v>-225321.94</v>
      </c>
      <c r="G22" s="1655">
        <f>'noty do bilansu'!D27</f>
        <v>-189407</v>
      </c>
      <c r="H22" s="1655">
        <f>'noty do bilansu'!E27</f>
        <v>-76690.820000000007</v>
      </c>
      <c r="I22" s="1655">
        <f>'noty do bilansu'!F27</f>
        <v>0</v>
      </c>
      <c r="J22" s="1650"/>
      <c r="K22" s="1656">
        <f t="shared" si="0"/>
        <v>-491419.76</v>
      </c>
      <c r="L22" s="1652"/>
    </row>
    <row r="23" spans="2:12" ht="31.05" customHeight="1">
      <c r="B23" s="1653" t="s">
        <v>3996</v>
      </c>
      <c r="C23" s="1646" t="s">
        <v>2886</v>
      </c>
      <c r="D23" s="1654"/>
      <c r="E23" s="1655"/>
      <c r="F23" s="1655"/>
      <c r="G23" s="1655"/>
      <c r="H23" s="1655"/>
      <c r="I23" s="1655"/>
      <c r="J23" s="1650"/>
      <c r="K23" s="1656">
        <f t="shared" si="0"/>
        <v>0</v>
      </c>
      <c r="L23" s="1652"/>
    </row>
    <row r="24" spans="2:12" ht="37.049999999999997" customHeight="1">
      <c r="B24" s="1666" t="s">
        <v>3997</v>
      </c>
      <c r="C24" s="1646" t="s">
        <v>2886</v>
      </c>
      <c r="D24" s="1667"/>
      <c r="E24" s="1668"/>
      <c r="F24" s="1668"/>
      <c r="G24" s="1668"/>
      <c r="H24" s="1668"/>
      <c r="I24" s="1668"/>
      <c r="J24" s="1650"/>
      <c r="K24" s="1656">
        <f t="shared" si="0"/>
        <v>0</v>
      </c>
      <c r="L24" s="1652"/>
    </row>
    <row r="25" spans="2:12" ht="37.049999999999997" customHeight="1">
      <c r="B25" s="1666" t="s">
        <v>3998</v>
      </c>
      <c r="C25" s="1646" t="s">
        <v>2886</v>
      </c>
      <c r="D25" s="1667"/>
      <c r="E25" s="1668"/>
      <c r="F25" s="1668"/>
      <c r="G25" s="1668"/>
      <c r="H25" s="1668"/>
      <c r="I25" s="1668"/>
      <c r="J25" s="1650"/>
      <c r="K25" s="1656">
        <f t="shared" si="0"/>
        <v>0</v>
      </c>
      <c r="L25" s="1652"/>
    </row>
    <row r="26" spans="2:12" ht="31.05" customHeight="1">
      <c r="B26" s="1653" t="s">
        <v>3999</v>
      </c>
      <c r="C26" s="1646" t="s">
        <v>2886</v>
      </c>
      <c r="D26" s="1654"/>
      <c r="E26" s="1655"/>
      <c r="F26" s="1655"/>
      <c r="G26" s="1655"/>
      <c r="H26" s="1655"/>
      <c r="I26" s="1655"/>
      <c r="J26" s="1650"/>
      <c r="K26" s="1656">
        <f t="shared" si="0"/>
        <v>0</v>
      </c>
      <c r="L26" s="1652"/>
    </row>
    <row r="27" spans="2:12" ht="31.05" customHeight="1">
      <c r="B27" s="1653" t="s">
        <v>4000</v>
      </c>
      <c r="C27" s="1646" t="s">
        <v>2886</v>
      </c>
      <c r="D27" s="1654"/>
      <c r="E27" s="1655"/>
      <c r="F27" s="1655"/>
      <c r="G27" s="1655"/>
      <c r="H27" s="1655"/>
      <c r="I27" s="1655"/>
      <c r="J27" s="1650"/>
      <c r="K27" s="1656">
        <f t="shared" si="0"/>
        <v>0</v>
      </c>
      <c r="L27" s="1652"/>
    </row>
    <row r="28" spans="2:12" ht="31.05" customHeight="1">
      <c r="B28" s="1653" t="s">
        <v>4001</v>
      </c>
      <c r="C28" s="1646" t="s">
        <v>2886</v>
      </c>
      <c r="D28" s="1654"/>
      <c r="E28" s="1655"/>
      <c r="F28" s="1655"/>
      <c r="G28" s="1655"/>
      <c r="H28" s="1655"/>
      <c r="I28" s="1655"/>
      <c r="J28" s="1650"/>
      <c r="K28" s="1656">
        <f t="shared" si="0"/>
        <v>0</v>
      </c>
      <c r="L28" s="1652"/>
    </row>
    <row r="29" spans="2:12" ht="31.05" customHeight="1">
      <c r="B29" s="1653" t="s">
        <v>4002</v>
      </c>
      <c r="C29" s="1646" t="s">
        <v>2886</v>
      </c>
      <c r="D29" s="1654"/>
      <c r="E29" s="1655"/>
      <c r="F29" s="1655"/>
      <c r="G29" s="1655"/>
      <c r="H29" s="1655"/>
      <c r="I29" s="1655"/>
      <c r="J29" s="1650"/>
      <c r="K29" s="1656">
        <f t="shared" si="0"/>
        <v>0</v>
      </c>
      <c r="L29" s="1652"/>
    </row>
    <row r="30" spans="2:12" ht="31.05" customHeight="1">
      <c r="B30" s="1653" t="s">
        <v>4003</v>
      </c>
      <c r="C30" s="1646" t="s">
        <v>2886</v>
      </c>
      <c r="D30" s="1654"/>
      <c r="E30" s="1655"/>
      <c r="F30" s="1655">
        <f>-'środki trwałe - amortyzacja '!F27</f>
        <v>1319.9999999999063</v>
      </c>
      <c r="G30" s="1655"/>
      <c r="H30" s="1655"/>
      <c r="I30" s="1655"/>
      <c r="J30" s="1650"/>
      <c r="K30" s="1656">
        <f t="shared" si="0"/>
        <v>1319.9999999999063</v>
      </c>
      <c r="L30" s="1652"/>
    </row>
    <row r="31" spans="2:12" ht="31.05" customHeight="1">
      <c r="B31" s="1653" t="s">
        <v>4004</v>
      </c>
      <c r="C31" s="1646" t="s">
        <v>2886</v>
      </c>
      <c r="D31" s="1654"/>
      <c r="E31" s="1655"/>
      <c r="F31" s="1655"/>
      <c r="G31" s="1655"/>
      <c r="H31" s="1655"/>
      <c r="I31" s="1655"/>
      <c r="J31" s="1650"/>
      <c r="K31" s="1656">
        <f t="shared" si="0"/>
        <v>0</v>
      </c>
      <c r="L31" s="1652"/>
    </row>
    <row r="32" spans="2:12" ht="31.05" customHeight="1">
      <c r="B32" s="1653" t="s">
        <v>4005</v>
      </c>
      <c r="C32" s="1646" t="s">
        <v>2886</v>
      </c>
      <c r="D32" s="1654"/>
      <c r="E32" s="1655"/>
      <c r="F32" s="1655"/>
      <c r="G32" s="1655"/>
      <c r="H32" s="1655"/>
      <c r="I32" s="1655"/>
      <c r="J32" s="1650"/>
      <c r="K32" s="1656">
        <f t="shared" si="0"/>
        <v>0</v>
      </c>
      <c r="L32" s="1652"/>
    </row>
    <row r="33" spans="2:12" ht="31.05" customHeight="1">
      <c r="B33" s="1653" t="s">
        <v>4006</v>
      </c>
      <c r="C33" s="1646" t="s">
        <v>2886</v>
      </c>
      <c r="D33" s="1654"/>
      <c r="E33" s="1655"/>
      <c r="F33" s="1655"/>
      <c r="G33" s="1655"/>
      <c r="H33" s="1655"/>
      <c r="I33" s="1655"/>
      <c r="J33" s="1650"/>
      <c r="K33" s="1656">
        <f t="shared" si="0"/>
        <v>0</v>
      </c>
      <c r="L33" s="1652"/>
    </row>
    <row r="34" spans="2:12" ht="34.950000000000003" customHeight="1">
      <c r="B34" s="1669" t="s">
        <v>4007</v>
      </c>
      <c r="C34" s="1646" t="s">
        <v>2886</v>
      </c>
      <c r="D34" s="1670"/>
      <c r="E34" s="1671">
        <f>E8+E14+E15+SUM(E20:E33)</f>
        <v>29234755.550000001</v>
      </c>
      <c r="F34" s="1671">
        <f t="shared" ref="F34:I34" si="1">F8+F14+F15+SUM(F20:F33)</f>
        <v>28395117.68</v>
      </c>
      <c r="G34" s="1671">
        <f t="shared" si="1"/>
        <v>6966147.3599999994</v>
      </c>
      <c r="H34" s="1671">
        <f t="shared" si="1"/>
        <v>14620775.239999998</v>
      </c>
      <c r="I34" s="1671">
        <f t="shared" si="1"/>
        <v>78184.91999999783</v>
      </c>
      <c r="J34" s="1650"/>
      <c r="K34" s="1670">
        <f>SUM(D34:I34)</f>
        <v>79294980.75</v>
      </c>
      <c r="L34" s="1652"/>
    </row>
    <row r="35" spans="2:12" ht="13.05" customHeight="1">
      <c r="B35" s="1659" t="s">
        <v>2886</v>
      </c>
      <c r="C35" s="1646" t="s">
        <v>2886</v>
      </c>
      <c r="D35" s="1660" t="s">
        <v>2886</v>
      </c>
      <c r="E35" s="1660" t="s">
        <v>2886</v>
      </c>
      <c r="F35" s="1660" t="s">
        <v>2886</v>
      </c>
      <c r="G35" s="1660" t="s">
        <v>2886</v>
      </c>
      <c r="H35" s="1660" t="s">
        <v>2886</v>
      </c>
      <c r="I35" s="1660" t="s">
        <v>2886</v>
      </c>
      <c r="J35" s="1660" t="s">
        <v>2886</v>
      </c>
      <c r="K35" s="1660" t="s">
        <v>2886</v>
      </c>
      <c r="L35" s="1660" t="s">
        <v>2886</v>
      </c>
    </row>
    <row r="36" spans="2:12" ht="31.05" customHeight="1">
      <c r="B36" s="1647" t="s">
        <v>4008</v>
      </c>
      <c r="C36" s="1646" t="s">
        <v>2886</v>
      </c>
      <c r="D36" s="1648"/>
      <c r="E36" s="1649"/>
      <c r="F36" s="1649">
        <v>-884000.34</v>
      </c>
      <c r="G36" s="1649"/>
      <c r="H36" s="1649"/>
      <c r="I36" s="1649"/>
      <c r="J36" s="1650"/>
      <c r="K36" s="1656">
        <f t="shared" ref="K36:K38" si="2">SUM(D36:I36)</f>
        <v>-884000.34</v>
      </c>
      <c r="L36" s="1866" t="s">
        <v>3788</v>
      </c>
    </row>
    <row r="37" spans="2:12" ht="31.05" customHeight="1">
      <c r="B37" s="1653" t="s">
        <v>4009</v>
      </c>
      <c r="C37" s="1646" t="s">
        <v>2886</v>
      </c>
      <c r="D37" s="1654"/>
      <c r="E37" s="1655"/>
      <c r="F37" s="1655">
        <v>-5900</v>
      </c>
      <c r="G37" s="1655"/>
      <c r="H37" s="1655">
        <v>-26620.240000000002</v>
      </c>
      <c r="I37" s="1655"/>
      <c r="J37" s="1650"/>
      <c r="K37" s="1656">
        <f t="shared" si="2"/>
        <v>-32520.240000000002</v>
      </c>
      <c r="L37" s="1866"/>
    </row>
    <row r="38" spans="2:12" ht="31.05" customHeight="1">
      <c r="B38" s="1653" t="s">
        <v>4010</v>
      </c>
      <c r="C38" s="1646" t="s">
        <v>2886</v>
      </c>
      <c r="D38" s="1654"/>
      <c r="E38" s="1655">
        <v>15465470.800000001</v>
      </c>
      <c r="F38" s="1655">
        <v>23414580.030000001</v>
      </c>
      <c r="G38" s="1655">
        <v>4316010</v>
      </c>
      <c r="H38" s="1655">
        <v>13493618.25</v>
      </c>
      <c r="I38" s="1655"/>
      <c r="J38" s="1650"/>
      <c r="K38" s="1656">
        <f t="shared" si="2"/>
        <v>56689679.079999998</v>
      </c>
      <c r="L38" s="1866"/>
    </row>
    <row r="39" spans="2:12" ht="34.950000000000003" customHeight="1">
      <c r="B39" s="1672" t="s">
        <v>4011</v>
      </c>
      <c r="C39" s="1646" t="s">
        <v>2886</v>
      </c>
      <c r="D39" s="1673"/>
      <c r="E39" s="1658">
        <f>'noty do bilansu'!B31</f>
        <v>15465470.800000001</v>
      </c>
      <c r="F39" s="1658">
        <f>'noty do bilansu'!C31</f>
        <v>22524679.690000001</v>
      </c>
      <c r="G39" s="1658">
        <f>'noty do bilansu'!D31</f>
        <v>4316010</v>
      </c>
      <c r="H39" s="1658">
        <f>'noty do bilansu'!E31</f>
        <v>13466998.01</v>
      </c>
      <c r="I39" s="1658"/>
      <c r="J39" s="1650"/>
      <c r="K39" s="1673">
        <f>SUM(D39:I39)</f>
        <v>55773158.5</v>
      </c>
      <c r="L39" s="1652"/>
    </row>
    <row r="40" spans="2:12" ht="16.05" customHeight="1">
      <c r="B40" s="1659" t="s">
        <v>2886</v>
      </c>
      <c r="C40" s="1646" t="s">
        <v>2886</v>
      </c>
      <c r="D40" s="1660" t="s">
        <v>2886</v>
      </c>
      <c r="E40" s="1660" t="s">
        <v>2886</v>
      </c>
      <c r="F40" s="1660" t="s">
        <v>2886</v>
      </c>
      <c r="G40" s="1660" t="s">
        <v>2886</v>
      </c>
      <c r="H40" s="1660" t="s">
        <v>2886</v>
      </c>
      <c r="I40" s="1660" t="s">
        <v>2886</v>
      </c>
      <c r="J40" s="1660" t="s">
        <v>2886</v>
      </c>
      <c r="K40" s="1660" t="s">
        <v>2886</v>
      </c>
      <c r="L40" s="1660" t="s">
        <v>2886</v>
      </c>
    </row>
    <row r="41" spans="2:12" ht="37.049999999999997" customHeight="1">
      <c r="B41" s="1647" t="s">
        <v>4012</v>
      </c>
      <c r="C41" s="1646" t="s">
        <v>2886</v>
      </c>
      <c r="D41" s="1648"/>
      <c r="E41" s="1649"/>
      <c r="F41" s="1649"/>
      <c r="G41" s="1649"/>
      <c r="H41" s="1649"/>
      <c r="I41" s="1649"/>
      <c r="J41" s="1650"/>
      <c r="K41" s="1651"/>
      <c r="L41" s="1661" t="s">
        <v>3987</v>
      </c>
    </row>
    <row r="42" spans="2:12" ht="16.05" customHeight="1">
      <c r="B42" s="1659" t="s">
        <v>2886</v>
      </c>
      <c r="C42" s="1646" t="s">
        <v>2886</v>
      </c>
      <c r="D42" s="1660" t="s">
        <v>2886</v>
      </c>
      <c r="E42" s="1660" t="s">
        <v>2886</v>
      </c>
      <c r="F42" s="1660" t="s">
        <v>2886</v>
      </c>
      <c r="G42" s="1660" t="s">
        <v>2886</v>
      </c>
      <c r="H42" s="1660" t="s">
        <v>2886</v>
      </c>
      <c r="I42" s="1660" t="s">
        <v>2886</v>
      </c>
      <c r="J42" s="1660" t="s">
        <v>2886</v>
      </c>
      <c r="K42" s="1660" t="s">
        <v>2886</v>
      </c>
      <c r="L42" s="1660" t="s">
        <v>2886</v>
      </c>
    </row>
    <row r="43" spans="2:12" ht="31.05" customHeight="1">
      <c r="B43" s="1647" t="s">
        <v>4013</v>
      </c>
      <c r="C43" s="1646" t="s">
        <v>2886</v>
      </c>
      <c r="D43" s="1648"/>
      <c r="E43" s="1649">
        <f>'noty do bilansu'!B32</f>
        <v>529529.06000000006</v>
      </c>
      <c r="F43" s="1649">
        <f>'noty do bilansu'!C32</f>
        <v>751329.8600000001</v>
      </c>
      <c r="G43" s="1649">
        <f>'noty do bilansu'!D32</f>
        <v>363521.47</v>
      </c>
      <c r="H43" s="1649">
        <f>'noty do bilansu'!E32</f>
        <v>214160.24</v>
      </c>
      <c r="I43" s="1649"/>
      <c r="J43" s="1650"/>
      <c r="K43" s="1656">
        <f>SUM(D43:I43)</f>
        <v>1858540.6300000001</v>
      </c>
      <c r="L43" s="1652"/>
    </row>
    <row r="44" spans="2:12" ht="31.05" customHeight="1">
      <c r="B44" s="1653" t="s">
        <v>4014</v>
      </c>
      <c r="C44" s="1646" t="s">
        <v>2886</v>
      </c>
      <c r="D44" s="1654"/>
      <c r="E44" s="1655"/>
      <c r="F44" s="1655">
        <f>'RZiS, koszty rodz.'!B221</f>
        <v>1501.97</v>
      </c>
      <c r="G44" s="1655"/>
      <c r="H44" s="1655"/>
      <c r="I44" s="1655"/>
      <c r="J44" s="1650"/>
      <c r="K44" s="1656">
        <f t="shared" ref="K44:K66" si="3">SUM(D44:I44)</f>
        <v>1501.97</v>
      </c>
      <c r="L44" s="1652"/>
    </row>
    <row r="45" spans="2:12" ht="31.05" customHeight="1">
      <c r="B45" s="1653" t="s">
        <v>4015</v>
      </c>
      <c r="C45" s="1646" t="s">
        <v>2886</v>
      </c>
      <c r="D45" s="1654"/>
      <c r="E45" s="1655"/>
      <c r="F45" s="1655"/>
      <c r="G45" s="1655"/>
      <c r="H45" s="1655"/>
      <c r="I45" s="1655"/>
      <c r="J45" s="1650"/>
      <c r="K45" s="1656">
        <f t="shared" si="3"/>
        <v>0</v>
      </c>
      <c r="L45" s="1652"/>
    </row>
    <row r="46" spans="2:12" ht="31.05" customHeight="1">
      <c r="B46" s="1653" t="s">
        <v>4016</v>
      </c>
      <c r="C46" s="1646" t="s">
        <v>2886</v>
      </c>
      <c r="D46" s="1654"/>
      <c r="E46" s="1655"/>
      <c r="F46" s="1655"/>
      <c r="G46" s="1655"/>
      <c r="H46" s="1655"/>
      <c r="I46" s="1655"/>
      <c r="J46" s="1650"/>
      <c r="K46" s="1656">
        <f t="shared" si="3"/>
        <v>0</v>
      </c>
      <c r="L46" s="1652"/>
    </row>
    <row r="47" spans="2:12" ht="31.05" customHeight="1">
      <c r="B47" s="1653" t="s">
        <v>4017</v>
      </c>
      <c r="C47" s="1646" t="s">
        <v>2886</v>
      </c>
      <c r="D47" s="1654"/>
      <c r="E47" s="1655"/>
      <c r="F47" s="1655"/>
      <c r="G47" s="1655"/>
      <c r="H47" s="1655"/>
      <c r="I47" s="1655"/>
      <c r="J47" s="1650"/>
      <c r="K47" s="1656">
        <f t="shared" si="3"/>
        <v>0</v>
      </c>
      <c r="L47" s="1652"/>
    </row>
    <row r="48" spans="2:12" ht="31.05" customHeight="1">
      <c r="B48" s="1653" t="s">
        <v>4018</v>
      </c>
      <c r="C48" s="1646" t="s">
        <v>2886</v>
      </c>
      <c r="D48" s="1654"/>
      <c r="E48" s="1655"/>
      <c r="F48" s="1655"/>
      <c r="G48" s="1655"/>
      <c r="H48" s="1655"/>
      <c r="I48" s="1655"/>
      <c r="J48" s="1650"/>
      <c r="K48" s="1656">
        <f t="shared" si="3"/>
        <v>0</v>
      </c>
      <c r="L48" s="1652"/>
    </row>
    <row r="49" spans="2:12" ht="31.05" customHeight="1">
      <c r="B49" s="1653" t="s">
        <v>4019</v>
      </c>
      <c r="C49" s="1646" t="s">
        <v>2886</v>
      </c>
      <c r="D49" s="1654"/>
      <c r="E49" s="1655"/>
      <c r="F49" s="1655"/>
      <c r="G49" s="1655"/>
      <c r="H49" s="1655"/>
      <c r="I49" s="1655"/>
      <c r="J49" s="1650"/>
      <c r="K49" s="1656">
        <f t="shared" si="3"/>
        <v>0</v>
      </c>
      <c r="L49" s="1652"/>
    </row>
    <row r="50" spans="2:12" ht="31.05" customHeight="1">
      <c r="B50" s="1653" t="s">
        <v>4020</v>
      </c>
      <c r="C50" s="1646" t="s">
        <v>2886</v>
      </c>
      <c r="D50" s="1654"/>
      <c r="E50" s="1655"/>
      <c r="F50" s="1655"/>
      <c r="G50" s="1655"/>
      <c r="H50" s="1655"/>
      <c r="I50" s="1655"/>
      <c r="J50" s="1650"/>
      <c r="K50" s="1656">
        <f t="shared" si="3"/>
        <v>0</v>
      </c>
      <c r="L50" s="1652"/>
    </row>
    <row r="51" spans="2:12" ht="13.05" customHeight="1">
      <c r="B51" s="1659" t="s">
        <v>2886</v>
      </c>
      <c r="C51" s="1646" t="s">
        <v>2886</v>
      </c>
      <c r="D51" s="1660" t="s">
        <v>2886</v>
      </c>
      <c r="E51" s="1660" t="s">
        <v>2886</v>
      </c>
      <c r="F51" s="1660" t="s">
        <v>2886</v>
      </c>
      <c r="G51" s="1660" t="s">
        <v>2886</v>
      </c>
      <c r="H51" s="1660" t="s">
        <v>2886</v>
      </c>
      <c r="I51" s="1660" t="s">
        <v>2886</v>
      </c>
      <c r="J51" s="1660" t="s">
        <v>2886</v>
      </c>
      <c r="K51" s="1660" t="s">
        <v>2886</v>
      </c>
      <c r="L51" s="1660" t="s">
        <v>2886</v>
      </c>
    </row>
    <row r="52" spans="2:12" ht="31.05" customHeight="1">
      <c r="B52" s="1647" t="s">
        <v>4021</v>
      </c>
      <c r="C52" s="1646" t="s">
        <v>2886</v>
      </c>
      <c r="D52" s="1648"/>
      <c r="E52" s="1649"/>
      <c r="F52" s="1649"/>
      <c r="G52" s="1649"/>
      <c r="H52" s="1649"/>
      <c r="I52" s="1649"/>
      <c r="J52" s="1650"/>
      <c r="K52" s="1656">
        <f t="shared" si="3"/>
        <v>0</v>
      </c>
      <c r="L52" s="1652"/>
    </row>
    <row r="53" spans="2:12" ht="31.05" customHeight="1">
      <c r="B53" s="1653" t="s">
        <v>4010</v>
      </c>
      <c r="C53" s="1646" t="s">
        <v>2886</v>
      </c>
      <c r="D53" s="1654"/>
      <c r="E53" s="1655"/>
      <c r="F53" s="1655"/>
      <c r="G53" s="1655"/>
      <c r="H53" s="1655"/>
      <c r="I53" s="1655"/>
      <c r="J53" s="1650"/>
      <c r="K53" s="1656">
        <f t="shared" si="3"/>
        <v>0</v>
      </c>
      <c r="L53" s="1652"/>
    </row>
    <row r="54" spans="2:12" ht="34.950000000000003" customHeight="1">
      <c r="B54" s="1664" t="s">
        <v>4022</v>
      </c>
      <c r="C54" s="1646" t="s">
        <v>2886</v>
      </c>
      <c r="D54" s="1665"/>
      <c r="E54" s="1665"/>
      <c r="F54" s="1665"/>
      <c r="G54" s="1665"/>
      <c r="H54" s="1665"/>
      <c r="I54" s="1665"/>
      <c r="J54" s="1650"/>
      <c r="K54" s="1656">
        <f t="shared" si="3"/>
        <v>0</v>
      </c>
      <c r="L54" s="1652"/>
    </row>
    <row r="55" spans="2:12" ht="31.05" customHeight="1">
      <c r="B55" s="1653" t="s">
        <v>4023</v>
      </c>
      <c r="C55" s="1646" t="s">
        <v>2886</v>
      </c>
      <c r="D55" s="1654"/>
      <c r="E55" s="1655"/>
      <c r="F55" s="1655"/>
      <c r="G55" s="1655"/>
      <c r="H55" s="1655"/>
      <c r="I55" s="1655"/>
      <c r="J55" s="1650"/>
      <c r="K55" s="1656">
        <f t="shared" si="3"/>
        <v>0</v>
      </c>
      <c r="L55" s="1652"/>
    </row>
    <row r="56" spans="2:12" ht="31.05" customHeight="1">
      <c r="B56" s="1653" t="s">
        <v>4024</v>
      </c>
      <c r="C56" s="1646" t="s">
        <v>2886</v>
      </c>
      <c r="D56" s="1654"/>
      <c r="E56" s="1655"/>
      <c r="F56" s="1655"/>
      <c r="G56" s="1655"/>
      <c r="H56" s="1655"/>
      <c r="I56" s="1655"/>
      <c r="J56" s="1650"/>
      <c r="K56" s="1656">
        <f t="shared" si="3"/>
        <v>0</v>
      </c>
      <c r="L56" s="1652"/>
    </row>
    <row r="57" spans="2:12" ht="31.05" customHeight="1">
      <c r="B57" s="1653" t="s">
        <v>4025</v>
      </c>
      <c r="C57" s="1646" t="s">
        <v>2886</v>
      </c>
      <c r="D57" s="1654"/>
      <c r="E57" s="1655">
        <f>'noty do bilansu'!B34</f>
        <v>0</v>
      </c>
      <c r="F57" s="1655">
        <f>'noty do bilansu'!C34</f>
        <v>-223819.97</v>
      </c>
      <c r="G57" s="1655">
        <f>'noty do bilansu'!D34</f>
        <v>-189407</v>
      </c>
      <c r="H57" s="1655">
        <f>'noty do bilansu'!E34</f>
        <v>-76690.820000000007</v>
      </c>
      <c r="I57" s="1655"/>
      <c r="J57" s="1650"/>
      <c r="K57" s="1656">
        <f t="shared" si="3"/>
        <v>-489917.79</v>
      </c>
      <c r="L57" s="1652"/>
    </row>
    <row r="58" spans="2:12" ht="31.05" customHeight="1">
      <c r="B58" s="1653" t="s">
        <v>4026</v>
      </c>
      <c r="C58" s="1646" t="s">
        <v>2886</v>
      </c>
      <c r="D58" s="1654"/>
      <c r="E58" s="1655"/>
      <c r="F58" s="1655"/>
      <c r="G58" s="1655"/>
      <c r="H58" s="1655"/>
      <c r="I58" s="1655"/>
      <c r="J58" s="1650"/>
      <c r="K58" s="1656">
        <f t="shared" si="3"/>
        <v>0</v>
      </c>
      <c r="L58" s="1652"/>
    </row>
    <row r="59" spans="2:12" ht="31.05" customHeight="1">
      <c r="B59" s="1653" t="s">
        <v>4027</v>
      </c>
      <c r="C59" s="1646" t="s">
        <v>2886</v>
      </c>
      <c r="D59" s="1654"/>
      <c r="E59" s="1655"/>
      <c r="F59" s="1655"/>
      <c r="G59" s="1655"/>
      <c r="H59" s="1655"/>
      <c r="I59" s="1655"/>
      <c r="J59" s="1650"/>
      <c r="K59" s="1656">
        <f t="shared" si="3"/>
        <v>0</v>
      </c>
      <c r="L59" s="1652"/>
    </row>
    <row r="60" spans="2:12" ht="31.05" customHeight="1">
      <c r="B60" s="1653" t="s">
        <v>4028</v>
      </c>
      <c r="C60" s="1646" t="s">
        <v>2886</v>
      </c>
      <c r="D60" s="1654"/>
      <c r="E60" s="1655"/>
      <c r="F60" s="1655"/>
      <c r="G60" s="1655"/>
      <c r="H60" s="1655"/>
      <c r="I60" s="1655"/>
      <c r="J60" s="1650"/>
      <c r="K60" s="1656">
        <f t="shared" si="3"/>
        <v>0</v>
      </c>
      <c r="L60" s="1652"/>
    </row>
    <row r="61" spans="2:12" ht="33" customHeight="1">
      <c r="B61" s="1653" t="s">
        <v>4029</v>
      </c>
      <c r="C61" s="1646" t="s">
        <v>2886</v>
      </c>
      <c r="D61" s="1654"/>
      <c r="E61" s="1655"/>
      <c r="F61" s="1655"/>
      <c r="G61" s="1655"/>
      <c r="H61" s="1655"/>
      <c r="I61" s="1655"/>
      <c r="J61" s="1650"/>
      <c r="K61" s="1656">
        <f t="shared" si="3"/>
        <v>0</v>
      </c>
      <c r="L61" s="1652"/>
    </row>
    <row r="62" spans="2:12" ht="31.05" customHeight="1">
      <c r="B62" s="1653" t="s">
        <v>4030</v>
      </c>
      <c r="C62" s="1646" t="s">
        <v>2886</v>
      </c>
      <c r="D62" s="1654"/>
      <c r="E62" s="1655"/>
      <c r="F62" s="1655"/>
      <c r="G62" s="1655"/>
      <c r="H62" s="1655"/>
      <c r="I62" s="1655"/>
      <c r="J62" s="1650"/>
      <c r="K62" s="1656">
        <f t="shared" si="3"/>
        <v>0</v>
      </c>
      <c r="L62" s="1652"/>
    </row>
    <row r="63" spans="2:12" ht="31.05" customHeight="1">
      <c r="B63" s="1653" t="s">
        <v>4031</v>
      </c>
      <c r="C63" s="1646" t="s">
        <v>2886</v>
      </c>
      <c r="D63" s="1654"/>
      <c r="E63" s="1655"/>
      <c r="F63" s="1655">
        <f>F30</f>
        <v>1319.9999999999063</v>
      </c>
      <c r="G63" s="1655"/>
      <c r="H63" s="1655"/>
      <c r="I63" s="1655"/>
      <c r="J63" s="1650"/>
      <c r="K63" s="1656">
        <f t="shared" si="3"/>
        <v>1319.9999999999063</v>
      </c>
      <c r="L63" s="1652"/>
    </row>
    <row r="64" spans="2:12" ht="31.05" customHeight="1">
      <c r="B64" s="1653" t="s">
        <v>4032</v>
      </c>
      <c r="C64" s="1646" t="s">
        <v>2886</v>
      </c>
      <c r="D64" s="1654"/>
      <c r="E64" s="1655"/>
      <c r="F64" s="1655">
        <f>-F44</f>
        <v>-1501.97</v>
      </c>
      <c r="G64" s="1655"/>
      <c r="H64" s="1655"/>
      <c r="I64" s="1655"/>
      <c r="J64" s="1650"/>
      <c r="K64" s="1656">
        <f t="shared" si="3"/>
        <v>-1501.97</v>
      </c>
      <c r="L64" s="1652"/>
    </row>
    <row r="65" spans="2:12" ht="37.049999999999997" customHeight="1">
      <c r="B65" s="1653" t="s">
        <v>4033</v>
      </c>
      <c r="C65" s="1646" t="s">
        <v>2886</v>
      </c>
      <c r="D65" s="1654"/>
      <c r="E65" s="1655"/>
      <c r="F65" s="1655"/>
      <c r="G65" s="1655"/>
      <c r="H65" s="1655"/>
      <c r="I65" s="1655"/>
      <c r="J65" s="1650"/>
      <c r="K65" s="1654"/>
      <c r="L65" s="1652"/>
    </row>
    <row r="66" spans="2:12" ht="31.05" customHeight="1">
      <c r="B66" s="1653" t="s">
        <v>4034</v>
      </c>
      <c r="C66" s="1646" t="s">
        <v>2886</v>
      </c>
      <c r="D66" s="1654"/>
      <c r="E66" s="1655"/>
      <c r="F66" s="1655"/>
      <c r="G66" s="1655"/>
      <c r="H66" s="1655"/>
      <c r="I66" s="1655"/>
      <c r="J66" s="1650"/>
      <c r="K66" s="1656">
        <f t="shared" si="3"/>
        <v>0</v>
      </c>
      <c r="L66" s="1652"/>
    </row>
    <row r="67" spans="2:12" ht="31.05" customHeight="1">
      <c r="B67" s="1674" t="s">
        <v>4035</v>
      </c>
      <c r="C67" s="1646" t="s">
        <v>2886</v>
      </c>
      <c r="D67" s="1675"/>
      <c r="E67" s="1675">
        <f>E39+SUM(E41:E66)</f>
        <v>15994999.860000001</v>
      </c>
      <c r="F67" s="1675">
        <f t="shared" ref="F67:H67" si="4">F39+SUM(F41:F66)</f>
        <v>23053509.580000002</v>
      </c>
      <c r="G67" s="1675">
        <f t="shared" si="4"/>
        <v>4490124.47</v>
      </c>
      <c r="H67" s="1675">
        <f t="shared" si="4"/>
        <v>13604467.43</v>
      </c>
      <c r="I67" s="1675"/>
      <c r="J67" s="1650"/>
      <c r="K67" s="1675">
        <f>SUM(D67:I67)</f>
        <v>57143101.340000004</v>
      </c>
      <c r="L67" s="1652"/>
    </row>
    <row r="68" spans="2:12" ht="13.05" customHeight="1">
      <c r="B68" s="1659" t="s">
        <v>2886</v>
      </c>
      <c r="C68" s="1646" t="s">
        <v>2886</v>
      </c>
      <c r="D68" s="1660" t="s">
        <v>2886</v>
      </c>
      <c r="E68" s="1660" t="s">
        <v>2886</v>
      </c>
      <c r="F68" s="1660" t="s">
        <v>2886</v>
      </c>
      <c r="G68" s="1660" t="s">
        <v>2886</v>
      </c>
      <c r="H68" s="1660" t="s">
        <v>2886</v>
      </c>
      <c r="I68" s="1660" t="s">
        <v>2886</v>
      </c>
      <c r="J68" s="1660" t="s">
        <v>2886</v>
      </c>
      <c r="K68" s="1660" t="s">
        <v>2886</v>
      </c>
      <c r="L68" s="1660" t="s">
        <v>2886</v>
      </c>
    </row>
    <row r="69" spans="2:12" ht="39" customHeight="1">
      <c r="B69" s="1676" t="s">
        <v>4036</v>
      </c>
      <c r="C69" s="1646" t="s">
        <v>2886</v>
      </c>
      <c r="D69" s="1677"/>
      <c r="E69" s="1677">
        <f>E8-E39</f>
        <v>13769284.75</v>
      </c>
      <c r="F69" s="1677">
        <f t="shared" ref="F69:I69" si="5">F8-F39</f>
        <v>5255206.7100000009</v>
      </c>
      <c r="G69" s="1677">
        <f t="shared" si="5"/>
        <v>2726165.5599999996</v>
      </c>
      <c r="H69" s="1677">
        <f t="shared" si="5"/>
        <v>1164855.1099999994</v>
      </c>
      <c r="I69" s="1677">
        <f t="shared" si="5"/>
        <v>275622.679999999</v>
      </c>
      <c r="J69" s="1650"/>
      <c r="K69" s="1677">
        <f>SUM(D69:I69)</f>
        <v>23191134.809999999</v>
      </c>
      <c r="L69" s="1652"/>
    </row>
    <row r="70" spans="2:12" ht="37.049999999999997" customHeight="1">
      <c r="B70" s="1678" t="s">
        <v>4037</v>
      </c>
      <c r="C70" s="1646" t="s">
        <v>2886</v>
      </c>
      <c r="D70" s="1654"/>
      <c r="E70" s="1655"/>
      <c r="F70" s="1655"/>
      <c r="G70" s="1655"/>
      <c r="H70" s="1655"/>
      <c r="I70" s="1655"/>
      <c r="J70" s="1650"/>
      <c r="K70" s="1654"/>
      <c r="L70" s="1652"/>
    </row>
    <row r="71" spans="2:12" ht="37.049999999999997" customHeight="1">
      <c r="B71" s="1679" t="s">
        <v>4038</v>
      </c>
      <c r="C71" s="1646" t="s">
        <v>2886</v>
      </c>
      <c r="D71" s="1680"/>
      <c r="E71" s="1680">
        <f>E34-E67</f>
        <v>13239755.689999999</v>
      </c>
      <c r="F71" s="1680">
        <f t="shared" ref="F71:I71" si="6">F34-F67</f>
        <v>5341608.0999999978</v>
      </c>
      <c r="G71" s="1680">
        <f t="shared" si="6"/>
        <v>2476022.8899999997</v>
      </c>
      <c r="H71" s="1680">
        <f t="shared" si="6"/>
        <v>1016307.8099999987</v>
      </c>
      <c r="I71" s="1680">
        <f t="shared" si="6"/>
        <v>78184.91999999783</v>
      </c>
      <c r="J71" s="1650"/>
      <c r="K71" s="1680">
        <f>SUM(D71:I71)</f>
        <v>22151879.409999996</v>
      </c>
      <c r="L71" s="1652"/>
    </row>
    <row r="72" spans="2:12" ht="37.049999999999997" customHeight="1">
      <c r="B72" s="1678" t="s">
        <v>4039</v>
      </c>
      <c r="C72" s="1646" t="s">
        <v>2886</v>
      </c>
      <c r="D72" s="1681"/>
      <c r="E72" s="1682"/>
      <c r="F72" s="1682"/>
      <c r="G72" s="1682"/>
      <c r="H72" s="1682"/>
      <c r="I72" s="1682"/>
      <c r="J72" s="1683"/>
      <c r="K72" s="1681"/>
      <c r="L72" s="1652"/>
    </row>
  </sheetData>
  <mergeCells count="2">
    <mergeCell ref="L4:L7"/>
    <mergeCell ref="L36:L3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topLeftCell="A19" workbookViewId="0">
      <selection activeCell="J42" sqref="J42"/>
    </sheetView>
  </sheetViews>
  <sheetFormatPr defaultColWidth="8.88671875" defaultRowHeight="13.2"/>
  <cols>
    <col min="1" max="2" width="16" style="926" bestFit="1" customWidth="1"/>
    <col min="3" max="3" width="15" style="926" bestFit="1" customWidth="1"/>
    <col min="4" max="4" width="7.77734375" style="926" customWidth="1"/>
    <col min="5" max="5" width="16" style="926" bestFit="1" customWidth="1"/>
    <col min="6" max="6" width="14.88671875" style="926" customWidth="1"/>
    <col min="7" max="7" width="22" style="926" bestFit="1" customWidth="1"/>
    <col min="8" max="9" width="16" style="926" bestFit="1" customWidth="1"/>
    <col min="10" max="11" width="16" style="926" customWidth="1"/>
    <col min="12" max="12" width="14" style="926" bestFit="1" customWidth="1"/>
    <col min="13" max="13" width="7.21875" style="926" customWidth="1"/>
    <col min="14" max="16384" width="8.88671875" style="926"/>
  </cols>
  <sheetData>
    <row r="1" spans="1:13" ht="24">
      <c r="A1" s="941" t="s">
        <v>3460</v>
      </c>
    </row>
    <row r="2" spans="1:13" ht="13.8">
      <c r="A2" s="943">
        <f>'bilans '!B2</f>
        <v>45930</v>
      </c>
    </row>
    <row r="4" spans="1:13" ht="39.6">
      <c r="A4" s="929" t="s">
        <v>3461</v>
      </c>
      <c r="B4" s="929" t="s">
        <v>3462</v>
      </c>
      <c r="C4" s="929" t="s">
        <v>3463</v>
      </c>
      <c r="D4" s="930" t="s">
        <v>3464</v>
      </c>
      <c r="E4" s="929" t="s">
        <v>3465</v>
      </c>
      <c r="F4" s="929" t="s">
        <v>3466</v>
      </c>
      <c r="G4" s="929" t="s">
        <v>2886</v>
      </c>
      <c r="H4" s="929" t="s">
        <v>3467</v>
      </c>
      <c r="I4" s="929" t="s">
        <v>3468</v>
      </c>
      <c r="J4" s="929" t="s">
        <v>3469</v>
      </c>
      <c r="K4" s="929" t="s">
        <v>3470</v>
      </c>
      <c r="L4" s="929" t="s">
        <v>3471</v>
      </c>
    </row>
    <row r="5" spans="1:13">
      <c r="A5" s="944">
        <v>25164873.02</v>
      </c>
      <c r="B5" s="944">
        <v>-12748197.33</v>
      </c>
      <c r="C5" s="944">
        <v>12416675.689999999</v>
      </c>
      <c r="D5" s="945" t="s">
        <v>3472</v>
      </c>
      <c r="E5" s="944">
        <v>0</v>
      </c>
      <c r="F5" s="944">
        <v>-477196.76</v>
      </c>
      <c r="G5" s="945" t="s">
        <v>3473</v>
      </c>
      <c r="H5" s="944">
        <v>0</v>
      </c>
      <c r="I5" s="944">
        <v>0</v>
      </c>
      <c r="J5" s="944">
        <v>11939478.93</v>
      </c>
      <c r="K5" s="944">
        <v>25164873.02</v>
      </c>
      <c r="L5" s="944">
        <v>-13225394.09</v>
      </c>
    </row>
    <row r="6" spans="1:13">
      <c r="A6" s="944">
        <v>4069882.53</v>
      </c>
      <c r="B6" s="944">
        <v>-2717273.47</v>
      </c>
      <c r="C6" s="944">
        <v>1352609.06</v>
      </c>
      <c r="D6" s="945" t="s">
        <v>3474</v>
      </c>
      <c r="E6" s="944">
        <v>0</v>
      </c>
      <c r="F6" s="944">
        <v>-52332.3</v>
      </c>
      <c r="G6" s="945" t="s">
        <v>3475</v>
      </c>
      <c r="H6" s="944">
        <v>0</v>
      </c>
      <c r="I6" s="944">
        <v>0</v>
      </c>
      <c r="J6" s="944">
        <v>1300276.76</v>
      </c>
      <c r="K6" s="944">
        <v>4069882.53</v>
      </c>
      <c r="L6" s="944">
        <v>-2769605.77</v>
      </c>
      <c r="M6" s="927">
        <f>J6+J5-'bilans '!B7</f>
        <v>0</v>
      </c>
    </row>
    <row r="7" spans="1:13">
      <c r="A7" s="948">
        <v>102219</v>
      </c>
      <c r="B7" s="948">
        <v>-83760.800000000003</v>
      </c>
      <c r="C7" s="948">
        <v>18458.2</v>
      </c>
      <c r="D7" s="949" t="s">
        <v>3476</v>
      </c>
      <c r="E7" s="948">
        <v>0</v>
      </c>
      <c r="F7" s="948">
        <v>-1910.03</v>
      </c>
      <c r="G7" s="949" t="s">
        <v>3477</v>
      </c>
      <c r="H7" s="948">
        <v>0</v>
      </c>
      <c r="I7" s="948">
        <v>0</v>
      </c>
      <c r="J7" s="948">
        <v>16548.169999999998</v>
      </c>
      <c r="K7" s="948">
        <v>102219</v>
      </c>
      <c r="L7" s="948">
        <v>-85670.83</v>
      </c>
    </row>
    <row r="8" spans="1:13">
      <c r="A8" s="948">
        <v>18605200.800000001</v>
      </c>
      <c r="B8" s="948">
        <v>-15343073.98</v>
      </c>
      <c r="C8" s="948">
        <v>3262126.82</v>
      </c>
      <c r="D8" s="949" t="s">
        <v>3478</v>
      </c>
      <c r="E8" s="948">
        <v>435764.09</v>
      </c>
      <c r="F8" s="948">
        <v>-470856.38</v>
      </c>
      <c r="G8" s="949" t="s">
        <v>3479</v>
      </c>
      <c r="H8" s="948">
        <v>-119203.22</v>
      </c>
      <c r="I8" s="948">
        <v>118072.15</v>
      </c>
      <c r="J8" s="948">
        <v>3225903.46</v>
      </c>
      <c r="K8" s="948">
        <v>18921761.670000002</v>
      </c>
      <c r="L8" s="948">
        <v>-15695858.210000001</v>
      </c>
    </row>
    <row r="9" spans="1:13">
      <c r="A9" s="948">
        <v>1784522.33</v>
      </c>
      <c r="B9" s="948">
        <v>-1393205.94</v>
      </c>
      <c r="C9" s="948">
        <v>391316.39</v>
      </c>
      <c r="D9" s="949" t="s">
        <v>3480</v>
      </c>
      <c r="E9" s="948">
        <v>0</v>
      </c>
      <c r="F9" s="948">
        <v>-49517.42</v>
      </c>
      <c r="G9" s="949" t="s">
        <v>3481</v>
      </c>
      <c r="H9" s="948">
        <v>-23910</v>
      </c>
      <c r="I9" s="948">
        <v>23910</v>
      </c>
      <c r="J9" s="948">
        <v>341798.97</v>
      </c>
      <c r="K9" s="948">
        <v>1760612.33</v>
      </c>
      <c r="L9" s="948">
        <v>-1418813.36</v>
      </c>
    </row>
    <row r="10" spans="1:13">
      <c r="A10" s="948">
        <v>7287944.2699999996</v>
      </c>
      <c r="B10" s="948">
        <v>-5704638.9699999997</v>
      </c>
      <c r="C10" s="948">
        <v>1583305.3</v>
      </c>
      <c r="D10" s="949" t="s">
        <v>3482</v>
      </c>
      <c r="E10" s="948">
        <v>404789.13</v>
      </c>
      <c r="F10" s="948">
        <v>-230366.03</v>
      </c>
      <c r="G10" s="949" t="s">
        <v>3483</v>
      </c>
      <c r="H10" s="948">
        <v>-82208.72</v>
      </c>
      <c r="I10" s="948">
        <v>81837.820000000007</v>
      </c>
      <c r="J10" s="948">
        <v>1757357.5</v>
      </c>
      <c r="K10" s="948">
        <v>7610524.6799999997</v>
      </c>
      <c r="L10" s="948">
        <v>-5853167.1799999997</v>
      </c>
      <c r="M10" s="927">
        <f>J10+J9+J8+J7-'bilans '!B14</f>
        <v>0</v>
      </c>
    </row>
    <row r="11" spans="1:13">
      <c r="A11" s="946">
        <v>7102637.1699999999</v>
      </c>
      <c r="B11" s="946">
        <v>-4370206.38</v>
      </c>
      <c r="C11" s="946">
        <v>2732430.79</v>
      </c>
      <c r="D11" s="947" t="s">
        <v>3484</v>
      </c>
      <c r="E11" s="946">
        <v>113378.8</v>
      </c>
      <c r="F11" s="946">
        <v>-368647.57</v>
      </c>
      <c r="G11" s="947" t="s">
        <v>2616</v>
      </c>
      <c r="H11" s="946">
        <v>-189407</v>
      </c>
      <c r="I11" s="946">
        <v>189407</v>
      </c>
      <c r="J11" s="946">
        <v>2477162.02</v>
      </c>
      <c r="K11" s="946">
        <v>7026608.9699999997</v>
      </c>
      <c r="L11" s="946">
        <v>-4549446.95</v>
      </c>
      <c r="M11" s="927">
        <f>J11-'bilans '!B24-G59</f>
        <v>9.669747669249773E-9</v>
      </c>
    </row>
    <row r="12" spans="1:13">
      <c r="A12" s="950">
        <v>14631853.119999999</v>
      </c>
      <c r="B12" s="950">
        <v>-13466998.01</v>
      </c>
      <c r="C12" s="950">
        <v>1164855.1100000001</v>
      </c>
      <c r="D12" s="951" t="s">
        <v>3485</v>
      </c>
      <c r="E12" s="950">
        <v>65612.94</v>
      </c>
      <c r="F12" s="950">
        <v>-214160.24</v>
      </c>
      <c r="G12" s="951" t="s">
        <v>3486</v>
      </c>
      <c r="H12" s="950">
        <v>-76690.820000000007</v>
      </c>
      <c r="I12" s="950">
        <v>76690.820000000007</v>
      </c>
      <c r="J12" s="950">
        <v>1016307.81</v>
      </c>
      <c r="K12" s="950">
        <v>14620775.24</v>
      </c>
      <c r="L12" s="950">
        <v>-13604467.43</v>
      </c>
      <c r="M12" s="927">
        <f>J12-'bilans '!B28</f>
        <v>0</v>
      </c>
    </row>
    <row r="13" spans="1:13">
      <c r="A13" s="928">
        <v>1835382.48</v>
      </c>
      <c r="B13" s="928">
        <v>-1718671.24</v>
      </c>
      <c r="C13" s="1637">
        <v>116711.24</v>
      </c>
      <c r="D13" s="926" t="s">
        <v>3487</v>
      </c>
      <c r="E13" s="928">
        <v>0</v>
      </c>
      <c r="F13" s="928">
        <v>-16080.92</v>
      </c>
      <c r="G13" s="926" t="s">
        <v>2634</v>
      </c>
      <c r="H13" s="928">
        <v>0</v>
      </c>
      <c r="I13" s="928">
        <v>0</v>
      </c>
      <c r="J13" s="928">
        <v>100630.32</v>
      </c>
      <c r="K13" s="928">
        <v>1835382.48</v>
      </c>
      <c r="L13" s="928">
        <v>-1734752.16</v>
      </c>
      <c r="M13" s="927">
        <f>J13-'bilans '!B63</f>
        <v>-1.0069925338029861E-8</v>
      </c>
    </row>
    <row r="14" spans="1:13">
      <c r="A14" s="928">
        <v>589446.80000000005</v>
      </c>
      <c r="B14" s="928">
        <v>-552236.06000000006</v>
      </c>
      <c r="C14" s="928">
        <v>37210.74</v>
      </c>
      <c r="D14" s="926" t="s">
        <v>3488</v>
      </c>
      <c r="E14" s="928">
        <v>0</v>
      </c>
      <c r="F14" s="928">
        <v>-2679.17</v>
      </c>
      <c r="G14" s="926" t="s">
        <v>3489</v>
      </c>
      <c r="H14" s="928">
        <v>0</v>
      </c>
      <c r="I14" s="928">
        <v>0</v>
      </c>
      <c r="J14" s="928">
        <v>34531.57</v>
      </c>
      <c r="K14" s="928">
        <v>589446.80000000005</v>
      </c>
      <c r="L14" s="928">
        <v>-554915.23</v>
      </c>
      <c r="M14" s="927">
        <f>J14-'bilans '!B51</f>
        <v>-9.9680619314312935E-10</v>
      </c>
    </row>
    <row r="15" spans="1:13">
      <c r="A15" s="942">
        <f>SUM(A5:A14)</f>
        <v>81173961.520000011</v>
      </c>
      <c r="B15" s="942">
        <f t="shared" ref="B15:L15" si="0">SUM(B5:B14)</f>
        <v>-58098262.180000007</v>
      </c>
      <c r="C15" s="942">
        <f t="shared" si="0"/>
        <v>23075699.339999996</v>
      </c>
      <c r="D15" s="942"/>
      <c r="E15" s="942">
        <f t="shared" si="0"/>
        <v>1019544.96</v>
      </c>
      <c r="F15" s="942">
        <f t="shared" si="0"/>
        <v>-1883746.82</v>
      </c>
      <c r="G15" s="942"/>
      <c r="H15" s="942">
        <f t="shared" si="0"/>
        <v>-491419.76</v>
      </c>
      <c r="I15" s="942">
        <f t="shared" si="0"/>
        <v>489917.79</v>
      </c>
      <c r="J15" s="942">
        <f t="shared" si="0"/>
        <v>22209995.509999998</v>
      </c>
      <c r="K15" s="942">
        <f t="shared" si="0"/>
        <v>81702086.719999999</v>
      </c>
      <c r="L15" s="942">
        <f t="shared" si="0"/>
        <v>-59492091.209999993</v>
      </c>
      <c r="M15" s="927"/>
    </row>
    <row r="18" spans="1:13" ht="39.6">
      <c r="A18" s="929" t="s">
        <v>3461</v>
      </c>
      <c r="B18" s="929" t="s">
        <v>3462</v>
      </c>
      <c r="C18" s="929" t="s">
        <v>3463</v>
      </c>
      <c r="D18" s="930" t="s">
        <v>3464</v>
      </c>
      <c r="E18" s="930" t="s">
        <v>3465</v>
      </c>
      <c r="F18" s="929" t="s">
        <v>3466</v>
      </c>
      <c r="G18" s="929" t="s">
        <v>2886</v>
      </c>
      <c r="H18" s="930" t="s">
        <v>3467</v>
      </c>
      <c r="I18" s="930" t="s">
        <v>3468</v>
      </c>
      <c r="J18" s="929" t="s">
        <v>3469</v>
      </c>
      <c r="K18" s="929" t="s">
        <v>3470</v>
      </c>
      <c r="L18" s="929" t="s">
        <v>3471</v>
      </c>
    </row>
    <row r="19" spans="1:13">
      <c r="A19" s="928">
        <v>410085.33</v>
      </c>
      <c r="B19" s="928">
        <v>-245738.83</v>
      </c>
      <c r="C19" s="928">
        <v>164346.5</v>
      </c>
      <c r="D19" s="926" t="s">
        <v>3490</v>
      </c>
      <c r="E19" s="928">
        <v>0</v>
      </c>
      <c r="F19" s="928">
        <v>-7690.81</v>
      </c>
      <c r="G19" s="926" t="s">
        <v>3491</v>
      </c>
      <c r="H19" s="928">
        <v>0</v>
      </c>
      <c r="I19" s="928">
        <v>0</v>
      </c>
      <c r="J19" s="928">
        <v>156655.69</v>
      </c>
      <c r="K19" s="928">
        <v>410085.33</v>
      </c>
      <c r="L19" s="928">
        <v>-253429.64</v>
      </c>
      <c r="M19" s="975" t="s">
        <v>1453</v>
      </c>
    </row>
    <row r="20" spans="1:13">
      <c r="A20" s="942">
        <f>A19</f>
        <v>410085.33</v>
      </c>
      <c r="B20" s="942">
        <f t="shared" ref="B20:L20" si="1">B19</f>
        <v>-245738.83</v>
      </c>
      <c r="C20" s="942">
        <f t="shared" si="1"/>
        <v>164346.5</v>
      </c>
      <c r="D20" s="942" t="str">
        <f t="shared" si="1"/>
        <v>6100</v>
      </c>
      <c r="E20" s="942">
        <f t="shared" si="1"/>
        <v>0</v>
      </c>
      <c r="F20" s="942">
        <f t="shared" si="1"/>
        <v>-7690.81</v>
      </c>
      <c r="G20" s="942" t="str">
        <f t="shared" si="1"/>
        <v>Bud. i Lokale</v>
      </c>
      <c r="H20" s="942">
        <f t="shared" si="1"/>
        <v>0</v>
      </c>
      <c r="I20" s="942">
        <f t="shared" si="1"/>
        <v>0</v>
      </c>
      <c r="J20" s="942">
        <f t="shared" si="1"/>
        <v>156655.69</v>
      </c>
      <c r="K20" s="942">
        <f t="shared" si="1"/>
        <v>410085.33</v>
      </c>
      <c r="L20" s="942">
        <f t="shared" si="1"/>
        <v>-253429.64</v>
      </c>
      <c r="M20" s="927">
        <f>J20-'bilans '!B59</f>
        <v>0</v>
      </c>
    </row>
    <row r="21" spans="1:13">
      <c r="A21" s="927"/>
    </row>
    <row r="22" spans="1:13" ht="39.6">
      <c r="A22" s="929" t="s">
        <v>3461</v>
      </c>
      <c r="B22" s="929" t="s">
        <v>3462</v>
      </c>
      <c r="C22" s="929" t="s">
        <v>3463</v>
      </c>
      <c r="D22" s="930" t="s">
        <v>3464</v>
      </c>
      <c r="E22" s="929" t="s">
        <v>3465</v>
      </c>
      <c r="F22" s="929" t="s">
        <v>3466</v>
      </c>
      <c r="G22" s="929" t="s">
        <v>2886</v>
      </c>
      <c r="H22" s="930" t="s">
        <v>3467</v>
      </c>
      <c r="I22" s="930" t="s">
        <v>3468</v>
      </c>
      <c r="J22" s="929" t="s">
        <v>3469</v>
      </c>
      <c r="K22" s="929" t="s">
        <v>3470</v>
      </c>
      <c r="L22" s="929" t="s">
        <v>3471</v>
      </c>
    </row>
    <row r="23" spans="1:13">
      <c r="A23" s="928">
        <v>483156.19</v>
      </c>
      <c r="B23" s="928">
        <v>-111517.16</v>
      </c>
      <c r="C23" s="928">
        <v>371639.03</v>
      </c>
      <c r="D23" s="926" t="s">
        <v>3492</v>
      </c>
      <c r="E23" s="928">
        <v>0</v>
      </c>
      <c r="F23" s="928">
        <v>-13888.76</v>
      </c>
      <c r="G23" s="926" t="s">
        <v>3493</v>
      </c>
      <c r="H23" s="928">
        <v>0</v>
      </c>
      <c r="I23" s="928">
        <v>0</v>
      </c>
      <c r="J23" s="928">
        <v>357750.27</v>
      </c>
      <c r="K23" s="928">
        <v>483156.19</v>
      </c>
      <c r="L23" s="928">
        <v>-125405.92</v>
      </c>
      <c r="M23" s="927">
        <f>J23-'bilans '!B48</f>
        <v>0</v>
      </c>
    </row>
    <row r="24" spans="1:13">
      <c r="A24" s="928">
        <v>8397795.0999999996</v>
      </c>
      <c r="B24" s="928">
        <v>-2226527.84</v>
      </c>
      <c r="C24" s="928">
        <v>6171267.2599999998</v>
      </c>
      <c r="D24" s="926" t="s">
        <v>3494</v>
      </c>
      <c r="E24" s="928">
        <v>8223.3700000000008</v>
      </c>
      <c r="F24" s="928">
        <v>-291812.76</v>
      </c>
      <c r="G24" s="926" t="s">
        <v>3495</v>
      </c>
      <c r="H24" s="928">
        <v>0</v>
      </c>
      <c r="I24" s="928">
        <v>0</v>
      </c>
      <c r="J24" s="928">
        <v>5887677.8700000001</v>
      </c>
      <c r="K24" s="928">
        <v>8406018.4700000007</v>
      </c>
      <c r="L24" s="928">
        <v>-2518340.6</v>
      </c>
      <c r="M24" s="927">
        <f>J24-'bilans '!B54+G59</f>
        <v>-8.2218321040272713E-10</v>
      </c>
    </row>
    <row r="25" spans="1:13">
      <c r="A25" s="942">
        <f>A24+A23</f>
        <v>8880951.2899999991</v>
      </c>
      <c r="B25" s="942">
        <f t="shared" ref="B25:L25" si="2">B24+B23</f>
        <v>-2338045</v>
      </c>
      <c r="C25" s="942">
        <f t="shared" si="2"/>
        <v>6542906.29</v>
      </c>
      <c r="D25" s="942"/>
      <c r="E25" s="942">
        <f t="shared" si="2"/>
        <v>8223.3700000000008</v>
      </c>
      <c r="F25" s="942">
        <f t="shared" si="2"/>
        <v>-305701.52</v>
      </c>
      <c r="G25" s="942"/>
      <c r="H25" s="942">
        <f t="shared" si="2"/>
        <v>0</v>
      </c>
      <c r="I25" s="942">
        <f t="shared" si="2"/>
        <v>0</v>
      </c>
      <c r="J25" s="942">
        <f t="shared" si="2"/>
        <v>6245428.1400000006</v>
      </c>
      <c r="K25" s="942">
        <f t="shared" si="2"/>
        <v>8889174.6600000001</v>
      </c>
      <c r="L25" s="942">
        <f t="shared" si="2"/>
        <v>-2643746.52</v>
      </c>
    </row>
    <row r="26" spans="1:13">
      <c r="A26" s="998">
        <f>A25+A20+A15</f>
        <v>90464998.140000015</v>
      </c>
      <c r="B26" s="998">
        <f t="shared" ref="B26:L26" si="3">B25+B20+B15</f>
        <v>-60682046.010000005</v>
      </c>
      <c r="C26" s="998">
        <f t="shared" si="3"/>
        <v>29782952.129999995</v>
      </c>
      <c r="D26" s="998"/>
      <c r="E26" s="998">
        <f t="shared" si="3"/>
        <v>1027768.33</v>
      </c>
      <c r="F26" s="998">
        <f>F25+F20+F15</f>
        <v>-2197139.15</v>
      </c>
      <c r="G26" s="998"/>
      <c r="H26" s="998">
        <f t="shared" si="3"/>
        <v>-491419.76</v>
      </c>
      <c r="I26" s="998">
        <f t="shared" si="3"/>
        <v>489917.79</v>
      </c>
      <c r="J26" s="998">
        <f t="shared" si="3"/>
        <v>28612079.34</v>
      </c>
      <c r="K26" s="998">
        <f t="shared" si="3"/>
        <v>91001346.709999993</v>
      </c>
      <c r="L26" s="998">
        <f t="shared" si="3"/>
        <v>-62389267.36999999</v>
      </c>
    </row>
    <row r="27" spans="1:13" ht="31.8" customHeight="1">
      <c r="A27" s="927"/>
      <c r="F27" s="1636">
        <f>F26+'RZiS, koszty rodz.'!B216+'RZiS, koszty rodz.'!B217+'RZiS, koszty rodz.'!B218+'RZiS, koszty rodz.'!B219+'RZiS, koszty rodz.'!B222</f>
        <v>-1319.9999999999063</v>
      </c>
      <c r="G27" s="1774" t="s">
        <v>3969</v>
      </c>
      <c r="H27" s="1774"/>
      <c r="I27" s="1774"/>
      <c r="J27" s="1774"/>
      <c r="K27" s="1774"/>
      <c r="L27" s="1774"/>
    </row>
    <row r="28" spans="1:13">
      <c r="A28" s="927"/>
    </row>
    <row r="29" spans="1:13">
      <c r="A29" s="927"/>
    </row>
    <row r="30" spans="1:13">
      <c r="A30" s="1772" t="s">
        <v>3602</v>
      </c>
      <c r="B30" s="1773"/>
      <c r="C30" s="1773"/>
      <c r="D30" s="1773"/>
      <c r="E30" s="1773"/>
      <c r="F30" s="1773"/>
    </row>
    <row r="31" spans="1:13">
      <c r="A31" s="927"/>
      <c r="B31" s="975" t="s">
        <v>3585</v>
      </c>
      <c r="C31" s="975" t="s">
        <v>3586</v>
      </c>
      <c r="E31" s="975" t="s">
        <v>3587</v>
      </c>
      <c r="F31" s="975" t="s">
        <v>1501</v>
      </c>
    </row>
    <row r="32" spans="1:13">
      <c r="A32" s="1004" t="s">
        <v>3588</v>
      </c>
      <c r="B32" s="927">
        <f>A23+A14</f>
        <v>1072602.99</v>
      </c>
      <c r="C32" s="927">
        <f>A24</f>
        <v>8397795.0999999996</v>
      </c>
      <c r="E32" s="974">
        <f>E50</f>
        <v>60461.61</v>
      </c>
      <c r="F32" s="974">
        <f>E32+C32+B32</f>
        <v>9530859.6999999993</v>
      </c>
      <c r="G32" s="975" t="s">
        <v>3589</v>
      </c>
      <c r="H32" s="974"/>
    </row>
    <row r="33" spans="1:10">
      <c r="A33" s="1004" t="s">
        <v>3358</v>
      </c>
      <c r="B33" s="927">
        <f>E23+E14</f>
        <v>0</v>
      </c>
      <c r="C33" s="927">
        <f>E24</f>
        <v>8223.3700000000008</v>
      </c>
      <c r="E33" s="1005">
        <f>E59-E50</f>
        <v>0</v>
      </c>
      <c r="F33" s="974">
        <f t="shared" ref="F33:F40" si="4">E33+C33+B33</f>
        <v>8223.3700000000008</v>
      </c>
      <c r="G33" s="975" t="s">
        <v>3590</v>
      </c>
    </row>
    <row r="34" spans="1:10">
      <c r="A34" s="1004" t="s">
        <v>2530</v>
      </c>
      <c r="B34" s="927">
        <f>H23+H14</f>
        <v>0</v>
      </c>
      <c r="C34" s="927">
        <f>H24</f>
        <v>0</v>
      </c>
      <c r="E34" s="1005"/>
      <c r="F34" s="974">
        <f t="shared" si="4"/>
        <v>0</v>
      </c>
      <c r="G34" s="975" t="s">
        <v>3591</v>
      </c>
    </row>
    <row r="35" spans="1:10">
      <c r="A35" s="1004" t="s">
        <v>3592</v>
      </c>
      <c r="B35" s="927">
        <f>B34+B33+B32</f>
        <v>1072602.99</v>
      </c>
      <c r="C35" s="927">
        <f>C34+C33+C32</f>
        <v>8406018.4699999988</v>
      </c>
      <c r="D35" s="927"/>
      <c r="E35" s="927">
        <f>E34+E33+E32</f>
        <v>60461.61</v>
      </c>
      <c r="F35" s="974">
        <f t="shared" si="4"/>
        <v>9539083.0699999984</v>
      </c>
    </row>
    <row r="36" spans="1:10">
      <c r="A36" s="1004" t="s">
        <v>3593</v>
      </c>
      <c r="B36" s="927">
        <f>-B23-B14</f>
        <v>663753.22000000009</v>
      </c>
      <c r="C36" s="927">
        <f>-B24</f>
        <v>2226527.84</v>
      </c>
      <c r="E36" s="974">
        <f>F50</f>
        <v>54196.38</v>
      </c>
      <c r="F36" s="974">
        <f t="shared" si="4"/>
        <v>2944477.44</v>
      </c>
      <c r="G36" s="975" t="s">
        <v>3594</v>
      </c>
    </row>
    <row r="37" spans="1:10">
      <c r="A37" s="1004" t="s">
        <v>2529</v>
      </c>
      <c r="B37" s="927">
        <f>-F23-F14</f>
        <v>16567.93</v>
      </c>
      <c r="C37" s="927">
        <f>-F24</f>
        <v>291812.76</v>
      </c>
      <c r="E37" s="974">
        <f>I59</f>
        <v>5126.1000000000058</v>
      </c>
      <c r="F37" s="974">
        <f t="shared" si="4"/>
        <v>313506.78999999998</v>
      </c>
      <c r="G37" s="975" t="s">
        <v>3599</v>
      </c>
    </row>
    <row r="38" spans="1:10">
      <c r="A38" s="1004" t="s">
        <v>3595</v>
      </c>
      <c r="B38" s="927">
        <f>-I23-I14</f>
        <v>0</v>
      </c>
      <c r="C38" s="927">
        <f>-I24</f>
        <v>0</v>
      </c>
      <c r="E38" s="1005">
        <f>-E47-E48</f>
        <v>0</v>
      </c>
      <c r="F38" s="974">
        <f t="shared" si="4"/>
        <v>0</v>
      </c>
      <c r="G38" s="975" t="s">
        <v>3596</v>
      </c>
    </row>
    <row r="39" spans="1:10">
      <c r="A39" s="1004" t="s">
        <v>3597</v>
      </c>
      <c r="B39" s="927">
        <f>B36+B37+B38</f>
        <v>680321.15000000014</v>
      </c>
      <c r="C39" s="927">
        <f>C36+C37+C38</f>
        <v>2518340.5999999996</v>
      </c>
      <c r="D39" s="927"/>
      <c r="E39" s="927">
        <f>E36+E37+E38</f>
        <v>59322.48</v>
      </c>
      <c r="F39" s="974">
        <f t="shared" si="4"/>
        <v>3257984.2299999995</v>
      </c>
    </row>
    <row r="40" spans="1:10">
      <c r="A40" s="1004" t="s">
        <v>3598</v>
      </c>
      <c r="B40" s="927">
        <f>B35-B39</f>
        <v>392281.83999999985</v>
      </c>
      <c r="C40" s="927">
        <f>C35-C39</f>
        <v>5887677.8699999992</v>
      </c>
      <c r="D40" s="927"/>
      <c r="E40" s="927">
        <f>E35-E39</f>
        <v>1139.1299999999974</v>
      </c>
      <c r="F40" s="974">
        <f t="shared" si="4"/>
        <v>6281098.8399999989</v>
      </c>
      <c r="G40" s="1006">
        <f>F40-'bilans '!B47</f>
        <v>0</v>
      </c>
      <c r="H40" s="975" t="s">
        <v>1783</v>
      </c>
    </row>
    <row r="41" spans="1:10">
      <c r="A41" s="927"/>
      <c r="F41" s="974"/>
    </row>
    <row r="42" spans="1:10">
      <c r="A42" s="927"/>
      <c r="F42" s="974"/>
    </row>
    <row r="43" spans="1:10">
      <c r="A43" s="927"/>
    </row>
    <row r="44" spans="1:10" customFormat="1" ht="14.4">
      <c r="A44" s="952" t="s">
        <v>3888</v>
      </c>
    </row>
    <row r="45" spans="1:10" customFormat="1" ht="14.4"/>
    <row r="46" spans="1:10" customFormat="1" ht="14.4">
      <c r="A46" s="953" t="s">
        <v>3496</v>
      </c>
      <c r="B46" s="954" t="s">
        <v>3497</v>
      </c>
      <c r="C46" s="955" t="s">
        <v>3498</v>
      </c>
      <c r="D46" s="953"/>
      <c r="E46" s="953" t="s">
        <v>3499</v>
      </c>
      <c r="F46" s="955" t="s">
        <v>3500</v>
      </c>
      <c r="G46" s="953" t="s">
        <v>3501</v>
      </c>
      <c r="H46" s="956" t="s">
        <v>3502</v>
      </c>
      <c r="I46" s="926"/>
    </row>
    <row r="47" spans="1:10" customFormat="1" ht="14.4">
      <c r="A47" s="957" t="s">
        <v>3503</v>
      </c>
      <c r="B47" s="958" t="s">
        <v>3535</v>
      </c>
      <c r="C47" s="959" t="s">
        <v>3504</v>
      </c>
      <c r="D47" s="957">
        <v>17000000251</v>
      </c>
      <c r="E47" s="960">
        <v>0</v>
      </c>
      <c r="F47" s="961">
        <v>0</v>
      </c>
      <c r="G47" s="962">
        <v>0</v>
      </c>
      <c r="H47" s="964">
        <v>45647</v>
      </c>
      <c r="I47" s="926"/>
      <c r="J47" s="963"/>
    </row>
    <row r="48" spans="1:10" customFormat="1" ht="14.4">
      <c r="A48" s="957" t="s">
        <v>3505</v>
      </c>
      <c r="B48" s="958" t="s">
        <v>3536</v>
      </c>
      <c r="C48" s="959" t="s">
        <v>3506</v>
      </c>
      <c r="D48" s="957">
        <v>17000000271</v>
      </c>
      <c r="E48" s="960">
        <v>0</v>
      </c>
      <c r="F48" s="961">
        <v>0</v>
      </c>
      <c r="G48" s="962">
        <v>0</v>
      </c>
      <c r="H48" s="964">
        <v>45652</v>
      </c>
      <c r="I48" s="926"/>
    </row>
    <row r="49" spans="1:10" customFormat="1" ht="14.4">
      <c r="A49" s="957" t="s">
        <v>3507</v>
      </c>
      <c r="B49" s="958" t="s">
        <v>3537</v>
      </c>
      <c r="C49" s="959" t="s">
        <v>3508</v>
      </c>
      <c r="D49" s="957">
        <v>17000000296</v>
      </c>
      <c r="E49" s="960">
        <v>60461.61</v>
      </c>
      <c r="F49" s="961">
        <v>54196.38</v>
      </c>
      <c r="G49" s="962">
        <v>6265.2300000000032</v>
      </c>
      <c r="H49" s="964" t="s">
        <v>3509</v>
      </c>
      <c r="I49" s="926"/>
    </row>
    <row r="50" spans="1:10" customFormat="1" ht="15" thickBot="1">
      <c r="A50" s="965"/>
      <c r="B50" s="966" t="s">
        <v>3510</v>
      </c>
      <c r="C50" s="957"/>
      <c r="D50" s="967"/>
      <c r="E50" s="968">
        <f>E49</f>
        <v>60461.61</v>
      </c>
      <c r="F50" s="968">
        <f t="shared" ref="F50:G50" si="5">F49</f>
        <v>54196.38</v>
      </c>
      <c r="G50" s="969">
        <f t="shared" si="5"/>
        <v>6265.2300000000032</v>
      </c>
      <c r="H50" s="970" t="s">
        <v>3511</v>
      </c>
      <c r="I50" s="926"/>
      <c r="J50" s="1"/>
    </row>
    <row r="53" spans="1:10" customFormat="1" ht="14.4">
      <c r="A53" s="952" t="s">
        <v>3648</v>
      </c>
      <c r="F53" s="1627">
        <v>45930</v>
      </c>
    </row>
    <row r="54" spans="1:10" customFormat="1" ht="14.4"/>
    <row r="55" spans="1:10" customFormat="1" ht="14.4">
      <c r="A55" s="953" t="s">
        <v>3496</v>
      </c>
      <c r="B55" s="954" t="s">
        <v>3497</v>
      </c>
      <c r="C55" s="955" t="s">
        <v>3498</v>
      </c>
      <c r="D55" s="953"/>
      <c r="E55" s="953" t="s">
        <v>3499</v>
      </c>
      <c r="F55" s="955" t="s">
        <v>3500</v>
      </c>
      <c r="G55" s="953" t="s">
        <v>3501</v>
      </c>
      <c r="H55" s="956" t="s">
        <v>3502</v>
      </c>
      <c r="I55" s="926"/>
    </row>
    <row r="56" spans="1:10" customFormat="1" ht="14.4">
      <c r="A56" s="957"/>
      <c r="B56" s="958"/>
      <c r="C56" s="959"/>
      <c r="D56" s="957"/>
      <c r="E56" s="960">
        <v>0</v>
      </c>
      <c r="F56" s="961">
        <v>0</v>
      </c>
      <c r="G56" s="962">
        <f>E56-F56</f>
        <v>0</v>
      </c>
      <c r="H56" s="964"/>
      <c r="I56" s="926"/>
      <c r="J56" s="963"/>
    </row>
    <row r="57" spans="1:10" customFormat="1" ht="14.4">
      <c r="A57" s="957"/>
      <c r="B57" s="958"/>
      <c r="C57" s="959"/>
      <c r="D57" s="957"/>
      <c r="E57" s="960">
        <v>0</v>
      </c>
      <c r="F57" s="961">
        <v>0</v>
      </c>
      <c r="G57" s="962">
        <f t="shared" ref="G57" si="6">E57-F57</f>
        <v>0</v>
      </c>
      <c r="H57" s="964"/>
      <c r="I57" s="926"/>
      <c r="J57" s="963"/>
    </row>
    <row r="58" spans="1:10" customFormat="1" ht="14.4">
      <c r="A58" s="957" t="s">
        <v>3507</v>
      </c>
      <c r="B58" s="958" t="s">
        <v>3537</v>
      </c>
      <c r="C58" s="959" t="s">
        <v>3508</v>
      </c>
      <c r="D58" s="957">
        <v>17000000296</v>
      </c>
      <c r="E58" s="960">
        <v>60461.61</v>
      </c>
      <c r="F58" s="1687">
        <v>59322.48</v>
      </c>
      <c r="G58" s="962">
        <f>E58-F58</f>
        <v>1139.1299999999974</v>
      </c>
      <c r="H58" s="964">
        <v>46022</v>
      </c>
      <c r="I58" s="975" t="s">
        <v>3513</v>
      </c>
    </row>
    <row r="59" spans="1:10" customFormat="1" ht="15" thickBot="1">
      <c r="A59" s="965"/>
      <c r="B59" s="966" t="s">
        <v>3510</v>
      </c>
      <c r="C59" s="957"/>
      <c r="D59" s="967"/>
      <c r="E59" s="969">
        <f>E58+E57+E56</f>
        <v>60461.61</v>
      </c>
      <c r="F59" s="969">
        <f>F58+F57+F56</f>
        <v>59322.48</v>
      </c>
      <c r="G59" s="969">
        <f>G58+G57+G56</f>
        <v>1139.1299999999974</v>
      </c>
      <c r="H59" s="970" t="s">
        <v>3511</v>
      </c>
      <c r="I59" s="974">
        <f>G50-G59</f>
        <v>5126.1000000000058</v>
      </c>
      <c r="J59" s="1"/>
    </row>
  </sheetData>
  <mergeCells count="2">
    <mergeCell ref="A30:F30"/>
    <mergeCell ref="G27:L27"/>
  </mergeCell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479"/>
  <sheetViews>
    <sheetView zoomScale="110" zoomScaleNormal="110" workbookViewId="0">
      <pane xSplit="1" ySplit="4" topLeftCell="B86" activePane="bottomRight" state="frozen"/>
      <selection pane="topRight" activeCell="C1" sqref="C1"/>
      <selection pane="bottomLeft" activeCell="A4" sqref="A4"/>
      <selection pane="bottomRight" activeCell="B53" sqref="B53"/>
    </sheetView>
  </sheetViews>
  <sheetFormatPr defaultColWidth="9.109375" defaultRowHeight="10.199999999999999"/>
  <cols>
    <col min="1" max="1" width="59.33203125" style="224" customWidth="1"/>
    <col min="2" max="2" width="16.6640625" style="205" customWidth="1"/>
    <col min="3" max="3" width="16.6640625" style="656" customWidth="1"/>
    <col min="4" max="4" width="15.44140625" style="206" customWidth="1"/>
    <col min="5" max="6" width="16.6640625" style="656" customWidth="1"/>
    <col min="7" max="7" width="14.5546875" style="206" customWidth="1"/>
    <col min="8" max="9" width="10.33203125" style="206" bestFit="1" customWidth="1"/>
    <col min="10" max="10" width="9.109375" style="206"/>
    <col min="11" max="11" width="9.5546875" style="206" bestFit="1" customWidth="1"/>
    <col min="12" max="16384" width="9.109375" style="206"/>
  </cols>
  <sheetData>
    <row r="1" spans="1:9">
      <c r="A1" s="432">
        <f>'bilans '!B2</f>
        <v>45930</v>
      </c>
      <c r="B1" s="645">
        <f>B471</f>
        <v>-1.7881393432617188E-7</v>
      </c>
      <c r="C1" s="645">
        <v>-2.6822090148925781E-7</v>
      </c>
      <c r="E1" s="1622">
        <v>6.8545341491699219E-7</v>
      </c>
      <c r="F1" s="655">
        <v>0</v>
      </c>
      <c r="G1" s="205"/>
    </row>
    <row r="2" spans="1:9">
      <c r="B2" s="1641" t="s">
        <v>3973</v>
      </c>
    </row>
    <row r="3" spans="1:9">
      <c r="A3" s="206"/>
      <c r="B3" s="1642">
        <f>-B454</f>
        <v>6076288.9199999925</v>
      </c>
    </row>
    <row r="4" spans="1:9" ht="15.6">
      <c r="A4" s="227" t="s">
        <v>920</v>
      </c>
      <c r="B4" s="431">
        <f>'bilans '!B2</f>
        <v>45930</v>
      </c>
      <c r="C4" s="657">
        <v>45657</v>
      </c>
      <c r="E4" s="657">
        <v>45291</v>
      </c>
      <c r="F4" s="657">
        <v>44926</v>
      </c>
    </row>
    <row r="5" spans="1:9">
      <c r="A5" s="207" t="s">
        <v>921</v>
      </c>
      <c r="B5" s="208">
        <f>B6+B7</f>
        <v>17909.869999999901</v>
      </c>
      <c r="C5" s="208">
        <v>52693.599999999897</v>
      </c>
      <c r="E5" s="658">
        <v>57262.020000000004</v>
      </c>
      <c r="F5" s="208">
        <v>30066.09</v>
      </c>
    </row>
    <row r="6" spans="1:9">
      <c r="A6" s="209" t="s">
        <v>744</v>
      </c>
      <c r="B6" s="210">
        <f>-(IFERROR(VLOOKUP(D6,obrotówka!$A$3:$J$1600,10,0),0))</f>
        <v>0</v>
      </c>
      <c r="C6" s="589">
        <v>0</v>
      </c>
      <c r="D6" s="209" t="s">
        <v>743</v>
      </c>
      <c r="E6" s="589">
        <v>1392.94</v>
      </c>
      <c r="F6" s="589">
        <v>2845.55</v>
      </c>
    </row>
    <row r="7" spans="1:9">
      <c r="A7" s="209" t="s">
        <v>746</v>
      </c>
      <c r="B7" s="210">
        <f>-(IFERROR(VLOOKUP(D7,obrotówka!$A$3:$J$1600,10,0),0))</f>
        <v>17909.869999999901</v>
      </c>
      <c r="C7" s="589">
        <v>52693.599999999897</v>
      </c>
      <c r="D7" s="209" t="s">
        <v>745</v>
      </c>
      <c r="E7" s="589">
        <v>55869.08</v>
      </c>
      <c r="F7" s="589">
        <v>27220.54</v>
      </c>
    </row>
    <row r="8" spans="1:9">
      <c r="A8" s="207" t="s">
        <v>922</v>
      </c>
      <c r="B8" s="208" t="s">
        <v>923</v>
      </c>
      <c r="C8" s="658" t="s">
        <v>923</v>
      </c>
      <c r="E8" s="658" t="s">
        <v>923</v>
      </c>
      <c r="F8" s="658" t="s">
        <v>923</v>
      </c>
    </row>
    <row r="9" spans="1:9">
      <c r="A9" s="211" t="s">
        <v>924</v>
      </c>
      <c r="B9" s="212">
        <f>B5</f>
        <v>17909.869999999901</v>
      </c>
      <c r="C9" s="212">
        <v>52693.599999999897</v>
      </c>
      <c r="E9" s="659">
        <v>57262.020000000004</v>
      </c>
      <c r="F9" s="212">
        <v>30066.09</v>
      </c>
    </row>
    <row r="10" spans="1:9">
      <c r="A10" s="211" t="s">
        <v>925</v>
      </c>
      <c r="B10" s="212">
        <f>SUM(B11:B15)</f>
        <v>119131718.89</v>
      </c>
      <c r="C10" s="212">
        <v>166987295.35999998</v>
      </c>
      <c r="E10" s="659">
        <v>199756280.04000002</v>
      </c>
      <c r="F10" s="212">
        <v>133840164.79999998</v>
      </c>
    </row>
    <row r="11" spans="1:9">
      <c r="A11" s="206"/>
      <c r="B11" s="206"/>
      <c r="C11" s="660"/>
      <c r="E11" s="660"/>
      <c r="F11" s="660"/>
    </row>
    <row r="12" spans="1:9">
      <c r="A12" s="213" t="s">
        <v>741</v>
      </c>
      <c r="B12" s="210">
        <f>-(IFERROR(VLOOKUP(D12,obrotówka!$A$3:$J$1600,10,0),0))</f>
        <v>119063109.47</v>
      </c>
      <c r="C12" s="589">
        <v>169247707.09</v>
      </c>
      <c r="D12" s="209" t="s">
        <v>740</v>
      </c>
      <c r="E12" s="589">
        <v>196412360.49000001</v>
      </c>
      <c r="F12" s="589">
        <v>136705155.22999999</v>
      </c>
    </row>
    <row r="13" spans="1:9">
      <c r="A13" s="213" t="s">
        <v>3377</v>
      </c>
      <c r="B13" s="210">
        <f>-(IFERROR(VLOOKUP(D13,obrotówka!$A$3:$J$1600,10,0),0))</f>
        <v>0</v>
      </c>
      <c r="C13" s="589">
        <v>144222.17000000001</v>
      </c>
      <c r="D13" s="209" t="s">
        <v>3372</v>
      </c>
      <c r="E13" s="589">
        <v>2349027.3399999901</v>
      </c>
      <c r="F13" s="589"/>
    </row>
    <row r="14" spans="1:9">
      <c r="A14" s="213" t="s">
        <v>3378</v>
      </c>
      <c r="B14" s="210">
        <f>-(IFERROR(VLOOKUP(D14,obrotówka!$A$3:$J$1600,10,0),0))</f>
        <v>-8000</v>
      </c>
      <c r="C14" s="589">
        <v>-1408000</v>
      </c>
      <c r="D14" s="209" t="s">
        <v>742</v>
      </c>
      <c r="E14" s="589">
        <v>-933027.33999999904</v>
      </c>
      <c r="F14" s="589">
        <v>0</v>
      </c>
    </row>
    <row r="15" spans="1:9">
      <c r="A15" s="213" t="s">
        <v>3334</v>
      </c>
      <c r="B15" s="210">
        <f>-(IFERROR(VLOOKUP(D15,obrotówka!$A$3:$J$1600,10,0),0))</f>
        <v>76609.419999999896</v>
      </c>
      <c r="C15" s="210">
        <v>-996633.9</v>
      </c>
      <c r="D15" s="864" t="s">
        <v>3332</v>
      </c>
      <c r="E15" s="589">
        <v>1927919.55</v>
      </c>
      <c r="F15" s="210">
        <v>-2864990.43</v>
      </c>
      <c r="G15" s="865"/>
      <c r="H15" s="865"/>
      <c r="I15" s="865"/>
    </row>
    <row r="16" spans="1:9">
      <c r="A16" s="211" t="s">
        <v>926</v>
      </c>
      <c r="B16" s="212">
        <f>B17</f>
        <v>116591.91</v>
      </c>
      <c r="C16" s="212">
        <v>319905.88</v>
      </c>
      <c r="E16" s="659">
        <v>190165.88</v>
      </c>
      <c r="F16" s="212">
        <v>46505.879999999903</v>
      </c>
      <c r="G16" s="223"/>
      <c r="H16" s="223"/>
      <c r="I16" s="223"/>
    </row>
    <row r="17" spans="1:6">
      <c r="A17" s="213" t="s">
        <v>739</v>
      </c>
      <c r="B17" s="210">
        <f>-(IFERROR(VLOOKUP(D17,obrotówka!$A$3:$J$1600,10,0),0))</f>
        <v>116591.91</v>
      </c>
      <c r="C17" s="589">
        <v>319905.88</v>
      </c>
      <c r="D17" s="209" t="s">
        <v>738</v>
      </c>
      <c r="E17" s="589">
        <v>190165.88</v>
      </c>
      <c r="F17" s="589">
        <v>46505.879999999903</v>
      </c>
    </row>
    <row r="18" spans="1:6">
      <c r="A18" s="211" t="s">
        <v>927</v>
      </c>
      <c r="B18" s="212"/>
      <c r="C18" s="659"/>
      <c r="E18" s="659"/>
      <c r="F18" s="659"/>
    </row>
    <row r="19" spans="1:6">
      <c r="A19" s="207" t="s">
        <v>923</v>
      </c>
      <c r="B19" s="208" t="s">
        <v>923</v>
      </c>
      <c r="C19" s="658" t="s">
        <v>923</v>
      </c>
      <c r="E19" s="658" t="s">
        <v>923</v>
      </c>
      <c r="F19" s="658" t="s">
        <v>923</v>
      </c>
    </row>
    <row r="20" spans="1:6">
      <c r="A20" s="211" t="s">
        <v>928</v>
      </c>
      <c r="B20" s="212">
        <f>B10+B9+B16+B18</f>
        <v>119266220.67</v>
      </c>
      <c r="C20" s="212">
        <v>167359894.83999997</v>
      </c>
      <c r="D20" s="205"/>
      <c r="E20" s="659">
        <v>200003707.94000003</v>
      </c>
      <c r="F20" s="212">
        <v>133916736.76999998</v>
      </c>
    </row>
    <row r="21" spans="1:6">
      <c r="A21" s="207" t="s">
        <v>923</v>
      </c>
      <c r="B21" s="208" t="s">
        <v>923</v>
      </c>
      <c r="C21" s="208" t="s">
        <v>923</v>
      </c>
      <c r="E21" s="658" t="s">
        <v>923</v>
      </c>
      <c r="F21" s="208" t="s">
        <v>923</v>
      </c>
    </row>
    <row r="22" spans="1:6">
      <c r="A22" s="211" t="s">
        <v>929</v>
      </c>
      <c r="B22" s="212">
        <f>SUM(B23:B27)</f>
        <v>102874818.31</v>
      </c>
      <c r="C22" s="212">
        <v>143606480.50999901</v>
      </c>
      <c r="E22" s="659">
        <v>173613785.34</v>
      </c>
      <c r="F22" s="212">
        <v>121614668.94000001</v>
      </c>
    </row>
    <row r="23" spans="1:6">
      <c r="A23" s="213" t="s">
        <v>748</v>
      </c>
      <c r="B23" s="210">
        <f>(IFERROR(VLOOKUP(D23,obrotówka!$A$3:$J$1600,10,0),0))</f>
        <v>1340513.8999999899</v>
      </c>
      <c r="C23" s="589">
        <v>-1453746.57</v>
      </c>
      <c r="D23" s="209" t="s">
        <v>747</v>
      </c>
      <c r="E23" s="589">
        <v>130244.17</v>
      </c>
      <c r="F23" s="589">
        <v>1003590.29</v>
      </c>
    </row>
    <row r="24" spans="1:6">
      <c r="A24" s="213" t="s">
        <v>750</v>
      </c>
      <c r="B24" s="210">
        <f>(IFERROR(VLOOKUP(D24,obrotówka!$A$3:$J$1600,10,0),0))</f>
        <v>101517654.98</v>
      </c>
      <c r="C24" s="589">
        <v>145009247.949999</v>
      </c>
      <c r="D24" s="209" t="s">
        <v>749</v>
      </c>
      <c r="E24" s="589">
        <v>173400674.56</v>
      </c>
      <c r="F24" s="589">
        <v>120585743.56</v>
      </c>
    </row>
    <row r="25" spans="1:6">
      <c r="A25" s="213" t="s">
        <v>752</v>
      </c>
      <c r="B25" s="210">
        <f>(IFERROR(VLOOKUP(D25,obrotówka!$A$3:$J$1600,10,0),0))</f>
        <v>16649.43</v>
      </c>
      <c r="C25" s="589">
        <v>50979.129999999903</v>
      </c>
      <c r="D25" s="209" t="s">
        <v>751</v>
      </c>
      <c r="E25" s="589">
        <v>82866.61</v>
      </c>
      <c r="F25" s="589">
        <v>25335.09</v>
      </c>
    </row>
    <row r="26" spans="1:6">
      <c r="A26" s="213"/>
      <c r="B26" s="210">
        <f>(IFERROR(VLOOKUP(D26,obrotówka!$A$3:$J$1600,10,0),0))</f>
        <v>0</v>
      </c>
      <c r="C26" s="589">
        <v>0</v>
      </c>
      <c r="D26" s="209"/>
      <c r="E26" s="589">
        <v>0</v>
      </c>
      <c r="F26" s="589">
        <v>0</v>
      </c>
    </row>
    <row r="27" spans="1:6" ht="13.8" customHeight="1">
      <c r="A27" s="213"/>
      <c r="B27" s="210">
        <f>(IFERROR(VLOOKUP(D27,obrotówka!$A$3:$J$1600,10,0),0))</f>
        <v>0</v>
      </c>
      <c r="C27" s="589">
        <v>0</v>
      </c>
      <c r="D27" s="209"/>
      <c r="E27" s="589">
        <v>0</v>
      </c>
      <c r="F27" s="589">
        <v>0</v>
      </c>
    </row>
    <row r="28" spans="1:6">
      <c r="A28" s="211" t="s">
        <v>930</v>
      </c>
      <c r="B28" s="212">
        <f>B20-B22</f>
        <v>16391402.359999999</v>
      </c>
      <c r="C28" s="212">
        <v>23753414.330000967</v>
      </c>
      <c r="E28" s="659">
        <v>26389922.600000024</v>
      </c>
      <c r="F28" s="212">
        <v>12302067.829999968</v>
      </c>
    </row>
    <row r="29" spans="1:6">
      <c r="A29" s="207" t="s">
        <v>923</v>
      </c>
      <c r="B29" s="208" t="s">
        <v>923</v>
      </c>
      <c r="C29" s="658" t="s">
        <v>923</v>
      </c>
      <c r="E29" s="658" t="s">
        <v>923</v>
      </c>
      <c r="F29" s="658" t="s">
        <v>923</v>
      </c>
    </row>
    <row r="30" spans="1:6">
      <c r="A30" s="999" t="s">
        <v>931</v>
      </c>
      <c r="B30" s="1002">
        <f>B31+B35</f>
        <v>7325082.9799999986</v>
      </c>
      <c r="C30" s="1002">
        <v>276961.7199999998</v>
      </c>
      <c r="E30" s="1623">
        <v>2167452.79</v>
      </c>
      <c r="F30" s="1002">
        <v>4518144.0799999991</v>
      </c>
    </row>
    <row r="31" spans="1:6">
      <c r="A31" s="207" t="s">
        <v>982</v>
      </c>
      <c r="B31" s="214">
        <f>SUM(B32:B34)</f>
        <v>0</v>
      </c>
      <c r="C31" s="661">
        <v>0</v>
      </c>
      <c r="E31" s="661">
        <v>0</v>
      </c>
      <c r="F31" s="661">
        <v>124376.35</v>
      </c>
    </row>
    <row r="32" spans="1:6">
      <c r="A32" s="213"/>
      <c r="B32" s="215">
        <f>IF(B36-B70-B74&gt;0,B36-B70-B74,0)</f>
        <v>0</v>
      </c>
      <c r="C32" s="662">
        <v>0</v>
      </c>
      <c r="D32" s="216"/>
      <c r="E32" s="662">
        <v>0</v>
      </c>
      <c r="F32" s="662">
        <v>124376.35</v>
      </c>
    </row>
    <row r="33" spans="1:6">
      <c r="A33" s="213"/>
      <c r="B33" s="215"/>
      <c r="C33" s="662"/>
      <c r="D33" s="216"/>
      <c r="E33" s="662"/>
      <c r="F33" s="662"/>
    </row>
    <row r="34" spans="1:6">
      <c r="A34" s="213"/>
      <c r="B34" s="215"/>
      <c r="C34" s="662"/>
      <c r="D34" s="216"/>
      <c r="E34" s="662"/>
      <c r="F34" s="662"/>
    </row>
    <row r="35" spans="1:6">
      <c r="A35" s="207" t="s">
        <v>980</v>
      </c>
      <c r="B35" s="214">
        <f>SUM(B36:B63)-B36</f>
        <v>7325082.9799999986</v>
      </c>
      <c r="C35" s="214">
        <v>276961.7199999998</v>
      </c>
      <c r="E35" s="661">
        <v>2167452.79</v>
      </c>
      <c r="F35" s="214">
        <v>4393767.7299999995</v>
      </c>
    </row>
    <row r="36" spans="1:6">
      <c r="A36" s="213" t="s">
        <v>3924</v>
      </c>
      <c r="B36" s="134">
        <f>-(IFERROR(VLOOKUP(D36,obrotówka!$A$3:$J$1600,10,0),0))</f>
        <v>0</v>
      </c>
      <c r="C36" s="589">
        <v>0</v>
      </c>
      <c r="D36" s="209" t="s">
        <v>806</v>
      </c>
      <c r="E36" s="589">
        <v>0</v>
      </c>
      <c r="F36" s="589">
        <v>124376.35</v>
      </c>
    </row>
    <row r="37" spans="1:6">
      <c r="A37" s="213" t="s">
        <v>3940</v>
      </c>
      <c r="B37" s="210">
        <f>-(IFERROR(VLOOKUP(D37,obrotówka!$A$3:$J$1600,10,0),0))</f>
        <v>28115.8499999999</v>
      </c>
      <c r="C37" s="589"/>
      <c r="D37" s="209" t="s">
        <v>3939</v>
      </c>
      <c r="E37" s="589"/>
      <c r="F37" s="589"/>
    </row>
    <row r="38" spans="1:6">
      <c r="A38" s="213" t="s">
        <v>3955</v>
      </c>
      <c r="B38" s="210">
        <f>-(IFERROR(VLOOKUP(D38,obrotówka!$A$3:$J$1600,10,0),0))</f>
        <v>7808</v>
      </c>
      <c r="C38" s="589"/>
      <c r="D38" s="209" t="s">
        <v>3954</v>
      </c>
      <c r="E38" s="589"/>
      <c r="F38" s="589"/>
    </row>
    <row r="39" spans="1:6">
      <c r="A39" s="213" t="s">
        <v>3922</v>
      </c>
      <c r="B39" s="210">
        <f>-(IFERROR(VLOOKUP(D39,obrotówka!$A$3:$J$1600,10,0),0))</f>
        <v>1427.04</v>
      </c>
      <c r="C39" s="589">
        <v>2080.3099999999899</v>
      </c>
      <c r="D39" s="209" t="s">
        <v>807</v>
      </c>
      <c r="E39" s="589">
        <v>547397.67000000004</v>
      </c>
      <c r="F39" s="589">
        <v>470.26999999999902</v>
      </c>
    </row>
    <row r="40" spans="1:6">
      <c r="A40" s="213" t="s">
        <v>3923</v>
      </c>
      <c r="B40" s="134">
        <f>-(IFERROR(VLOOKUP(D40,obrotówka!$A$3:$J$1600,10,0),0))</f>
        <v>356880.39</v>
      </c>
      <c r="C40" s="589">
        <v>1338.73</v>
      </c>
      <c r="D40" s="209" t="s">
        <v>2416</v>
      </c>
      <c r="E40" s="589">
        <v>1391135.24</v>
      </c>
      <c r="F40" s="589">
        <v>1232005.5900000001</v>
      </c>
    </row>
    <row r="41" spans="1:6">
      <c r="A41" s="213" t="s">
        <v>3968</v>
      </c>
      <c r="B41" s="134">
        <f>-(IFERROR(VLOOKUP(D41,obrotówka!$A$3:$J$1600,10,0),0))</f>
        <v>6603848.5800000001</v>
      </c>
      <c r="C41" s="589"/>
      <c r="D41" s="209" t="s">
        <v>3967</v>
      </c>
      <c r="E41" s="589"/>
      <c r="F41" s="589"/>
    </row>
    <row r="42" spans="1:6">
      <c r="A42" s="213" t="s">
        <v>810</v>
      </c>
      <c r="B42" s="210">
        <f>-(IFERROR(VLOOKUP(D42,obrotówka!$A$3:$J$1600,10,0),0))</f>
        <v>16419.240000000002</v>
      </c>
      <c r="C42" s="589">
        <v>21941.56</v>
      </c>
      <c r="D42" s="209" t="s">
        <v>809</v>
      </c>
      <c r="E42" s="589">
        <v>32714.779999999901</v>
      </c>
      <c r="F42" s="589">
        <v>21491.279999999901</v>
      </c>
    </row>
    <row r="43" spans="1:6">
      <c r="A43" s="213" t="s">
        <v>812</v>
      </c>
      <c r="B43" s="210">
        <f>-(IFERROR(VLOOKUP(D43,obrotówka!$A$3:$J$1600,10,0),0))</f>
        <v>0</v>
      </c>
      <c r="C43" s="589">
        <v>0</v>
      </c>
      <c r="D43" s="209" t="s">
        <v>811</v>
      </c>
      <c r="E43" s="589">
        <v>0</v>
      </c>
      <c r="F43" s="589">
        <v>1942</v>
      </c>
    </row>
    <row r="44" spans="1:6">
      <c r="A44" s="213" t="s">
        <v>814</v>
      </c>
      <c r="B44" s="134">
        <f>-(IFERROR(VLOOKUP(D44,obrotówka!$A$3:$J$1600,10,0),0))</f>
        <v>0</v>
      </c>
      <c r="C44" s="589">
        <v>1215</v>
      </c>
      <c r="D44" s="209" t="s">
        <v>813</v>
      </c>
      <c r="E44" s="589">
        <v>0</v>
      </c>
      <c r="F44" s="589">
        <v>11688.08</v>
      </c>
    </row>
    <row r="45" spans="1:6">
      <c r="A45" s="213" t="s">
        <v>3297</v>
      </c>
      <c r="B45" s="134">
        <f>-(IFERROR(VLOOKUP(D45,obrotówka!$A$3:$J$1600,10,0),0))</f>
        <v>0</v>
      </c>
      <c r="C45" s="589">
        <v>11462.129999999899</v>
      </c>
      <c r="D45" s="209" t="s">
        <v>3296</v>
      </c>
      <c r="E45" s="589">
        <v>0</v>
      </c>
      <c r="F45" s="589">
        <v>1292.8900000000001</v>
      </c>
    </row>
    <row r="46" spans="1:6">
      <c r="A46" s="213" t="s">
        <v>3146</v>
      </c>
      <c r="B46" s="134">
        <f>-(IFERROR(VLOOKUP(D46,obrotówka!$A$3:$J$1600,10,0),0))</f>
        <v>41783.519999999902</v>
      </c>
      <c r="C46" s="589">
        <v>31526.48</v>
      </c>
      <c r="D46" s="209" t="s">
        <v>3145</v>
      </c>
      <c r="E46" s="589">
        <v>14485.57</v>
      </c>
      <c r="F46" s="589">
        <v>15887.69</v>
      </c>
    </row>
    <row r="47" spans="1:6">
      <c r="A47" s="213" t="s">
        <v>816</v>
      </c>
      <c r="B47" s="134">
        <f>-(IFERROR(VLOOKUP(D47,obrotówka!$A$3:$J$1600,10,0),0))</f>
        <v>1171.8800000000001</v>
      </c>
      <c r="C47" s="589">
        <v>27403.95</v>
      </c>
      <c r="D47" s="209" t="s">
        <v>815</v>
      </c>
      <c r="E47" s="589">
        <v>10480.959999999901</v>
      </c>
      <c r="F47" s="589">
        <v>980145.57999999903</v>
      </c>
    </row>
    <row r="48" spans="1:6">
      <c r="A48" s="213" t="s">
        <v>816</v>
      </c>
      <c r="B48" s="134">
        <f>-(IFERROR(VLOOKUP(D48,obrotówka!$A$3:$J$1600,10,0),0))</f>
        <v>2595.0599999999899</v>
      </c>
      <c r="C48" s="589">
        <v>4761.29</v>
      </c>
      <c r="D48" s="209" t="s">
        <v>817</v>
      </c>
      <c r="E48" s="589">
        <v>9618.77</v>
      </c>
      <c r="F48" s="589">
        <v>1466501.86</v>
      </c>
    </row>
    <row r="49" spans="1:10">
      <c r="A49" s="213" t="s">
        <v>3163</v>
      </c>
      <c r="B49" s="210">
        <f>-(IFERROR(VLOOKUP(D49,obrotówka!$A$3:$J$1600,10,0),0))</f>
        <v>0</v>
      </c>
      <c r="C49" s="589">
        <v>0</v>
      </c>
      <c r="D49" s="209" t="s">
        <v>3161</v>
      </c>
      <c r="E49" s="589">
        <v>5417</v>
      </c>
      <c r="F49" s="589">
        <v>243767</v>
      </c>
    </row>
    <row r="50" spans="1:10">
      <c r="A50" s="213" t="s">
        <v>819</v>
      </c>
      <c r="B50" s="210">
        <f>-(IFERROR(VLOOKUP(D50,obrotówka!$A$3:$J$1600,10,0),0))</f>
        <v>17817</v>
      </c>
      <c r="C50" s="589">
        <v>11482.059999999899</v>
      </c>
      <c r="D50" s="209" t="s">
        <v>818</v>
      </c>
      <c r="E50" s="589">
        <v>6286.5</v>
      </c>
      <c r="F50" s="589">
        <v>0</v>
      </c>
    </row>
    <row r="51" spans="1:10">
      <c r="A51" s="213" t="s">
        <v>3340</v>
      </c>
      <c r="B51" s="210">
        <f>-(IFERROR(VLOOKUP(D51,obrotówka!$A$3:$J$1600,10,0),0))</f>
        <v>0</v>
      </c>
      <c r="C51" s="589">
        <v>0</v>
      </c>
      <c r="D51" s="209" t="s">
        <v>3339</v>
      </c>
      <c r="E51" s="589">
        <v>269.56</v>
      </c>
      <c r="F51" s="589"/>
    </row>
    <row r="52" spans="1:10">
      <c r="A52" s="213" t="s">
        <v>821</v>
      </c>
      <c r="B52" s="210">
        <f>-(IFERROR(VLOOKUP(D52,obrotówka!$A$3:$J$1600,10,0),0))</f>
        <v>0</v>
      </c>
      <c r="C52" s="589">
        <v>0</v>
      </c>
      <c r="D52" s="209" t="s">
        <v>820</v>
      </c>
      <c r="E52" s="589">
        <v>0</v>
      </c>
      <c r="F52" s="589">
        <v>0</v>
      </c>
    </row>
    <row r="53" spans="1:10">
      <c r="A53" s="213" t="s">
        <v>3165</v>
      </c>
      <c r="B53" s="210">
        <f>-(IFERROR(VLOOKUP(D53,obrotówka!$A$3:$J$1600,10,0),0))</f>
        <v>0</v>
      </c>
      <c r="C53" s="589">
        <v>0</v>
      </c>
      <c r="D53" s="209" t="s">
        <v>3164</v>
      </c>
      <c r="E53" s="589">
        <v>0</v>
      </c>
      <c r="F53" s="589">
        <v>40228.989999999903</v>
      </c>
    </row>
    <row r="54" spans="1:10">
      <c r="A54" s="213" t="s">
        <v>3444</v>
      </c>
      <c r="B54" s="210">
        <f>-(IFERROR(VLOOKUP(D54,obrotówka!$A$3:$J$1600,10,0),0))</f>
        <v>6274.4099999999899</v>
      </c>
      <c r="C54" s="589">
        <v>0</v>
      </c>
      <c r="D54" s="209" t="s">
        <v>3443</v>
      </c>
      <c r="E54" s="589">
        <v>3577</v>
      </c>
      <c r="F54" s="589"/>
    </row>
    <row r="55" spans="1:10">
      <c r="A55" s="213" t="s">
        <v>823</v>
      </c>
      <c r="B55" s="210">
        <f>-(IFERROR(VLOOKUP(D55,obrotówka!$A$3:$J$1600,10,0),0))</f>
        <v>49646.599999999897</v>
      </c>
      <c r="C55" s="589">
        <v>27668.2</v>
      </c>
      <c r="D55" s="209" t="s">
        <v>822</v>
      </c>
      <c r="E55" s="589">
        <v>33898.239999999903</v>
      </c>
      <c r="F55" s="589">
        <v>122858.80000000005</v>
      </c>
      <c r="G55" s="865"/>
      <c r="H55" s="865"/>
      <c r="I55" s="865"/>
      <c r="J55" s="865"/>
    </row>
    <row r="56" spans="1:10">
      <c r="A56" s="213" t="s">
        <v>825</v>
      </c>
      <c r="B56" s="210">
        <f>-(IFERROR(VLOOKUP(D56,obrotówka!$A$3:$J$1600,10,0),0))</f>
        <v>26.26</v>
      </c>
      <c r="C56" s="589">
        <v>39.35</v>
      </c>
      <c r="D56" s="209" t="s">
        <v>824</v>
      </c>
      <c r="E56" s="589">
        <v>89.489999999999895</v>
      </c>
      <c r="F56" s="589">
        <v>41.579999999999899</v>
      </c>
    </row>
    <row r="57" spans="1:10">
      <c r="A57" s="213" t="s">
        <v>825</v>
      </c>
      <c r="B57" s="210">
        <f>-(IFERROR(VLOOKUP(D57,obrotówka!$A$3:$J$1600,10,0),0))</f>
        <v>0</v>
      </c>
      <c r="C57" s="589">
        <v>0</v>
      </c>
      <c r="D57" s="209" t="s">
        <v>826</v>
      </c>
      <c r="E57" s="589">
        <v>0</v>
      </c>
      <c r="F57" s="589">
        <v>0</v>
      </c>
    </row>
    <row r="58" spans="1:10">
      <c r="A58" s="213" t="s">
        <v>828</v>
      </c>
      <c r="B58" s="210">
        <f>-(IFERROR(VLOOKUP(D58,obrotówka!$A$3:$J$1600,10,0),0))</f>
        <v>0</v>
      </c>
      <c r="C58" s="589">
        <v>0</v>
      </c>
      <c r="D58" s="209" t="s">
        <v>827</v>
      </c>
      <c r="E58" s="589">
        <v>-5143.1599999999899</v>
      </c>
      <c r="F58" s="589">
        <v>146182</v>
      </c>
    </row>
    <row r="59" spans="1:10">
      <c r="A59" s="213" t="s">
        <v>830</v>
      </c>
      <c r="B59" s="210">
        <f>-(IFERROR(VLOOKUP(D59,obrotówka!$A$3:$J$1600,10,0),0))</f>
        <v>191269.149999999</v>
      </c>
      <c r="C59" s="589">
        <v>135998.66</v>
      </c>
      <c r="D59" s="209" t="s">
        <v>829</v>
      </c>
      <c r="E59" s="589">
        <v>117225.17</v>
      </c>
      <c r="F59" s="589">
        <v>105603.78</v>
      </c>
    </row>
    <row r="60" spans="1:10">
      <c r="A60" s="213" t="s">
        <v>830</v>
      </c>
      <c r="B60" s="210">
        <f>-(IFERROR(VLOOKUP(D60,obrotówka!$A$3:$J$1600,10,0),0))</f>
        <v>0</v>
      </c>
      <c r="C60" s="589">
        <v>44</v>
      </c>
      <c r="D60" s="209" t="s">
        <v>831</v>
      </c>
      <c r="E60" s="589">
        <v>0</v>
      </c>
      <c r="F60" s="589">
        <v>3660.34</v>
      </c>
    </row>
    <row r="61" spans="1:10">
      <c r="A61" s="213" t="s">
        <v>2495</v>
      </c>
      <c r="B61" s="210">
        <f>-(IFERROR(VLOOKUP(D61,obrotówka!$A$3:$J$1600,10,0),0))</f>
        <v>0</v>
      </c>
      <c r="C61" s="589">
        <v>0</v>
      </c>
      <c r="D61" s="209" t="s">
        <v>2494</v>
      </c>
      <c r="E61" s="589">
        <v>0</v>
      </c>
      <c r="F61" s="589">
        <v>0</v>
      </c>
    </row>
    <row r="62" spans="1:10">
      <c r="A62" s="213"/>
      <c r="B62" s="210">
        <f>-(IFERROR(VLOOKUP(D62,obrotówka!$A$3:$J$1600,10,0),0))</f>
        <v>0</v>
      </c>
      <c r="C62" s="589">
        <v>0</v>
      </c>
      <c r="D62" s="209"/>
      <c r="E62" s="589">
        <v>0</v>
      </c>
      <c r="F62" s="589">
        <v>0</v>
      </c>
    </row>
    <row r="63" spans="1:10">
      <c r="A63" s="213"/>
      <c r="B63" s="210">
        <f>-(IFERROR(VLOOKUP(D63,obrotówka!$A$3:$J$1600,10,0),0))</f>
        <v>0</v>
      </c>
      <c r="C63" s="589">
        <v>0</v>
      </c>
      <c r="D63" s="209"/>
      <c r="E63" s="589">
        <v>0</v>
      </c>
      <c r="F63" s="589">
        <v>0</v>
      </c>
    </row>
    <row r="64" spans="1:10">
      <c r="A64" s="207" t="s">
        <v>932</v>
      </c>
      <c r="B64" s="208" t="s">
        <v>923</v>
      </c>
      <c r="C64" s="658" t="s">
        <v>923</v>
      </c>
      <c r="E64" s="658" t="s">
        <v>923</v>
      </c>
      <c r="F64" s="658" t="s">
        <v>923</v>
      </c>
    </row>
    <row r="65" spans="1:6">
      <c r="A65" s="999" t="s">
        <v>933</v>
      </c>
      <c r="B65" s="1000">
        <f>(IFERROR(VLOOKUP(D65,obrotówka!$A$3:$J$1600,10,0),0))</f>
        <v>12837409.4</v>
      </c>
      <c r="C65" s="1001">
        <v>16261133.460000001</v>
      </c>
      <c r="D65" s="222" t="s">
        <v>753</v>
      </c>
      <c r="E65" s="1001">
        <v>17229825.719999898</v>
      </c>
      <c r="F65" s="1001">
        <v>15114163.140000001</v>
      </c>
    </row>
    <row r="66" spans="1:6">
      <c r="A66" s="999" t="s">
        <v>934</v>
      </c>
      <c r="B66" s="1002">
        <f>B67+B69</f>
        <v>331120.35999999876</v>
      </c>
      <c r="C66" s="1002">
        <v>1173101.2299999997</v>
      </c>
      <c r="E66" s="1623">
        <v>7013470.6399999978</v>
      </c>
      <c r="F66" s="1002">
        <v>3806722.56</v>
      </c>
    </row>
    <row r="67" spans="1:6">
      <c r="A67" s="207" t="s">
        <v>981</v>
      </c>
      <c r="B67" s="214">
        <f>SUM(B68:B68)</f>
        <v>0</v>
      </c>
      <c r="C67" s="661">
        <v>0</v>
      </c>
      <c r="E67" s="661">
        <v>0</v>
      </c>
      <c r="F67" s="661">
        <v>0</v>
      </c>
    </row>
    <row r="68" spans="1:6">
      <c r="A68" s="1010" t="s">
        <v>981</v>
      </c>
      <c r="B68" s="1014">
        <f>IF(B70+B74-B36&gt;0,B70+B74-B36,0)</f>
        <v>0</v>
      </c>
      <c r="C68" s="1015">
        <v>0</v>
      </c>
      <c r="D68" s="1016"/>
      <c r="E68" s="1015">
        <v>0</v>
      </c>
      <c r="F68" s="1015">
        <v>0</v>
      </c>
    </row>
    <row r="69" spans="1:6">
      <c r="A69" s="207" t="s">
        <v>980</v>
      </c>
      <c r="B69" s="214">
        <f>SUM(B70:B102)-B70-B74</f>
        <v>331120.35999999876</v>
      </c>
      <c r="C69" s="214">
        <v>1173101.2299999997</v>
      </c>
      <c r="E69" s="661">
        <v>7013470.6399999978</v>
      </c>
      <c r="F69" s="214">
        <v>3806722.56</v>
      </c>
    </row>
    <row r="70" spans="1:6">
      <c r="A70" s="1010" t="s">
        <v>833</v>
      </c>
      <c r="B70" s="1011">
        <f>(IFERROR(VLOOKUP(D70,obrotówka!$A$3:$J$1600,10,0),0))</f>
        <v>0</v>
      </c>
      <c r="C70" s="1012">
        <v>0</v>
      </c>
      <c r="D70" s="1013" t="s">
        <v>832</v>
      </c>
      <c r="E70" s="1012">
        <v>0</v>
      </c>
      <c r="F70" s="1012">
        <v>0</v>
      </c>
    </row>
    <row r="71" spans="1:6">
      <c r="A71" s="213" t="s">
        <v>835</v>
      </c>
      <c r="B71" s="210">
        <f>(IFERROR(VLOOKUP(D71,obrotówka!$A$3:$J$1600,10,0),0))</f>
        <v>0</v>
      </c>
      <c r="C71" s="589">
        <v>12026.45</v>
      </c>
      <c r="D71" s="209" t="s">
        <v>834</v>
      </c>
      <c r="E71" s="589">
        <v>2445.65</v>
      </c>
      <c r="F71" s="589">
        <v>23170.3499999999</v>
      </c>
    </row>
    <row r="72" spans="1:6">
      <c r="A72" s="213" t="s">
        <v>2837</v>
      </c>
      <c r="B72" s="210">
        <f>(IFERROR(VLOOKUP(D72,obrotówka!$A$3:$J$1600,10,0),0))</f>
        <v>48713.089999999902</v>
      </c>
      <c r="C72" s="589">
        <v>0</v>
      </c>
      <c r="D72" s="209" t="s">
        <v>3286</v>
      </c>
      <c r="E72" s="589">
        <v>650.40999999999894</v>
      </c>
      <c r="F72" s="589">
        <v>28561.16</v>
      </c>
    </row>
    <row r="73" spans="1:6">
      <c r="A73" s="213" t="s">
        <v>2837</v>
      </c>
      <c r="B73" s="210">
        <f>(IFERROR(VLOOKUP(D73,obrotówka!$A$3:$J$1600,10,0),0))</f>
        <v>0</v>
      </c>
      <c r="C73" s="589">
        <v>0</v>
      </c>
      <c r="D73" s="209" t="s">
        <v>2840</v>
      </c>
      <c r="E73" s="589">
        <v>510</v>
      </c>
      <c r="F73" s="589">
        <v>0</v>
      </c>
    </row>
    <row r="74" spans="1:6">
      <c r="A74" s="1010" t="s">
        <v>3379</v>
      </c>
      <c r="B74" s="1011">
        <f>(IFERROR(VLOOKUP(D74,obrotówka!$A$3:$J$1600,10,0),0))</f>
        <v>0</v>
      </c>
      <c r="C74" s="1012">
        <v>0</v>
      </c>
      <c r="D74" s="1013" t="s">
        <v>3354</v>
      </c>
      <c r="E74" s="1012">
        <v>765</v>
      </c>
      <c r="F74" s="1012"/>
    </row>
    <row r="75" spans="1:6">
      <c r="A75" s="213" t="s">
        <v>3288</v>
      </c>
      <c r="B75" s="210">
        <f>(IFERROR(VLOOKUP(D75,obrotówka!$A$3:$J$1600,10,0),0))</f>
        <v>0</v>
      </c>
      <c r="C75" s="589">
        <v>0</v>
      </c>
      <c r="D75" s="209" t="s">
        <v>3287</v>
      </c>
      <c r="E75" s="589">
        <v>3418.29</v>
      </c>
      <c r="F75" s="589">
        <v>25000</v>
      </c>
    </row>
    <row r="76" spans="1:6">
      <c r="A76" s="213" t="s">
        <v>837</v>
      </c>
      <c r="B76" s="210">
        <f>(IFERROR(VLOOKUP(D76,obrotówka!$A$3:$J$1600,10,0),0))</f>
        <v>0</v>
      </c>
      <c r="C76" s="589">
        <v>0</v>
      </c>
      <c r="D76" s="209" t="s">
        <v>836</v>
      </c>
      <c r="E76" s="589">
        <v>0</v>
      </c>
      <c r="F76" s="589">
        <v>0</v>
      </c>
    </row>
    <row r="77" spans="1:6">
      <c r="A77" s="213" t="s">
        <v>839</v>
      </c>
      <c r="B77" s="210">
        <f>(IFERROR(VLOOKUP(D77,obrotówka!$A$3:$J$1600,10,0),0))</f>
        <v>0</v>
      </c>
      <c r="C77" s="589">
        <v>0</v>
      </c>
      <c r="D77" s="209" t="s">
        <v>838</v>
      </c>
      <c r="E77" s="589">
        <v>0</v>
      </c>
      <c r="F77" s="589">
        <v>0</v>
      </c>
    </row>
    <row r="78" spans="1:6">
      <c r="A78" s="213" t="s">
        <v>839</v>
      </c>
      <c r="B78" s="210">
        <f>(IFERROR(VLOOKUP(D78,obrotówka!$A$3:$J$1600,10,0),0))</f>
        <v>3479.6199999999899</v>
      </c>
      <c r="C78" s="589">
        <v>314.61</v>
      </c>
      <c r="D78" s="209" t="s">
        <v>840</v>
      </c>
      <c r="E78" s="589">
        <v>4050714.98</v>
      </c>
      <c r="F78" s="589">
        <v>2109.0999999999899</v>
      </c>
    </row>
    <row r="79" spans="1:6">
      <c r="A79" s="213" t="s">
        <v>842</v>
      </c>
      <c r="B79" s="210">
        <f>(IFERROR(VLOOKUP(D79,obrotówka!$A$3:$J$1600,10,0),0))</f>
        <v>2595.0599999999899</v>
      </c>
      <c r="C79" s="589">
        <v>4828.75</v>
      </c>
      <c r="D79" s="209" t="s">
        <v>841</v>
      </c>
      <c r="E79" s="589">
        <v>20865.869999999901</v>
      </c>
      <c r="F79" s="589">
        <v>1666762.35</v>
      </c>
    </row>
    <row r="80" spans="1:6">
      <c r="A80" s="213" t="s">
        <v>3780</v>
      </c>
      <c r="B80" s="210">
        <f>(IFERROR(VLOOKUP(D80,obrotówka!$A$3:$J$1600,10,0),0))</f>
        <v>0</v>
      </c>
      <c r="C80" s="589">
        <v>618267</v>
      </c>
      <c r="D80" s="209" t="s">
        <v>3779</v>
      </c>
      <c r="E80" s="589"/>
      <c r="F80" s="589"/>
    </row>
    <row r="81" spans="1:7">
      <c r="A81" s="213" t="s">
        <v>844</v>
      </c>
      <c r="B81" s="210">
        <f>(IFERROR(VLOOKUP(D81,obrotówka!$A$3:$J$1600,10,0),0))</f>
        <v>55015.529999999897</v>
      </c>
      <c r="C81" s="589">
        <v>0</v>
      </c>
      <c r="D81" s="209" t="s">
        <v>843</v>
      </c>
      <c r="E81" s="589">
        <v>157252.579999999</v>
      </c>
      <c r="F81" s="589">
        <v>0</v>
      </c>
    </row>
    <row r="82" spans="1:7">
      <c r="A82" s="213" t="s">
        <v>4061</v>
      </c>
      <c r="B82" s="210">
        <f>(IFERROR(VLOOKUP(D82,obrotówka!$A$3:$J$1600,10,0),0))</f>
        <v>298.63</v>
      </c>
      <c r="C82" s="589">
        <v>0</v>
      </c>
      <c r="D82" s="209" t="s">
        <v>4060</v>
      </c>
      <c r="E82" s="589"/>
      <c r="F82" s="589"/>
    </row>
    <row r="83" spans="1:7">
      <c r="A83" s="213" t="s">
        <v>846</v>
      </c>
      <c r="B83" s="210">
        <f>(IFERROR(VLOOKUP(D83,obrotówka!$A$3:$J$1600,10,0),0))</f>
        <v>0</v>
      </c>
      <c r="C83" s="589">
        <v>26250</v>
      </c>
      <c r="D83" s="209" t="s">
        <v>845</v>
      </c>
      <c r="E83" s="589">
        <v>0</v>
      </c>
      <c r="F83" s="589">
        <v>0</v>
      </c>
    </row>
    <row r="84" spans="1:7">
      <c r="A84" s="213" t="s">
        <v>3299</v>
      </c>
      <c r="B84" s="210">
        <f>(IFERROR(VLOOKUP(D84,obrotówka!$A$3:$J$1600,10,0),0))</f>
        <v>0</v>
      </c>
      <c r="C84" s="589">
        <v>12262.129999999899</v>
      </c>
      <c r="D84" s="209" t="s">
        <v>3298</v>
      </c>
      <c r="E84" s="589">
        <v>0</v>
      </c>
      <c r="F84" s="589">
        <v>1292.8900000000001</v>
      </c>
    </row>
    <row r="85" spans="1:7">
      <c r="A85" s="213" t="s">
        <v>3453</v>
      </c>
      <c r="B85" s="210">
        <f>(IFERROR(VLOOKUP(D85,obrotówka!$A$3:$J$1600,10,0),0))</f>
        <v>0</v>
      </c>
      <c r="C85" s="589">
        <v>0</v>
      </c>
      <c r="D85" s="209" t="s">
        <v>3452</v>
      </c>
      <c r="E85" s="589">
        <v>137.61000000000001</v>
      </c>
      <c r="F85" s="589"/>
    </row>
    <row r="86" spans="1:7">
      <c r="A86" s="213" t="s">
        <v>3128</v>
      </c>
      <c r="B86" s="210">
        <f>(IFERROR(VLOOKUP(D86,obrotówka!$A$3:$J$1600,10,0),0))</f>
        <v>137088.429999999</v>
      </c>
      <c r="C86" s="589">
        <v>121359.82</v>
      </c>
      <c r="D86" s="209" t="s">
        <v>3127</v>
      </c>
      <c r="E86" s="589">
        <v>256198.399999999</v>
      </c>
      <c r="F86" s="589">
        <v>780980.37</v>
      </c>
    </row>
    <row r="87" spans="1:7">
      <c r="A87" s="213" t="s">
        <v>3342</v>
      </c>
      <c r="B87" s="210">
        <f>(IFERROR(VLOOKUP(D87,obrotówka!$A$3:$J$1600,10,0),0))</f>
        <v>0</v>
      </c>
      <c r="C87" s="589">
        <v>0</v>
      </c>
      <c r="D87" s="209" t="s">
        <v>3341</v>
      </c>
      <c r="E87" s="589">
        <v>10705.129999999899</v>
      </c>
      <c r="F87" s="589"/>
    </row>
    <row r="88" spans="1:7">
      <c r="A88" s="213" t="s">
        <v>848</v>
      </c>
      <c r="B88" s="210">
        <f>(IFERROR(VLOOKUP(D88,obrotówka!$A$3:$J$1600,10,0),0))</f>
        <v>45.579999999999899</v>
      </c>
      <c r="C88" s="589">
        <v>57.649999999999899</v>
      </c>
      <c r="D88" s="209" t="s">
        <v>847</v>
      </c>
      <c r="E88" s="589">
        <v>13.84</v>
      </c>
      <c r="F88" s="589">
        <v>20.02</v>
      </c>
    </row>
    <row r="89" spans="1:7">
      <c r="A89" s="213" t="s">
        <v>848</v>
      </c>
      <c r="B89" s="210">
        <f>(IFERROR(VLOOKUP(D89,obrotówka!$A$3:$J$1600,10,0),0))</f>
        <v>0.46</v>
      </c>
      <c r="C89" s="589">
        <v>0.01</v>
      </c>
      <c r="D89" s="209" t="s">
        <v>849</v>
      </c>
      <c r="E89" s="589">
        <v>0</v>
      </c>
      <c r="F89" s="589">
        <v>0.17999999999999899</v>
      </c>
    </row>
    <row r="90" spans="1:7">
      <c r="A90" s="213" t="s">
        <v>851</v>
      </c>
      <c r="B90" s="210">
        <f>(IFERROR(VLOOKUP(D90,obrotówka!$A$3:$J$1600,10,0),0))</f>
        <v>-283.48</v>
      </c>
      <c r="C90" s="589">
        <v>11881.719999999899</v>
      </c>
      <c r="D90" s="209" t="s">
        <v>850</v>
      </c>
      <c r="E90" s="589">
        <v>48596.309999999903</v>
      </c>
      <c r="F90" s="589">
        <v>1628.3299999999899</v>
      </c>
    </row>
    <row r="91" spans="1:7">
      <c r="A91" s="213" t="s">
        <v>851</v>
      </c>
      <c r="B91" s="210">
        <f>(IFERROR(VLOOKUP(D91,obrotówka!$A$3:$J$1600,10,0),0))</f>
        <v>7834</v>
      </c>
      <c r="C91" s="589">
        <v>0</v>
      </c>
      <c r="D91" s="209" t="s">
        <v>852</v>
      </c>
      <c r="E91" s="589">
        <v>0</v>
      </c>
      <c r="F91" s="589">
        <v>2343.4</v>
      </c>
    </row>
    <row r="92" spans="1:7">
      <c r="A92" s="213" t="s">
        <v>2517</v>
      </c>
      <c r="B92" s="210">
        <f>(IFERROR(VLOOKUP(D92,obrotówka!$A$3:$J$1600,10,0),0))</f>
        <v>0</v>
      </c>
      <c r="C92" s="589">
        <v>0</v>
      </c>
      <c r="D92" s="209" t="s">
        <v>2516</v>
      </c>
      <c r="E92" s="589">
        <v>0</v>
      </c>
      <c r="F92" s="589">
        <v>0</v>
      </c>
    </row>
    <row r="93" spans="1:7">
      <c r="A93" s="213" t="s">
        <v>3331</v>
      </c>
      <c r="B93" s="210">
        <f>(IFERROR(VLOOKUP(D93,obrotówka!$A$3:$J$1600,10,0),0))</f>
        <v>0</v>
      </c>
      <c r="C93" s="589">
        <v>0</v>
      </c>
      <c r="D93" s="209" t="s">
        <v>3330</v>
      </c>
      <c r="E93" s="589">
        <v>42.77</v>
      </c>
      <c r="F93" s="589"/>
    </row>
    <row r="94" spans="1:7">
      <c r="A94" s="213" t="s">
        <v>3755</v>
      </c>
      <c r="B94" s="210">
        <f>(IFERROR(VLOOKUP(D94,obrotówka!$A$3:$J$1600,10,0),0))</f>
        <v>0</v>
      </c>
      <c r="C94" s="589">
        <v>318000</v>
      </c>
      <c r="D94" s="209" t="s">
        <v>3754</v>
      </c>
      <c r="E94" s="589"/>
      <c r="F94" s="589"/>
    </row>
    <row r="95" spans="1:7">
      <c r="A95" s="213" t="s">
        <v>3159</v>
      </c>
      <c r="B95" s="210">
        <f>(IFERROR(VLOOKUP(D95,obrotówka!$A$3:$J$1600,10,0),0))</f>
        <v>0</v>
      </c>
      <c r="C95" s="589">
        <v>0</v>
      </c>
      <c r="D95" s="209" t="s">
        <v>3162</v>
      </c>
      <c r="E95" s="589">
        <v>1573725</v>
      </c>
      <c r="F95" s="589">
        <v>1248600</v>
      </c>
      <c r="G95" s="679"/>
    </row>
    <row r="96" spans="1:7">
      <c r="A96" s="213" t="s">
        <v>3446</v>
      </c>
      <c r="B96" s="210">
        <f>(IFERROR(VLOOKUP(D96,obrotówka!$A$3:$J$1600,10,0),0))</f>
        <v>0</v>
      </c>
      <c r="C96" s="589">
        <v>0</v>
      </c>
      <c r="D96" s="209" t="s">
        <v>3445</v>
      </c>
      <c r="E96" s="589">
        <v>518575</v>
      </c>
      <c r="F96" s="589"/>
      <c r="G96" s="679"/>
    </row>
    <row r="97" spans="1:8">
      <c r="A97" s="213" t="s">
        <v>2519</v>
      </c>
      <c r="B97" s="210">
        <f>(IFERROR(VLOOKUP(D97,obrotówka!$A$3:$J$1600,10,0),0))</f>
        <v>0</v>
      </c>
      <c r="C97" s="589">
        <v>0</v>
      </c>
      <c r="D97" s="209" t="s">
        <v>2518</v>
      </c>
      <c r="E97" s="589">
        <v>0</v>
      </c>
      <c r="F97" s="589">
        <v>0</v>
      </c>
    </row>
    <row r="98" spans="1:8">
      <c r="A98" s="213" t="s">
        <v>3123</v>
      </c>
      <c r="B98" s="210">
        <f>(IFERROR(VLOOKUP(D98,obrotówka!$A$3:$J$1600,10,0),0))</f>
        <v>9926.8099999999904</v>
      </c>
      <c r="C98" s="589">
        <v>45028.93</v>
      </c>
      <c r="D98" s="209" t="s">
        <v>3122</v>
      </c>
      <c r="E98" s="589">
        <v>5976.5799999999899</v>
      </c>
      <c r="F98" s="589">
        <v>26254.41</v>
      </c>
    </row>
    <row r="99" spans="1:8">
      <c r="A99" s="213" t="s">
        <v>3123</v>
      </c>
      <c r="B99" s="210">
        <f>(IFERROR(VLOOKUP(D99,obrotówka!$A$3:$J$1600,10,0),0))</f>
        <v>65635</v>
      </c>
      <c r="C99" s="589"/>
      <c r="D99" s="209" t="s">
        <v>4042</v>
      </c>
      <c r="E99" s="589"/>
      <c r="F99" s="589"/>
    </row>
    <row r="100" spans="1:8">
      <c r="A100" s="213" t="s">
        <v>2849</v>
      </c>
      <c r="B100" s="210">
        <f>(IFERROR(VLOOKUP(D100,obrotówka!$A$3:$J$1600,10,0),0))</f>
        <v>0</v>
      </c>
      <c r="C100" s="589">
        <v>0</v>
      </c>
      <c r="D100" s="209" t="s">
        <v>3447</v>
      </c>
      <c r="E100" s="589">
        <v>4074.63</v>
      </c>
      <c r="F100" s="589"/>
    </row>
    <row r="101" spans="1:8">
      <c r="A101" s="213" t="s">
        <v>2849</v>
      </c>
      <c r="B101" s="210">
        <f>(IFERROR(VLOOKUP(D101,obrotówka!$A$3:$J$1600,10,0),0))</f>
        <v>771.63</v>
      </c>
      <c r="C101" s="589">
        <v>1416.73</v>
      </c>
      <c r="D101" s="209" t="s">
        <v>2848</v>
      </c>
      <c r="E101" s="589">
        <v>358802.59</v>
      </c>
      <c r="F101" s="589">
        <v>0</v>
      </c>
    </row>
    <row r="102" spans="1:8">
      <c r="A102" s="588" t="s">
        <v>2856</v>
      </c>
      <c r="B102" s="210">
        <f>(IFERROR(VLOOKUP(D102,obrotówka!$A$3:$J$1600,10,0),0))</f>
        <v>0</v>
      </c>
      <c r="C102" s="589">
        <v>1407.43</v>
      </c>
      <c r="D102" s="209" t="s">
        <v>2855</v>
      </c>
      <c r="E102" s="589">
        <v>0</v>
      </c>
      <c r="F102" s="589">
        <v>0</v>
      </c>
    </row>
    <row r="103" spans="1:8">
      <c r="A103" s="211" t="s">
        <v>935</v>
      </c>
      <c r="B103" s="212">
        <f>B28+B30-B65-B66</f>
        <v>10547955.579999996</v>
      </c>
      <c r="C103" s="212">
        <v>6596141.3600009652</v>
      </c>
      <c r="E103" s="659">
        <v>4314079.0300001269</v>
      </c>
      <c r="F103" s="212">
        <v>-2100673.790000034</v>
      </c>
    </row>
    <row r="104" spans="1:8">
      <c r="A104" s="207" t="s">
        <v>923</v>
      </c>
      <c r="B104" s="208" t="s">
        <v>923</v>
      </c>
      <c r="C104" s="658" t="s">
        <v>923</v>
      </c>
      <c r="E104" s="658" t="s">
        <v>923</v>
      </c>
      <c r="F104" s="658" t="s">
        <v>923</v>
      </c>
    </row>
    <row r="105" spans="1:8">
      <c r="A105" s="999" t="s">
        <v>936</v>
      </c>
      <c r="B105" s="1002">
        <f>B106+B121</f>
        <v>167936.49999999997</v>
      </c>
      <c r="C105" s="1002">
        <v>20591.959999999992</v>
      </c>
      <c r="E105" s="1623">
        <v>19075.679999999982</v>
      </c>
      <c r="F105" s="1002">
        <v>7868.27</v>
      </c>
    </row>
    <row r="106" spans="1:8">
      <c r="A106" s="207" t="s">
        <v>979</v>
      </c>
      <c r="B106" s="208">
        <f>SUM(B107:B120)</f>
        <v>160120.72999999998</v>
      </c>
      <c r="C106" s="208">
        <v>18535.080000000002</v>
      </c>
      <c r="E106" s="658">
        <v>16319.089999999991</v>
      </c>
      <c r="F106" s="208">
        <v>8031.6699999999992</v>
      </c>
    </row>
    <row r="107" spans="1:8">
      <c r="A107" s="213" t="s">
        <v>756</v>
      </c>
      <c r="B107" s="210">
        <f>-(IFERROR(VLOOKUP(D107,obrotówka!$A$3:$J$1600,10,0),0))</f>
        <v>2</v>
      </c>
      <c r="C107" s="589">
        <v>2.8199999999999901</v>
      </c>
      <c r="D107" s="217" t="s">
        <v>755</v>
      </c>
      <c r="E107" s="589">
        <v>75.510000000000005</v>
      </c>
      <c r="F107" s="589">
        <v>554.82000000000005</v>
      </c>
    </row>
    <row r="108" spans="1:8">
      <c r="A108" s="213" t="s">
        <v>3916</v>
      </c>
      <c r="B108" s="210">
        <f>-(IFERROR(VLOOKUP(D108,obrotówka!$A$3:$J$1600,10,0),0))</f>
        <v>77.329999999999899</v>
      </c>
      <c r="C108" s="589"/>
      <c r="D108" s="217" t="s">
        <v>3915</v>
      </c>
      <c r="E108" s="589"/>
      <c r="F108" s="589"/>
    </row>
    <row r="109" spans="1:8">
      <c r="A109" s="213" t="s">
        <v>758</v>
      </c>
      <c r="B109" s="210">
        <f>-(IFERROR(VLOOKUP(D109,obrotówka!$A$3:$J$1600,10,0),0))</f>
        <v>0</v>
      </c>
      <c r="C109" s="589">
        <v>0</v>
      </c>
      <c r="D109" s="217" t="s">
        <v>757</v>
      </c>
      <c r="E109" s="589">
        <v>0</v>
      </c>
      <c r="F109" s="589">
        <v>0</v>
      </c>
    </row>
    <row r="110" spans="1:8">
      <c r="A110" s="213" t="s">
        <v>758</v>
      </c>
      <c r="B110" s="210">
        <f>-(IFERROR(VLOOKUP(D110,obrotówka!$A$3:$J$1600,10,0),0))</f>
        <v>0</v>
      </c>
      <c r="C110" s="589">
        <v>0</v>
      </c>
      <c r="D110" s="217" t="s">
        <v>759</v>
      </c>
      <c r="E110" s="589">
        <v>7.1399999999999899</v>
      </c>
      <c r="F110" s="589">
        <v>0</v>
      </c>
    </row>
    <row r="111" spans="1:8">
      <c r="A111" s="213" t="s">
        <v>758</v>
      </c>
      <c r="B111" s="210">
        <f>-(IFERROR(VLOOKUP(D111,obrotówka!$A$3:$J$1600,10,0),0))</f>
        <v>1679.65</v>
      </c>
      <c r="C111" s="589">
        <v>0</v>
      </c>
      <c r="D111" s="217" t="s">
        <v>760</v>
      </c>
      <c r="E111" s="589">
        <v>0</v>
      </c>
      <c r="F111" s="589">
        <v>0</v>
      </c>
    </row>
    <row r="112" spans="1:8">
      <c r="A112" s="213" t="s">
        <v>758</v>
      </c>
      <c r="B112" s="210">
        <f>-(IFERROR(VLOOKUP(D112,obrotówka!$A$3:$J$1600,10,0),0))</f>
        <v>2052.5799999999899</v>
      </c>
      <c r="C112" s="589">
        <v>314.61</v>
      </c>
      <c r="D112" s="217" t="s">
        <v>761</v>
      </c>
      <c r="E112" s="589">
        <v>3769.1999999999898</v>
      </c>
      <c r="F112" s="589">
        <v>6972.17</v>
      </c>
      <c r="G112" s="205">
        <f>G113-G140</f>
        <v>136519.63999999998</v>
      </c>
      <c r="H112" s="205">
        <f>H113-H140</f>
        <v>-207851.18000000002</v>
      </c>
    </row>
    <row r="113" spans="1:8">
      <c r="A113" s="213" t="s">
        <v>763</v>
      </c>
      <c r="B113" s="210">
        <f>-(IFERROR(VLOOKUP(D113,obrotówka!$A$3:$J$1600,10,0),0))</f>
        <v>108968.42</v>
      </c>
      <c r="C113" s="589">
        <v>13370.49</v>
      </c>
      <c r="D113" s="217" t="s">
        <v>762</v>
      </c>
      <c r="E113" s="589">
        <v>11315.16</v>
      </c>
      <c r="F113" s="589">
        <v>38.1</v>
      </c>
      <c r="G113" s="205">
        <f>B113+B114+B117+B118</f>
        <v>140652.31</v>
      </c>
      <c r="H113" s="205">
        <f>C113+C114+C117+C118</f>
        <v>17668.439999999999</v>
      </c>
    </row>
    <row r="114" spans="1:8">
      <c r="A114" s="213" t="s">
        <v>763</v>
      </c>
      <c r="B114" s="210">
        <f>-(IFERROR(VLOOKUP(D114,obrotówka!$A$3:$J$1600,10,0),0))</f>
        <v>14883.42</v>
      </c>
      <c r="C114" s="589">
        <v>1621.8</v>
      </c>
      <c r="D114" s="217" t="s">
        <v>764</v>
      </c>
      <c r="E114" s="589">
        <v>-198.28</v>
      </c>
      <c r="F114" s="589">
        <v>202.039999999999</v>
      </c>
    </row>
    <row r="115" spans="1:8">
      <c r="A115" s="213" t="s">
        <v>768</v>
      </c>
      <c r="B115" s="210">
        <f>-(IFERROR(VLOOKUP(D115,obrotówka!$A$3:$J$1600,10,0),0))</f>
        <v>15652.69</v>
      </c>
      <c r="C115" s="589">
        <v>549.21</v>
      </c>
      <c r="D115" s="217" t="s">
        <v>767</v>
      </c>
      <c r="E115" s="589">
        <v>1183.1300000000001</v>
      </c>
      <c r="F115" s="589">
        <v>155.36000000000001</v>
      </c>
    </row>
    <row r="116" spans="1:8">
      <c r="A116" s="213" t="s">
        <v>768</v>
      </c>
      <c r="B116" s="210">
        <f>-(IFERROR(VLOOKUP(D116,obrotówka!$A$3:$J$1600,10,0),0))</f>
        <v>4.1699999999999902</v>
      </c>
      <c r="C116" s="589">
        <v>0</v>
      </c>
      <c r="D116" s="217" t="s">
        <v>769</v>
      </c>
      <c r="E116" s="589">
        <v>0</v>
      </c>
      <c r="F116" s="589">
        <v>0</v>
      </c>
    </row>
    <row r="117" spans="1:8">
      <c r="A117" s="213" t="s">
        <v>766</v>
      </c>
      <c r="B117" s="210">
        <f>-(IFERROR(VLOOKUP(D117,obrotówka!$A$3:$J$1600,10,0),0))</f>
        <v>8297.7999999999902</v>
      </c>
      <c r="C117" s="589">
        <v>2394.7600000000002</v>
      </c>
      <c r="D117" s="217" t="s">
        <v>1795</v>
      </c>
      <c r="E117" s="589">
        <v>204.94</v>
      </c>
      <c r="F117" s="589">
        <v>0</v>
      </c>
    </row>
    <row r="118" spans="1:8">
      <c r="A118" s="213" t="s">
        <v>766</v>
      </c>
      <c r="B118" s="210">
        <f>-(IFERROR(VLOOKUP(D118,obrotówka!$A$3:$J$1600,10,0),0))</f>
        <v>8502.67</v>
      </c>
      <c r="C118" s="589">
        <v>281.38999999999902</v>
      </c>
      <c r="D118" s="217" t="s">
        <v>765</v>
      </c>
      <c r="E118" s="589">
        <v>-37.71</v>
      </c>
      <c r="F118" s="589">
        <v>37.71</v>
      </c>
    </row>
    <row r="119" spans="1:8">
      <c r="A119" s="213" t="s">
        <v>768</v>
      </c>
      <c r="B119" s="210">
        <f>-(IFERROR(VLOOKUP(D119,obrotówka!$A$3:$J$1600,10,0),0))</f>
        <v>0</v>
      </c>
      <c r="C119" s="589">
        <v>0</v>
      </c>
      <c r="D119" s="217" t="s">
        <v>3113</v>
      </c>
      <c r="E119" s="589">
        <v>0</v>
      </c>
      <c r="F119" s="589">
        <v>71.469999999999899</v>
      </c>
    </row>
    <row r="120" spans="1:8">
      <c r="A120" s="213"/>
      <c r="B120" s="210">
        <f>-(IFERROR(VLOOKUP(D120,obrotówka!$A$3:$J$1600,10,0),0))</f>
        <v>0</v>
      </c>
      <c r="C120" s="589">
        <v>0</v>
      </c>
      <c r="D120" s="217"/>
      <c r="E120" s="589">
        <v>0</v>
      </c>
      <c r="F120" s="589">
        <v>0</v>
      </c>
    </row>
    <row r="121" spans="1:8">
      <c r="A121" s="207" t="s">
        <v>980</v>
      </c>
      <c r="B121" s="133">
        <f>SUM(B122:B134)</f>
        <v>7815.7699999999877</v>
      </c>
      <c r="C121" s="133">
        <v>2056.8799999999901</v>
      </c>
      <c r="D121" s="218"/>
      <c r="E121" s="1624">
        <v>2756.5899999999897</v>
      </c>
      <c r="F121" s="133">
        <v>-163.39999999999895</v>
      </c>
    </row>
    <row r="122" spans="1:8">
      <c r="A122" s="213" t="s">
        <v>770</v>
      </c>
      <c r="B122" s="210">
        <f>-(IFERROR(VLOOKUP(D122,obrotówka!$A$3:$J$1600,10,0),0))</f>
        <v>0</v>
      </c>
      <c r="C122" s="589">
        <v>74</v>
      </c>
      <c r="D122" s="217" t="s">
        <v>3285</v>
      </c>
      <c r="E122" s="589">
        <v>0</v>
      </c>
      <c r="F122" s="589">
        <v>14</v>
      </c>
    </row>
    <row r="123" spans="1:8">
      <c r="A123" s="213" t="s">
        <v>3351</v>
      </c>
      <c r="B123" s="210">
        <f>-(IFERROR(VLOOKUP(D123,obrotówka!$A$3:$J$1600,10,0),0))</f>
        <v>0</v>
      </c>
      <c r="C123" s="589">
        <v>0</v>
      </c>
      <c r="D123" s="217" t="s">
        <v>3350</v>
      </c>
      <c r="E123" s="589">
        <v>0</v>
      </c>
      <c r="F123" s="589"/>
    </row>
    <row r="124" spans="1:8">
      <c r="A124" s="213" t="s">
        <v>3374</v>
      </c>
      <c r="B124" s="210">
        <f>-(IFERROR(VLOOKUP(D124,obrotówka!$A$3:$J$1600,10,0),0))</f>
        <v>7039.5799999999899</v>
      </c>
      <c r="C124" s="589">
        <v>0</v>
      </c>
      <c r="D124" s="217" t="s">
        <v>3373</v>
      </c>
      <c r="E124" s="589">
        <v>8.7200000000000006</v>
      </c>
      <c r="F124" s="589"/>
    </row>
    <row r="125" spans="1:8">
      <c r="A125" s="213" t="s">
        <v>3374</v>
      </c>
      <c r="B125" s="210">
        <f>-(IFERROR(VLOOKUP(D125,obrotówka!$A$3:$J$1600,10,0),0))</f>
        <v>0.04</v>
      </c>
      <c r="C125" s="589"/>
      <c r="D125" s="217" t="s">
        <v>3929</v>
      </c>
      <c r="E125" s="589"/>
      <c r="F125" s="589"/>
    </row>
    <row r="126" spans="1:8">
      <c r="A126" s="213" t="s">
        <v>3295</v>
      </c>
      <c r="B126" s="210">
        <f>-(IFERROR(VLOOKUP(D126,obrotówka!$A$3:$J$1600,10,0),0))</f>
        <v>147.19999999999899</v>
      </c>
      <c r="C126" s="589">
        <v>0</v>
      </c>
      <c r="D126" s="217" t="s">
        <v>3328</v>
      </c>
      <c r="E126" s="589">
        <v>323.8</v>
      </c>
      <c r="F126" s="589"/>
    </row>
    <row r="127" spans="1:8">
      <c r="A127" s="213" t="s">
        <v>3295</v>
      </c>
      <c r="B127" s="210">
        <f>-(IFERROR(VLOOKUP(D127,obrotówka!$A$3:$J$1600,10,0),0))</f>
        <v>0</v>
      </c>
      <c r="C127" s="589">
        <v>-2.62</v>
      </c>
      <c r="D127" s="217" t="s">
        <v>3294</v>
      </c>
      <c r="E127" s="589">
        <v>-129.12</v>
      </c>
      <c r="F127" s="589">
        <v>131.74</v>
      </c>
    </row>
    <row r="128" spans="1:8">
      <c r="A128" s="213" t="s">
        <v>3938</v>
      </c>
      <c r="B128" s="210">
        <f>-(IFERROR(VLOOKUP(D128,obrotówka!$A$3:$J$1600,10,0),0))</f>
        <v>0</v>
      </c>
      <c r="C128" s="589"/>
      <c r="D128" s="217" t="s">
        <v>3937</v>
      </c>
      <c r="E128" s="589"/>
      <c r="F128" s="589"/>
    </row>
    <row r="129" spans="1:8">
      <c r="A129" s="213" t="s">
        <v>2525</v>
      </c>
      <c r="B129" s="210">
        <f>-(IFERROR(VLOOKUP(D129,obrotówka!$A$3:$J$1600,10,0),0))</f>
        <v>0</v>
      </c>
      <c r="C129" s="589">
        <v>0</v>
      </c>
      <c r="D129" s="217" t="s">
        <v>2524</v>
      </c>
      <c r="E129" s="589">
        <v>93.87</v>
      </c>
      <c r="F129" s="589">
        <v>198.52</v>
      </c>
    </row>
    <row r="130" spans="1:8">
      <c r="A130" s="213" t="s">
        <v>2525</v>
      </c>
      <c r="B130" s="210">
        <f>-(IFERROR(VLOOKUP(D130,obrotówka!$A$3:$J$1600,10,0),0))</f>
        <v>-3.6899999999999902</v>
      </c>
      <c r="C130" s="589">
        <v>3.6899999999999902</v>
      </c>
      <c r="D130" s="217" t="s">
        <v>2847</v>
      </c>
      <c r="E130" s="589">
        <v>-7.66</v>
      </c>
      <c r="F130" s="589">
        <v>-619.63999999999896</v>
      </c>
    </row>
    <row r="131" spans="1:8">
      <c r="A131" s="213" t="s">
        <v>3439</v>
      </c>
      <c r="B131" s="210">
        <f>-(IFERROR(VLOOKUP(D131,obrotówka!$A$3:$J$1600,10,0),0))</f>
        <v>632.63999999999896</v>
      </c>
      <c r="C131" s="589">
        <v>1981.8099999999899</v>
      </c>
      <c r="D131" s="217" t="s">
        <v>3438</v>
      </c>
      <c r="E131" s="589">
        <v>2464.9899999999898</v>
      </c>
      <c r="F131" s="589"/>
    </row>
    <row r="132" spans="1:8">
      <c r="A132" s="588" t="s">
        <v>3081</v>
      </c>
      <c r="B132" s="210">
        <f>-(IFERROR(VLOOKUP(D132,obrotówka!$A$3:$J$1600,10,0),0))</f>
        <v>0</v>
      </c>
      <c r="C132" s="589">
        <v>0</v>
      </c>
      <c r="D132" s="217" t="s">
        <v>3080</v>
      </c>
      <c r="E132" s="589">
        <v>0</v>
      </c>
      <c r="F132" s="589">
        <v>111.79</v>
      </c>
    </row>
    <row r="133" spans="1:8">
      <c r="A133" s="588" t="s">
        <v>3151</v>
      </c>
      <c r="B133" s="210">
        <f>-(IFERROR(VLOOKUP(D133,obrotówka!$A$3:$J$1600,10,0),0))</f>
        <v>0</v>
      </c>
      <c r="C133" s="589">
        <v>0</v>
      </c>
      <c r="D133" s="217" t="s">
        <v>3150</v>
      </c>
      <c r="E133" s="589">
        <v>1.99</v>
      </c>
      <c r="F133" s="589">
        <v>0.19</v>
      </c>
    </row>
    <row r="134" spans="1:8">
      <c r="A134" s="588" t="s">
        <v>3160</v>
      </c>
      <c r="B134" s="210">
        <f>-(IFERROR(VLOOKUP(D134,obrotówka!$A$3:$J$1600,10,0),0))</f>
        <v>0</v>
      </c>
      <c r="C134" s="589">
        <v>0</v>
      </c>
      <c r="D134" s="217"/>
      <c r="E134" s="589">
        <v>0</v>
      </c>
      <c r="F134" s="589">
        <v>0</v>
      </c>
    </row>
    <row r="135" spans="1:8">
      <c r="A135" s="999" t="s">
        <v>937</v>
      </c>
      <c r="B135" s="1002">
        <f>B136+B154</f>
        <v>888198.2799999991</v>
      </c>
      <c r="C135" s="1002">
        <v>1407256.8699999992</v>
      </c>
      <c r="D135" s="219"/>
      <c r="E135" s="1623">
        <v>2248811.6699999981</v>
      </c>
      <c r="F135" s="1002">
        <v>2226813.5699999998</v>
      </c>
    </row>
    <row r="136" spans="1:8">
      <c r="A136" s="207" t="s">
        <v>979</v>
      </c>
      <c r="B136" s="208">
        <f>SUM(B137:B153)</f>
        <v>226807.63999999902</v>
      </c>
      <c r="C136" s="208">
        <v>594766.39999999898</v>
      </c>
      <c r="D136" s="220"/>
      <c r="E136" s="658">
        <v>1351227.0299999979</v>
      </c>
      <c r="F136" s="208">
        <v>1776274.8599999996</v>
      </c>
    </row>
    <row r="137" spans="1:8">
      <c r="A137" s="213" t="s">
        <v>772</v>
      </c>
      <c r="B137" s="210">
        <f>(IFERROR(VLOOKUP(D137,obrotówka!$A$3:$J$1600,10,0),0))</f>
        <v>241.11</v>
      </c>
      <c r="C137" s="589">
        <v>934.44</v>
      </c>
      <c r="D137" s="217" t="s">
        <v>771</v>
      </c>
      <c r="E137" s="589">
        <v>2274.5100000000002</v>
      </c>
      <c r="F137" s="589">
        <v>3260.6399999999899</v>
      </c>
    </row>
    <row r="138" spans="1:8">
      <c r="A138" s="213" t="s">
        <v>772</v>
      </c>
      <c r="B138" s="210">
        <f>(IFERROR(VLOOKUP(D138,obrotówka!$A$3:$J$1600,10,0),0))</f>
        <v>223978.959999999</v>
      </c>
      <c r="C138" s="589">
        <v>304949.28999999899</v>
      </c>
      <c r="D138" s="217" t="s">
        <v>773</v>
      </c>
      <c r="E138" s="589">
        <v>312598.83</v>
      </c>
      <c r="F138" s="589">
        <v>321368.07</v>
      </c>
    </row>
    <row r="139" spans="1:8">
      <c r="A139" s="213" t="s">
        <v>772</v>
      </c>
      <c r="B139" s="210">
        <f>(IFERROR(VLOOKUP(D139,obrotówka!$A$3:$J$1600,10,0),0))</f>
        <v>13206.469999999899</v>
      </c>
      <c r="C139" s="589">
        <v>18229.810000000001</v>
      </c>
      <c r="D139" s="217" t="s">
        <v>774</v>
      </c>
      <c r="E139" s="589">
        <v>18722.57</v>
      </c>
      <c r="F139" s="589">
        <v>19244.459999999901</v>
      </c>
    </row>
    <row r="140" spans="1:8">
      <c r="A140" s="213" t="s">
        <v>776</v>
      </c>
      <c r="B140" s="210">
        <f>(IFERROR(VLOOKUP(D140,obrotówka!$A$3:$J$1600,10,0),0))</f>
        <v>12630.82</v>
      </c>
      <c r="C140" s="589">
        <v>207565.26</v>
      </c>
      <c r="D140" s="217" t="s">
        <v>775</v>
      </c>
      <c r="E140" s="589">
        <v>254911.709999999</v>
      </c>
      <c r="F140" s="589">
        <v>885292.42</v>
      </c>
      <c r="G140" s="205">
        <f>B140+B141+B149+B150</f>
        <v>4132.6700000000192</v>
      </c>
      <c r="H140" s="205">
        <f>C140+C141+C149+C150</f>
        <v>225519.62000000002</v>
      </c>
    </row>
    <row r="141" spans="1:8">
      <c r="A141" s="213" t="s">
        <v>778</v>
      </c>
      <c r="B141" s="210">
        <f>(IFERROR(VLOOKUP(D141,obrotówka!$A$3:$J$1600,10,0),0))</f>
        <v>-8838.1399999999903</v>
      </c>
      <c r="C141" s="589">
        <v>-16992.27</v>
      </c>
      <c r="D141" s="217" t="s">
        <v>777</v>
      </c>
      <c r="E141" s="589">
        <v>-69967.919999999896</v>
      </c>
      <c r="F141" s="589">
        <v>72877.639999999898</v>
      </c>
    </row>
    <row r="142" spans="1:8">
      <c r="A142" s="213" t="s">
        <v>783</v>
      </c>
      <c r="B142" s="210">
        <f>(IFERROR(VLOOKUP(D142,obrotówka!$A$3:$J$1600,10,0),0))</f>
        <v>0</v>
      </c>
      <c r="C142" s="589">
        <v>0</v>
      </c>
      <c r="D142" s="217" t="s">
        <v>782</v>
      </c>
      <c r="E142" s="589">
        <v>0</v>
      </c>
      <c r="F142" s="589">
        <v>0</v>
      </c>
    </row>
    <row r="143" spans="1:8">
      <c r="A143" s="213" t="s">
        <v>783</v>
      </c>
      <c r="B143" s="210">
        <f>(IFERROR(VLOOKUP(D143,obrotówka!$A$3:$J$1600,10,0),0))</f>
        <v>0</v>
      </c>
      <c r="C143" s="589">
        <v>0.27</v>
      </c>
      <c r="D143" s="217" t="s">
        <v>784</v>
      </c>
      <c r="E143" s="589">
        <v>0</v>
      </c>
      <c r="F143" s="589">
        <v>9.0099999999999891</v>
      </c>
    </row>
    <row r="144" spans="1:8">
      <c r="A144" s="213" t="s">
        <v>783</v>
      </c>
      <c r="B144" s="210">
        <f>(IFERROR(VLOOKUP(D144,obrotówka!$A$3:$J$1600,10,0),0))</f>
        <v>0</v>
      </c>
      <c r="C144" s="589">
        <v>0</v>
      </c>
      <c r="D144" s="217" t="s">
        <v>785</v>
      </c>
      <c r="E144" s="589">
        <v>0</v>
      </c>
      <c r="F144" s="589">
        <v>0</v>
      </c>
    </row>
    <row r="145" spans="1:11">
      <c r="A145" s="213" t="s">
        <v>787</v>
      </c>
      <c r="B145" s="210">
        <f>(IFERROR(VLOOKUP(D145,obrotówka!$A$3:$J$1600,10,0),0))</f>
        <v>0</v>
      </c>
      <c r="C145" s="589">
        <v>0</v>
      </c>
      <c r="D145" s="217" t="s">
        <v>786</v>
      </c>
      <c r="E145" s="589">
        <v>0</v>
      </c>
      <c r="F145" s="589">
        <v>0</v>
      </c>
    </row>
    <row r="146" spans="1:11">
      <c r="A146" s="213" t="s">
        <v>787</v>
      </c>
      <c r="B146" s="210">
        <f>(IFERROR(VLOOKUP(D146,obrotówka!$A$3:$J$1600,10,0),0))</f>
        <v>0</v>
      </c>
      <c r="C146" s="589">
        <v>0</v>
      </c>
      <c r="D146" s="217" t="s">
        <v>788</v>
      </c>
      <c r="E146" s="589">
        <v>0</v>
      </c>
      <c r="F146" s="589">
        <v>0</v>
      </c>
    </row>
    <row r="147" spans="1:11">
      <c r="A147" s="213" t="s">
        <v>787</v>
      </c>
      <c r="B147" s="210">
        <f>(IFERROR(VLOOKUP(D147,obrotówka!$A$3:$J$1600,10,0),0))</f>
        <v>15218.23</v>
      </c>
      <c r="C147" s="589">
        <v>1887.24</v>
      </c>
      <c r="D147" s="217" t="s">
        <v>789</v>
      </c>
      <c r="E147" s="589">
        <v>33521.779999999897</v>
      </c>
      <c r="F147" s="589">
        <v>18728.52</v>
      </c>
    </row>
    <row r="148" spans="1:11">
      <c r="A148" s="213" t="s">
        <v>787</v>
      </c>
      <c r="B148" s="210">
        <f>(IFERROR(VLOOKUP(D148,obrotówka!$A$3:$J$1600,10,0),0))</f>
        <v>-29969.799999999901</v>
      </c>
      <c r="C148" s="589">
        <v>34417.230000000003</v>
      </c>
      <c r="D148" s="217" t="s">
        <v>790</v>
      </c>
      <c r="E148" s="589">
        <v>50899.58</v>
      </c>
      <c r="F148" s="589">
        <v>92486.639999999898</v>
      </c>
    </row>
    <row r="149" spans="1:11">
      <c r="A149" s="213" t="s">
        <v>780</v>
      </c>
      <c r="B149" s="210">
        <f>(IFERROR(VLOOKUP(D149,obrotówka!$A$3:$J$1600,10,0),0))</f>
        <v>4824.97</v>
      </c>
      <c r="C149" s="589">
        <v>85833.869999999893</v>
      </c>
      <c r="D149" s="217" t="s">
        <v>779</v>
      </c>
      <c r="E149" s="589">
        <v>73301.839999999895</v>
      </c>
      <c r="F149" s="589">
        <v>142349.28</v>
      </c>
    </row>
    <row r="150" spans="1:11">
      <c r="A150" s="213" t="s">
        <v>780</v>
      </c>
      <c r="B150" s="210">
        <f>(IFERROR(VLOOKUP(D150,obrotówka!$A$3:$J$1600,10,0),0))</f>
        <v>-4484.9799999999896</v>
      </c>
      <c r="C150" s="589">
        <v>-50887.239999999903</v>
      </c>
      <c r="D150" s="217" t="s">
        <v>781</v>
      </c>
      <c r="E150" s="589">
        <v>12053.93</v>
      </c>
      <c r="F150" s="589">
        <v>10304.02</v>
      </c>
    </row>
    <row r="151" spans="1:11">
      <c r="A151" s="213" t="s">
        <v>2478</v>
      </c>
      <c r="B151" s="210">
        <f>(IFERROR(VLOOKUP(D151,obrotówka!$A$3:$J$1600,10,0),0))</f>
        <v>0</v>
      </c>
      <c r="C151" s="589">
        <v>0</v>
      </c>
      <c r="D151" s="217" t="s">
        <v>2477</v>
      </c>
      <c r="E151" s="589">
        <v>662910.19999999902</v>
      </c>
      <c r="F151" s="589">
        <v>210354.16</v>
      </c>
    </row>
    <row r="152" spans="1:11">
      <c r="A152" s="213" t="s">
        <v>2478</v>
      </c>
      <c r="B152" s="210">
        <f>(IFERROR(VLOOKUP(D152,obrotówka!$A$3:$J$1600,10,0),0))</f>
        <v>0</v>
      </c>
      <c r="C152" s="589">
        <v>8828.5</v>
      </c>
      <c r="D152" s="217" t="s">
        <v>2493</v>
      </c>
      <c r="E152" s="589">
        <v>0</v>
      </c>
      <c r="F152" s="589">
        <v>0</v>
      </c>
    </row>
    <row r="153" spans="1:11">
      <c r="A153" s="213"/>
      <c r="B153" s="210">
        <f>(IFERROR(VLOOKUP(D153,obrotówka!$A$3:$J$1600,10,0),0))</f>
        <v>0</v>
      </c>
      <c r="C153" s="589">
        <v>0</v>
      </c>
      <c r="D153" s="217"/>
      <c r="E153" s="589">
        <v>0</v>
      </c>
      <c r="F153" s="589">
        <v>0</v>
      </c>
    </row>
    <row r="154" spans="1:11">
      <c r="A154" s="207" t="s">
        <v>980</v>
      </c>
      <c r="B154" s="208">
        <f>SUM(B155:B172)</f>
        <v>661390.64</v>
      </c>
      <c r="C154" s="208">
        <v>812490.47000000009</v>
      </c>
      <c r="D154" s="219"/>
      <c r="E154" s="658">
        <v>897584.6399999999</v>
      </c>
      <c r="F154" s="208">
        <v>450538.71</v>
      </c>
    </row>
    <row r="155" spans="1:11">
      <c r="A155" s="213" t="s">
        <v>794</v>
      </c>
      <c r="B155" s="210">
        <f>(IFERROR(VLOOKUP(D155,obrotówka!$A$3:$J$1600,10,0),0))</f>
        <v>358.85</v>
      </c>
      <c r="C155" s="589">
        <v>1949.98</v>
      </c>
      <c r="D155" s="217" t="s">
        <v>793</v>
      </c>
      <c r="E155" s="589">
        <v>3262.4</v>
      </c>
      <c r="F155" s="589">
        <v>8687.4899999999907</v>
      </c>
    </row>
    <row r="156" spans="1:11">
      <c r="A156" s="213" t="s">
        <v>3376</v>
      </c>
      <c r="B156" s="210">
        <f>(IFERROR(VLOOKUP(D156,obrotówka!$A$3:$J$1600,10,0),0))</f>
        <v>24932.74</v>
      </c>
      <c r="C156" s="589">
        <v>48242.419999999896</v>
      </c>
      <c r="D156" s="217" t="s">
        <v>3375</v>
      </c>
      <c r="E156" s="589">
        <v>8236.45999999999</v>
      </c>
      <c r="F156" s="589"/>
    </row>
    <row r="157" spans="1:11">
      <c r="A157" s="213" t="s">
        <v>794</v>
      </c>
      <c r="B157" s="210">
        <f>(IFERROR(VLOOKUP(D157,obrotówka!$A$3:$J$1600,10,0),0))</f>
        <v>13203.32</v>
      </c>
      <c r="C157" s="589">
        <v>0</v>
      </c>
      <c r="D157" s="217" t="s">
        <v>3329</v>
      </c>
      <c r="E157" s="589">
        <v>5228.51</v>
      </c>
      <c r="F157" s="589"/>
      <c r="H157" s="1776" t="s">
        <v>3723</v>
      </c>
      <c r="I157" s="1776"/>
      <c r="J157" s="1776"/>
    </row>
    <row r="158" spans="1:11">
      <c r="A158" s="213" t="s">
        <v>3953</v>
      </c>
      <c r="B158" s="210">
        <f>(IFERROR(VLOOKUP(D158,obrotówka!$A$3:$J$1600,10,0),0))</f>
        <v>0</v>
      </c>
      <c r="C158" s="589"/>
      <c r="D158" s="217" t="s">
        <v>3952</v>
      </c>
      <c r="E158" s="589"/>
      <c r="F158" s="589"/>
      <c r="H158" s="1635"/>
      <c r="I158" s="1635"/>
      <c r="J158" s="1635"/>
    </row>
    <row r="159" spans="1:11">
      <c r="A159" s="213" t="s">
        <v>794</v>
      </c>
      <c r="B159" s="210">
        <f>(IFERROR(VLOOKUP(D159,obrotówka!$A$3:$J$1600,10,0),0))</f>
        <v>235.72</v>
      </c>
      <c r="C159" s="589">
        <v>0</v>
      </c>
      <c r="D159" s="217" t="s">
        <v>795</v>
      </c>
      <c r="E159" s="589">
        <v>0</v>
      </c>
      <c r="F159" s="589">
        <v>0</v>
      </c>
      <c r="K159" s="1028" t="s">
        <v>3684</v>
      </c>
    </row>
    <row r="160" spans="1:11">
      <c r="A160" s="213" t="s">
        <v>797</v>
      </c>
      <c r="B160" s="210">
        <f>(IFERROR(VLOOKUP(D160,obrotówka!$A$3:$J$1600,10,0),0))</f>
        <v>0</v>
      </c>
      <c r="C160" s="589">
        <v>0</v>
      </c>
      <c r="D160" s="217" t="s">
        <v>796</v>
      </c>
      <c r="E160" s="589">
        <v>0</v>
      </c>
      <c r="F160" s="589">
        <v>0</v>
      </c>
      <c r="K160" s="1028" t="s">
        <v>2756</v>
      </c>
    </row>
    <row r="161" spans="1:12">
      <c r="A161" s="213" t="s">
        <v>3353</v>
      </c>
      <c r="B161" s="210">
        <f>(IFERROR(VLOOKUP(D161,obrotówka!$A$3:$J$1600,10,0),0))</f>
        <v>0</v>
      </c>
      <c r="C161" s="589">
        <v>0</v>
      </c>
      <c r="D161" s="217" t="s">
        <v>3352</v>
      </c>
      <c r="E161" s="589">
        <v>0.26</v>
      </c>
      <c r="F161" s="589"/>
      <c r="K161" s="1032">
        <v>4.2729999999999997</v>
      </c>
    </row>
    <row r="162" spans="1:12">
      <c r="A162" s="213" t="s">
        <v>799</v>
      </c>
      <c r="B162" s="210">
        <f>(IFERROR(VLOOKUP(D162,obrotówka!$A$3:$J$1600,10,0),0))</f>
        <v>234.509999999999</v>
      </c>
      <c r="C162" s="589">
        <v>314.39999999999901</v>
      </c>
      <c r="D162" s="217" t="s">
        <v>798</v>
      </c>
      <c r="E162" s="589">
        <v>590.03999999999905</v>
      </c>
      <c r="F162" s="589">
        <v>979.5</v>
      </c>
      <c r="H162" s="206" t="s">
        <v>3724</v>
      </c>
      <c r="I162" s="206" t="s">
        <v>3725</v>
      </c>
      <c r="K162" s="205">
        <f>H163/K161</f>
        <v>39236472.857477181</v>
      </c>
      <c r="L162" s="206" t="s">
        <v>3724</v>
      </c>
    </row>
    <row r="163" spans="1:12">
      <c r="A163" s="213" t="s">
        <v>801</v>
      </c>
      <c r="B163" s="210">
        <f>(IFERROR(VLOOKUP(D163,obrotówka!$A$3:$J$1600,10,0),0))</f>
        <v>135172</v>
      </c>
      <c r="C163" s="589">
        <v>162640</v>
      </c>
      <c r="D163" s="217" t="s">
        <v>800</v>
      </c>
      <c r="E163" s="589">
        <v>160840</v>
      </c>
      <c r="F163" s="589">
        <v>81650</v>
      </c>
      <c r="G163" s="1031" t="s">
        <v>3680</v>
      </c>
      <c r="H163" s="134">
        <f>C20+C30+C105</f>
        <v>167657448.51999998</v>
      </c>
      <c r="I163" s="205">
        <v>169946492.59999999</v>
      </c>
      <c r="K163" s="205">
        <f>I163/K161</f>
        <v>39772172.384741403</v>
      </c>
      <c r="L163" s="206" t="s">
        <v>3725</v>
      </c>
    </row>
    <row r="164" spans="1:12">
      <c r="A164" s="213" t="s">
        <v>803</v>
      </c>
      <c r="B164" s="210">
        <f>(IFERROR(VLOOKUP(D164,obrotówka!$A$3:$J$1600,10,0),0))</f>
        <v>486939</v>
      </c>
      <c r="C164" s="589">
        <v>638681</v>
      </c>
      <c r="D164" s="217" t="s">
        <v>802</v>
      </c>
      <c r="E164" s="589">
        <v>656956</v>
      </c>
      <c r="F164" s="589">
        <v>347640</v>
      </c>
      <c r="G164" s="1031" t="s">
        <v>3681</v>
      </c>
      <c r="H164" s="134">
        <f>C22+C65+C66+C135</f>
        <v>162447972.06999901</v>
      </c>
      <c r="I164" s="1042">
        <v>164560789.24999905</v>
      </c>
    </row>
    <row r="165" spans="1:12">
      <c r="A165" s="213" t="s">
        <v>805</v>
      </c>
      <c r="B165" s="210">
        <f>(IFERROR(VLOOKUP(D165,obrotówka!$A$3:$J$1600,10,0),0))</f>
        <v>45.27</v>
      </c>
      <c r="C165" s="589">
        <v>291.77999999999901</v>
      </c>
      <c r="D165" s="217" t="s">
        <v>804</v>
      </c>
      <c r="E165" s="589">
        <v>186.83</v>
      </c>
      <c r="F165" s="589">
        <v>384.68</v>
      </c>
      <c r="G165" s="1031" t="s">
        <v>3682</v>
      </c>
      <c r="H165" s="134">
        <f>H163-H164</f>
        <v>5209476.4500009716</v>
      </c>
      <c r="I165" s="134">
        <f>I163-I164</f>
        <v>5385703.3500009477</v>
      </c>
    </row>
    <row r="166" spans="1:12">
      <c r="A166" s="213" t="s">
        <v>792</v>
      </c>
      <c r="B166" s="210">
        <f>(IFERROR(VLOOKUP(D166,obrotówka!$A$3:$J$1600,10,0),0))</f>
        <v>2510.46</v>
      </c>
      <c r="C166" s="589">
        <v>3279.4099999999899</v>
      </c>
      <c r="D166" s="217" t="s">
        <v>791</v>
      </c>
      <c r="E166" s="589">
        <v>21440</v>
      </c>
      <c r="F166" s="589">
        <v>6521.09</v>
      </c>
      <c r="I166" s="133"/>
    </row>
    <row r="167" spans="1:12">
      <c r="A167" s="213" t="s">
        <v>3115</v>
      </c>
      <c r="B167" s="210">
        <f>(IFERROR(VLOOKUP(D167,obrotówka!$A$3:$J$1600,10,0),0))</f>
        <v>-2241.23</v>
      </c>
      <c r="C167" s="589">
        <v>-42908.519999999902</v>
      </c>
      <c r="D167" s="217" t="s">
        <v>3114</v>
      </c>
      <c r="E167" s="589">
        <v>45149.75</v>
      </c>
      <c r="F167" s="589">
        <v>0.31</v>
      </c>
    </row>
    <row r="168" spans="1:12">
      <c r="A168" s="213" t="s">
        <v>3153</v>
      </c>
      <c r="B168" s="210">
        <f>(IFERROR(VLOOKUP(D168,obrotówka!$A$3:$J$1600,10,0),0))</f>
        <v>0</v>
      </c>
      <c r="C168" s="589">
        <v>0</v>
      </c>
      <c r="D168" s="217" t="s">
        <v>3152</v>
      </c>
      <c r="E168" s="589">
        <v>-4305.6099999999897</v>
      </c>
      <c r="F168" s="589">
        <v>4305.6099999999897</v>
      </c>
    </row>
    <row r="169" spans="1:12">
      <c r="A169" s="213" t="s">
        <v>3121</v>
      </c>
      <c r="B169" s="210">
        <f>(IFERROR(VLOOKUP(D169,obrotówka!$A$3:$J$1600,10,0),0))</f>
        <v>0</v>
      </c>
      <c r="C169" s="589">
        <v>0</v>
      </c>
      <c r="D169" s="217" t="s">
        <v>3131</v>
      </c>
      <c r="E169" s="589">
        <v>0</v>
      </c>
      <c r="F169" s="589">
        <v>370.02999999999901</v>
      </c>
    </row>
    <row r="170" spans="1:12">
      <c r="A170" s="213" t="s">
        <v>3121</v>
      </c>
      <c r="B170" s="210">
        <f>(IFERROR(VLOOKUP(D170,obrotówka!$A$3:$J$1600,10,0),0))</f>
        <v>0</v>
      </c>
      <c r="C170" s="589">
        <v>0</v>
      </c>
      <c r="D170" s="217" t="s">
        <v>3120</v>
      </c>
      <c r="E170" s="589">
        <v>0</v>
      </c>
      <c r="F170" s="589">
        <v>0</v>
      </c>
      <c r="H170" s="1775" t="s">
        <v>3722</v>
      </c>
      <c r="I170" s="1775"/>
      <c r="J170" s="1775"/>
      <c r="K170" s="1028" t="s">
        <v>3684</v>
      </c>
    </row>
    <row r="171" spans="1:12">
      <c r="A171" s="213"/>
      <c r="B171" s="210">
        <f>(IFERROR(VLOOKUP(D171,obrotówka!$A$3:$J$1600,10,0),0))</f>
        <v>0</v>
      </c>
      <c r="C171" s="589">
        <v>0</v>
      </c>
      <c r="D171" s="217"/>
      <c r="E171" s="589">
        <v>0</v>
      </c>
      <c r="F171" s="589">
        <v>0</v>
      </c>
      <c r="K171" s="1028" t="s">
        <v>2756</v>
      </c>
    </row>
    <row r="172" spans="1:12">
      <c r="A172" s="213"/>
      <c r="B172" s="210">
        <f>(IFERROR(VLOOKUP(D172,obrotówka!$A$3:$J$1600,10,0),0))</f>
        <v>0</v>
      </c>
      <c r="C172" s="589">
        <v>0</v>
      </c>
      <c r="D172" s="217"/>
      <c r="E172" s="589">
        <v>0</v>
      </c>
      <c r="F172" s="589">
        <v>0</v>
      </c>
      <c r="K172" s="1043">
        <v>4.2790999999999997</v>
      </c>
    </row>
    <row r="173" spans="1:12">
      <c r="A173" s="207" t="s">
        <v>938</v>
      </c>
      <c r="B173" s="208" t="s">
        <v>923</v>
      </c>
      <c r="C173" s="658" t="s">
        <v>923</v>
      </c>
      <c r="E173" s="658" t="s">
        <v>923</v>
      </c>
      <c r="F173" s="658" t="s">
        <v>923</v>
      </c>
      <c r="G173" s="1031" t="s">
        <v>3680</v>
      </c>
      <c r="H173" s="134">
        <f>B20+B30+B105</f>
        <v>126759240.15000001</v>
      </c>
      <c r="K173" s="205">
        <f>H173/K172</f>
        <v>29622874.003879324</v>
      </c>
      <c r="L173" s="206" t="s">
        <v>3724</v>
      </c>
    </row>
    <row r="174" spans="1:12">
      <c r="A174" s="207" t="s">
        <v>923</v>
      </c>
      <c r="B174" s="208" t="s">
        <v>923</v>
      </c>
      <c r="C174" s="658" t="s">
        <v>923</v>
      </c>
      <c r="E174" s="658" t="s">
        <v>923</v>
      </c>
      <c r="F174" s="658" t="s">
        <v>923</v>
      </c>
      <c r="G174" s="1031" t="s">
        <v>3681</v>
      </c>
      <c r="H174" s="134">
        <f>B22+B65+B66+B135</f>
        <v>116931546.35000001</v>
      </c>
      <c r="I174" s="1041"/>
    </row>
    <row r="175" spans="1:12">
      <c r="A175" s="211" t="s">
        <v>939</v>
      </c>
      <c r="B175" s="212">
        <f>B103+B105-B135</f>
        <v>9827693.799999997</v>
      </c>
      <c r="C175" s="212">
        <v>5209476.450000966</v>
      </c>
      <c r="E175" s="659">
        <v>2084343.0400001286</v>
      </c>
      <c r="F175" s="212">
        <v>-4319619.0900000334</v>
      </c>
      <c r="G175" s="1031" t="s">
        <v>3682</v>
      </c>
      <c r="H175" s="134">
        <f>H173-H174</f>
        <v>9827693.799999997</v>
      </c>
      <c r="I175" s="223"/>
    </row>
    <row r="176" spans="1:12">
      <c r="A176" s="207" t="s">
        <v>923</v>
      </c>
      <c r="B176" s="208" t="s">
        <v>923</v>
      </c>
      <c r="C176" s="658" t="s">
        <v>923</v>
      </c>
      <c r="E176" s="658" t="s">
        <v>923</v>
      </c>
      <c r="F176" s="658" t="s">
        <v>923</v>
      </c>
      <c r="I176" s="1630">
        <f>B136-B106</f>
        <v>66686.909999999043</v>
      </c>
      <c r="J176" s="1629" t="s">
        <v>3909</v>
      </c>
    </row>
    <row r="177" spans="1:14">
      <c r="A177" s="211" t="s">
        <v>940</v>
      </c>
      <c r="B177" s="212">
        <f>SUM(B178:B182)</f>
        <v>1908461.01</v>
      </c>
      <c r="C177" s="659">
        <v>4970334.3899999997</v>
      </c>
      <c r="E177" s="659">
        <v>1398781.9900000002</v>
      </c>
      <c r="F177" s="659">
        <v>-597737.85000000009</v>
      </c>
      <c r="G177" s="1044">
        <f>B177/B175</f>
        <v>0.19419215218121677</v>
      </c>
      <c r="I177" s="1779" t="str">
        <f>IF(I176&gt;3000000,"Zrobić analizę kosztów finansowania dłużnego!!!","")</f>
        <v/>
      </c>
      <c r="J177" s="1779"/>
      <c r="K177" s="1779"/>
      <c r="L177" s="1779"/>
      <c r="M177" s="1779"/>
      <c r="N177" s="1779"/>
    </row>
    <row r="178" spans="1:14">
      <c r="A178" s="213" t="s">
        <v>983</v>
      </c>
      <c r="B178" s="210">
        <f>(IFERROR(VLOOKUP(D178,obrotówka!$A$3:$J$1600,10,0),0))</f>
        <v>533435</v>
      </c>
      <c r="C178" s="589">
        <v>1030588</v>
      </c>
      <c r="D178" s="209" t="s">
        <v>913</v>
      </c>
      <c r="E178" s="589">
        <v>397958</v>
      </c>
      <c r="F178" s="589">
        <v>863286</v>
      </c>
      <c r="G178" s="1044">
        <f>B178/B175</f>
        <v>5.4278756629556384E-2</v>
      </c>
    </row>
    <row r="179" spans="1:14">
      <c r="A179" s="213" t="s">
        <v>2858</v>
      </c>
      <c r="B179" s="210">
        <f>(IFERROR(VLOOKUP(D179,obrotówka!$A$3:$J$1600,10,0),0))</f>
        <v>-47774</v>
      </c>
      <c r="C179" s="589">
        <v>-29850</v>
      </c>
      <c r="D179" s="209" t="s">
        <v>2857</v>
      </c>
      <c r="E179" s="589">
        <v>404088</v>
      </c>
      <c r="F179" s="589">
        <v>5220</v>
      </c>
      <c r="G179" s="205"/>
    </row>
    <row r="180" spans="1:14">
      <c r="A180" s="213" t="s">
        <v>985</v>
      </c>
      <c r="B180" s="210">
        <f>(IFERROR(VLOOKUP(D180,obrotówka!$A$3:$J$1600,10,0),0))</f>
        <v>1447698.76</v>
      </c>
      <c r="C180" s="589">
        <v>4540975.79</v>
      </c>
      <c r="D180" s="209" t="s">
        <v>914</v>
      </c>
      <c r="E180" s="589">
        <v>779371.62</v>
      </c>
      <c r="F180" s="589">
        <v>-698735.17</v>
      </c>
    </row>
    <row r="181" spans="1:14">
      <c r="A181" s="213" t="s">
        <v>986</v>
      </c>
      <c r="B181" s="210">
        <f>(IFERROR(VLOOKUP(D181,obrotówka!$A$3:$J$1600,10,0),0))</f>
        <v>-24898.75</v>
      </c>
      <c r="C181" s="589">
        <v>-571379.4</v>
      </c>
      <c r="D181" s="209" t="s">
        <v>915</v>
      </c>
      <c r="E181" s="589">
        <v>-182635.63</v>
      </c>
      <c r="F181" s="589">
        <v>-767508.68</v>
      </c>
      <c r="H181" s="1777" t="s">
        <v>3908</v>
      </c>
      <c r="I181" s="1778"/>
      <c r="J181" s="1778"/>
      <c r="K181" s="1778"/>
      <c r="L181" s="1778"/>
      <c r="M181" s="1778"/>
      <c r="N181" s="1778"/>
    </row>
    <row r="182" spans="1:14">
      <c r="A182" s="213" t="s">
        <v>984</v>
      </c>
      <c r="B182" s="210">
        <f>(IFERROR(VLOOKUP(D182,obrotówka!$A$3:$J$1600,10,0),0))</f>
        <v>0</v>
      </c>
      <c r="C182" s="589">
        <v>0</v>
      </c>
      <c r="D182" s="209" t="s">
        <v>916</v>
      </c>
      <c r="E182" s="589">
        <v>0</v>
      </c>
      <c r="F182" s="589">
        <v>0</v>
      </c>
      <c r="G182" s="205"/>
      <c r="H182" s="1778"/>
      <c r="I182" s="1778"/>
      <c r="J182" s="1778"/>
      <c r="K182" s="1778"/>
      <c r="L182" s="1778"/>
      <c r="M182" s="1778"/>
      <c r="N182" s="1778"/>
    </row>
    <row r="183" spans="1:14">
      <c r="A183" s="207" t="s">
        <v>923</v>
      </c>
      <c r="B183" s="208" t="s">
        <v>923</v>
      </c>
      <c r="C183" s="658" t="s">
        <v>923</v>
      </c>
      <c r="E183" s="658" t="s">
        <v>923</v>
      </c>
      <c r="F183" s="658" t="s">
        <v>923</v>
      </c>
      <c r="H183" s="1778"/>
      <c r="I183" s="1778"/>
      <c r="J183" s="1778"/>
      <c r="K183" s="1778"/>
      <c r="L183" s="1778"/>
      <c r="M183" s="1778"/>
      <c r="N183" s="1778"/>
    </row>
    <row r="184" spans="1:14">
      <c r="A184" s="211" t="s">
        <v>941</v>
      </c>
      <c r="B184" s="212">
        <f>B175-B177</f>
        <v>7919232.7899999972</v>
      </c>
      <c r="C184" s="659">
        <v>239142.0600009663</v>
      </c>
      <c r="E184" s="659">
        <v>685561.05000012834</v>
      </c>
      <c r="F184" s="659">
        <v>-3721881.2400000333</v>
      </c>
      <c r="H184" s="1778"/>
      <c r="I184" s="1778"/>
      <c r="J184" s="1778"/>
      <c r="K184" s="1778"/>
      <c r="L184" s="1778"/>
      <c r="M184" s="1778"/>
      <c r="N184" s="1778"/>
    </row>
    <row r="185" spans="1:14">
      <c r="A185" s="207" t="s">
        <v>923</v>
      </c>
      <c r="B185" s="208" t="s">
        <v>923</v>
      </c>
      <c r="C185" s="658" t="s">
        <v>923</v>
      </c>
      <c r="E185" s="658" t="s">
        <v>923</v>
      </c>
      <c r="F185" s="658" t="s">
        <v>923</v>
      </c>
      <c r="H185" s="1778"/>
      <c r="I185" s="1778"/>
      <c r="J185" s="1778"/>
      <c r="K185" s="1778"/>
      <c r="L185" s="1778"/>
      <c r="M185" s="1778"/>
      <c r="N185" s="1778"/>
    </row>
    <row r="186" spans="1:14">
      <c r="A186" s="207" t="s">
        <v>942</v>
      </c>
      <c r="B186" s="208" t="s">
        <v>923</v>
      </c>
      <c r="C186" s="658" t="s">
        <v>923</v>
      </c>
      <c r="E186" s="658" t="s">
        <v>923</v>
      </c>
      <c r="F186" s="658" t="s">
        <v>923</v>
      </c>
      <c r="H186" s="1778"/>
      <c r="I186" s="1778"/>
      <c r="J186" s="1778"/>
      <c r="K186" s="1778"/>
      <c r="L186" s="1778"/>
      <c r="M186" s="1778"/>
      <c r="N186" s="1778"/>
    </row>
    <row r="187" spans="1:14">
      <c r="A187" s="207" t="s">
        <v>923</v>
      </c>
      <c r="B187" s="208" t="s">
        <v>923</v>
      </c>
      <c r="C187" s="658" t="s">
        <v>923</v>
      </c>
      <c r="E187" s="658" t="s">
        <v>923</v>
      </c>
      <c r="F187" s="658" t="s">
        <v>923</v>
      </c>
      <c r="H187" s="1778"/>
      <c r="I187" s="1778"/>
      <c r="J187" s="1778"/>
      <c r="K187" s="1778"/>
      <c r="L187" s="1778"/>
      <c r="M187" s="1778"/>
      <c r="N187" s="1778"/>
    </row>
    <row r="188" spans="1:14">
      <c r="A188" s="207" t="s">
        <v>943</v>
      </c>
      <c r="B188" s="208" t="s">
        <v>923</v>
      </c>
      <c r="C188" s="658" t="s">
        <v>923</v>
      </c>
      <c r="E188" s="658" t="s">
        <v>923</v>
      </c>
      <c r="F188" s="658" t="s">
        <v>923</v>
      </c>
      <c r="H188" s="1778"/>
      <c r="I188" s="1778"/>
      <c r="J188" s="1778"/>
      <c r="K188" s="1778"/>
      <c r="L188" s="1778"/>
      <c r="M188" s="1778"/>
      <c r="N188" s="1778"/>
    </row>
    <row r="189" spans="1:14">
      <c r="A189" s="207" t="s">
        <v>923</v>
      </c>
      <c r="B189" s="208" t="s">
        <v>923</v>
      </c>
      <c r="C189" s="658" t="s">
        <v>923</v>
      </c>
      <c r="E189" s="658" t="s">
        <v>923</v>
      </c>
      <c r="F189" s="658" t="s">
        <v>923</v>
      </c>
      <c r="H189" s="1778"/>
      <c r="I189" s="1778"/>
      <c r="J189" s="1778"/>
      <c r="K189" s="1778"/>
      <c r="L189" s="1778"/>
      <c r="M189" s="1778"/>
      <c r="N189" s="1778"/>
    </row>
    <row r="190" spans="1:14">
      <c r="A190" s="211" t="s">
        <v>944</v>
      </c>
      <c r="B190" s="212">
        <f>B184</f>
        <v>7919232.7899999972</v>
      </c>
      <c r="C190" s="659">
        <v>239142.0600009663</v>
      </c>
      <c r="E190" s="659">
        <v>685561.05000012834</v>
      </c>
      <c r="F190" s="659">
        <v>-3721881.2400000333</v>
      </c>
      <c r="H190" s="1778"/>
      <c r="I190" s="1778"/>
      <c r="J190" s="1778"/>
      <c r="K190" s="1778"/>
      <c r="L190" s="1778"/>
      <c r="M190" s="1778"/>
      <c r="N190" s="1778"/>
    </row>
    <row r="191" spans="1:14">
      <c r="A191" s="207" t="s">
        <v>923</v>
      </c>
      <c r="B191" s="208" t="s">
        <v>923</v>
      </c>
      <c r="C191" s="658" t="s">
        <v>923</v>
      </c>
      <c r="E191" s="658" t="s">
        <v>923</v>
      </c>
      <c r="F191" s="658" t="s">
        <v>923</v>
      </c>
    </row>
    <row r="192" spans="1:14">
      <c r="A192" s="207" t="s">
        <v>945</v>
      </c>
      <c r="B192" s="208" t="s">
        <v>923</v>
      </c>
      <c r="C192" s="658" t="s">
        <v>923</v>
      </c>
      <c r="E192" s="658" t="s">
        <v>923</v>
      </c>
      <c r="F192" s="658" t="s">
        <v>923</v>
      </c>
    </row>
    <row r="193" spans="1:6">
      <c r="A193" s="207" t="s">
        <v>923</v>
      </c>
      <c r="B193" s="208"/>
      <c r="C193" s="658"/>
      <c r="E193" s="658"/>
      <c r="F193" s="658"/>
    </row>
    <row r="194" spans="1:6" ht="20.399999999999999">
      <c r="A194" s="207" t="s">
        <v>946</v>
      </c>
      <c r="B194" s="208" t="s">
        <v>923</v>
      </c>
      <c r="C194" s="658" t="s">
        <v>923</v>
      </c>
      <c r="E194" s="658" t="s">
        <v>923</v>
      </c>
      <c r="F194" s="658" t="s">
        <v>923</v>
      </c>
    </row>
    <row r="195" spans="1:6">
      <c r="A195" s="207" t="s">
        <v>947</v>
      </c>
      <c r="B195" s="208" t="s">
        <v>923</v>
      </c>
      <c r="C195" s="658" t="s">
        <v>923</v>
      </c>
      <c r="E195" s="658" t="s">
        <v>923</v>
      </c>
      <c r="F195" s="658" t="s">
        <v>923</v>
      </c>
    </row>
    <row r="196" spans="1:6">
      <c r="A196" s="207" t="s">
        <v>948</v>
      </c>
      <c r="B196" s="208">
        <f>-'wycena rezerw aktuarialnych'!D5</f>
        <v>0</v>
      </c>
      <c r="C196" s="658">
        <v>46946.800000000025</v>
      </c>
      <c r="E196" s="658"/>
      <c r="F196" s="658"/>
    </row>
    <row r="197" spans="1:6">
      <c r="A197" s="207" t="s">
        <v>949</v>
      </c>
      <c r="B197" s="208">
        <f>-'wycena rezerw aktuarialnych'!D8</f>
        <v>0</v>
      </c>
      <c r="C197" s="658">
        <v>133728</v>
      </c>
      <c r="E197" s="658"/>
      <c r="F197" s="658"/>
    </row>
    <row r="198" spans="1:6">
      <c r="A198" s="207" t="s">
        <v>950</v>
      </c>
      <c r="B198" s="208"/>
      <c r="C198" s="658"/>
      <c r="E198" s="658"/>
      <c r="F198" s="658"/>
    </row>
    <row r="199" spans="1:6">
      <c r="A199" s="207" t="s">
        <v>951</v>
      </c>
      <c r="B199" s="208"/>
      <c r="C199" s="658"/>
      <c r="E199" s="658"/>
      <c r="F199" s="658"/>
    </row>
    <row r="200" spans="1:6">
      <c r="A200" s="207" t="s">
        <v>952</v>
      </c>
      <c r="B200" s="208"/>
      <c r="C200" s="658"/>
      <c r="E200" s="658"/>
      <c r="F200" s="658"/>
    </row>
    <row r="201" spans="1:6">
      <c r="A201" s="207" t="s">
        <v>953</v>
      </c>
      <c r="B201" s="208">
        <f>-'wycena rezerw aktuarialnych'!D19</f>
        <v>0</v>
      </c>
      <c r="C201" s="658">
        <v>34328.21</v>
      </c>
      <c r="E201" s="658"/>
      <c r="F201" s="658"/>
    </row>
    <row r="202" spans="1:6">
      <c r="A202" s="207" t="s">
        <v>923</v>
      </c>
      <c r="B202" s="208" t="s">
        <v>923</v>
      </c>
      <c r="C202" s="658" t="s">
        <v>923</v>
      </c>
      <c r="E202" s="658" t="s">
        <v>923</v>
      </c>
      <c r="F202" s="658" t="s">
        <v>923</v>
      </c>
    </row>
    <row r="203" spans="1:6">
      <c r="A203" s="211" t="s">
        <v>954</v>
      </c>
      <c r="B203" s="212">
        <f>B196+B197-B201</f>
        <v>0</v>
      </c>
      <c r="C203" s="659">
        <v>146346.59000000003</v>
      </c>
      <c r="E203" s="659">
        <v>0</v>
      </c>
      <c r="F203" s="659">
        <v>0</v>
      </c>
    </row>
    <row r="204" spans="1:6">
      <c r="A204" s="211" t="s">
        <v>955</v>
      </c>
      <c r="B204" s="212">
        <f>B203+B190</f>
        <v>7919232.7899999972</v>
      </c>
      <c r="C204" s="659">
        <v>385488.65000096633</v>
      </c>
      <c r="E204" s="659">
        <v>685561.05000012834</v>
      </c>
      <c r="F204" s="659">
        <v>-3721881.2400000333</v>
      </c>
    </row>
    <row r="205" spans="1:6">
      <c r="A205" s="207" t="s">
        <v>923</v>
      </c>
      <c r="B205" s="208" t="s">
        <v>923</v>
      </c>
      <c r="C205" s="658" t="s">
        <v>923</v>
      </c>
      <c r="E205" s="658" t="s">
        <v>923</v>
      </c>
      <c r="F205" s="658" t="s">
        <v>923</v>
      </c>
    </row>
    <row r="206" spans="1:6">
      <c r="A206" s="207" t="s">
        <v>923</v>
      </c>
      <c r="B206" s="208" t="s">
        <v>923</v>
      </c>
      <c r="C206" s="658" t="s">
        <v>923</v>
      </c>
      <c r="E206" s="658" t="s">
        <v>923</v>
      </c>
      <c r="F206" s="658" t="s">
        <v>923</v>
      </c>
    </row>
    <row r="207" spans="1:6">
      <c r="A207" s="207" t="s">
        <v>923</v>
      </c>
      <c r="B207" s="208" t="s">
        <v>923</v>
      </c>
      <c r="C207" s="658" t="s">
        <v>923</v>
      </c>
      <c r="E207" s="658" t="s">
        <v>923</v>
      </c>
      <c r="F207" s="658" t="s">
        <v>923</v>
      </c>
    </row>
    <row r="208" spans="1:6">
      <c r="A208" s="207" t="s">
        <v>923</v>
      </c>
      <c r="B208" s="208" t="s">
        <v>923</v>
      </c>
      <c r="C208" s="658" t="s">
        <v>923</v>
      </c>
      <c r="E208" s="658" t="s">
        <v>923</v>
      </c>
      <c r="F208" s="658" t="s">
        <v>923</v>
      </c>
    </row>
    <row r="209" spans="1:6">
      <c r="A209" s="211" t="s">
        <v>956</v>
      </c>
      <c r="B209" s="212">
        <f>B103+B215</f>
        <v>12745276.699999996</v>
      </c>
      <c r="C209" s="659">
        <v>10079747.550000966</v>
      </c>
      <c r="E209" s="659">
        <v>7218081.7300001169</v>
      </c>
      <c r="F209" s="659">
        <v>1110654.8599999552</v>
      </c>
    </row>
    <row r="213" spans="1:6">
      <c r="A213" s="221" t="s">
        <v>957</v>
      </c>
    </row>
    <row r="215" spans="1:6">
      <c r="A215" s="207" t="s">
        <v>958</v>
      </c>
      <c r="B215" s="208">
        <f>SUM(B216:B223)</f>
        <v>2197321.12</v>
      </c>
      <c r="C215" s="658">
        <v>3483606.1899999995</v>
      </c>
      <c r="E215" s="658">
        <v>2904002.6999999899</v>
      </c>
      <c r="F215" s="658">
        <v>3211328.6499999892</v>
      </c>
    </row>
    <row r="216" spans="1:6">
      <c r="A216" s="213" t="s">
        <v>373</v>
      </c>
      <c r="B216" s="210">
        <f>(IFERROR(VLOOKUP(D216,obrotówka!$A$3:$J$1600,10,0),0))</f>
        <v>1863666.73</v>
      </c>
      <c r="C216" s="589">
        <v>2734260.27</v>
      </c>
      <c r="D216" s="209" t="s">
        <v>372</v>
      </c>
      <c r="E216" s="589">
        <v>2460674.5899999901</v>
      </c>
      <c r="F216" s="589">
        <v>2774545.8999999901</v>
      </c>
    </row>
    <row r="217" spans="1:6">
      <c r="A217" s="213" t="s">
        <v>375</v>
      </c>
      <c r="B217" s="134">
        <f>(IFERROR(VLOOKUP(D217,obrotówka!$A$3:$J$1600,10,0),0))</f>
        <v>305701.52</v>
      </c>
      <c r="C217" s="589">
        <v>408834.28</v>
      </c>
      <c r="D217" s="209" t="s">
        <v>374</v>
      </c>
      <c r="E217" s="589">
        <v>400808.9</v>
      </c>
      <c r="F217" s="589">
        <v>392972.15999999898</v>
      </c>
    </row>
    <row r="218" spans="1:6">
      <c r="A218" s="213" t="s">
        <v>377</v>
      </c>
      <c r="B218" s="134">
        <f>(IFERROR(VLOOKUP(D218,obrotówka!$A$3:$J$1600,10,0),0))</f>
        <v>16080.92</v>
      </c>
      <c r="C218" s="589">
        <v>20991.360000000001</v>
      </c>
      <c r="D218" s="209" t="s">
        <v>376</v>
      </c>
      <c r="E218" s="589">
        <v>28692.57</v>
      </c>
      <c r="F218" s="589">
        <v>29983.95</v>
      </c>
    </row>
    <row r="219" spans="1:6">
      <c r="A219" s="213" t="s">
        <v>379</v>
      </c>
      <c r="B219" s="134">
        <f>(IFERROR(VLOOKUP(D219,obrotówka!$A$3:$J$1600,10,0),0))</f>
        <v>2679.17</v>
      </c>
      <c r="C219" s="589">
        <v>3572.2399999999898</v>
      </c>
      <c r="D219" s="209" t="s">
        <v>378</v>
      </c>
      <c r="E219" s="589">
        <v>3572.23</v>
      </c>
      <c r="F219" s="589">
        <v>3572.2399999999898</v>
      </c>
    </row>
    <row r="220" spans="1:6">
      <c r="A220" s="213" t="s">
        <v>381</v>
      </c>
      <c r="B220" s="210">
        <f>(IFERROR(VLOOKUP(D220,obrotówka!$A$3:$J$1600,10,0),0))</f>
        <v>0</v>
      </c>
      <c r="C220" s="589">
        <v>0</v>
      </c>
      <c r="D220" s="209" t="s">
        <v>380</v>
      </c>
      <c r="E220" s="589">
        <v>0</v>
      </c>
      <c r="F220" s="589">
        <v>0</v>
      </c>
    </row>
    <row r="221" spans="1:6">
      <c r="A221" s="213" t="s">
        <v>383</v>
      </c>
      <c r="B221" s="134">
        <f>(IFERROR(VLOOKUP(D221,obrotówka!$A$3:$J$1600,10,0),0))</f>
        <v>1501.97</v>
      </c>
      <c r="C221" s="589">
        <v>305693.64</v>
      </c>
      <c r="D221" s="209" t="s">
        <v>382</v>
      </c>
      <c r="E221" s="589">
        <v>0</v>
      </c>
      <c r="F221" s="589">
        <v>0</v>
      </c>
    </row>
    <row r="222" spans="1:6">
      <c r="A222" s="213" t="s">
        <v>2345</v>
      </c>
      <c r="B222" s="134">
        <f>(IFERROR(VLOOKUP(D222,obrotówka!$A$3:$J$1600,10,0),0))</f>
        <v>7690.81</v>
      </c>
      <c r="C222" s="589">
        <v>10254.4</v>
      </c>
      <c r="D222" s="216" t="s">
        <v>2344</v>
      </c>
      <c r="E222" s="589">
        <v>10254.41</v>
      </c>
      <c r="F222" s="589">
        <v>10254.4</v>
      </c>
    </row>
    <row r="223" spans="1:6">
      <c r="A223" s="213"/>
      <c r="B223" s="210">
        <f>(IFERROR(VLOOKUP(D223,obrotówka!$A$3:$J$1600,10,0),0))</f>
        <v>0</v>
      </c>
      <c r="C223" s="589">
        <v>0</v>
      </c>
      <c r="D223" s="216"/>
      <c r="E223" s="589">
        <v>0</v>
      </c>
      <c r="F223" s="589">
        <v>0</v>
      </c>
    </row>
    <row r="224" spans="1:6">
      <c r="A224" s="207" t="s">
        <v>959</v>
      </c>
      <c r="B224" s="208">
        <f>SUM(B225:B262)</f>
        <v>20453418.199999984</v>
      </c>
      <c r="C224" s="658">
        <v>20429261.139999986</v>
      </c>
      <c r="E224" s="658">
        <v>30905360.089999881</v>
      </c>
      <c r="F224" s="658">
        <v>19327975.709999975</v>
      </c>
    </row>
    <row r="225" spans="1:6">
      <c r="A225" s="213" t="s">
        <v>385</v>
      </c>
      <c r="B225" s="134">
        <f>(IFERROR(VLOOKUP(D225,obrotówka!$A$3:$J$1600,10,0),0))</f>
        <v>1697351.2</v>
      </c>
      <c r="C225" s="655">
        <v>2644564.77</v>
      </c>
      <c r="D225" s="209" t="s">
        <v>384</v>
      </c>
      <c r="E225" s="655">
        <v>7511724.5599999903</v>
      </c>
      <c r="F225" s="655">
        <v>4317213.95</v>
      </c>
    </row>
    <row r="226" spans="1:6">
      <c r="A226" s="213" t="s">
        <v>387</v>
      </c>
      <c r="B226" s="134">
        <f>(IFERROR(VLOOKUP(D226,obrotówka!$A$3:$J$1600,10,0),0))</f>
        <v>1901115.55</v>
      </c>
      <c r="C226" s="655">
        <v>2672135.62</v>
      </c>
      <c r="D226" s="209" t="s">
        <v>386</v>
      </c>
      <c r="E226" s="655">
        <v>3147341.29</v>
      </c>
      <c r="F226" s="655">
        <v>2411431.54999999</v>
      </c>
    </row>
    <row r="227" spans="1:6">
      <c r="A227" s="213" t="s">
        <v>389</v>
      </c>
      <c r="B227" s="134">
        <f>(IFERROR(VLOOKUP(D227,obrotówka!$A$3:$J$1600,10,0),0))</f>
        <v>1246848.4199999899</v>
      </c>
      <c r="C227" s="655">
        <v>1564484.1899999899</v>
      </c>
      <c r="D227" s="209" t="s">
        <v>388</v>
      </c>
      <c r="E227" s="655">
        <v>2739048.48</v>
      </c>
      <c r="F227" s="655">
        <v>1224766.9399999899</v>
      </c>
    </row>
    <row r="228" spans="1:6">
      <c r="A228" s="213" t="s">
        <v>391</v>
      </c>
      <c r="B228" s="134">
        <f>(IFERROR(VLOOKUP(D228,obrotówka!$A$3:$J$1600,10,0),0))</f>
        <v>10888194.99</v>
      </c>
      <c r="C228" s="655">
        <v>6446595.4500000002</v>
      </c>
      <c r="D228" s="209" t="s">
        <v>390</v>
      </c>
      <c r="E228" s="655">
        <v>11180462.199999901</v>
      </c>
      <c r="F228" s="655">
        <v>5056448.0199999902</v>
      </c>
    </row>
    <row r="229" spans="1:6">
      <c r="A229" s="213" t="s">
        <v>391</v>
      </c>
      <c r="B229" s="134">
        <f>(IFERROR(VLOOKUP(D229,obrotówka!$A$3:$J$1600,10,0),0))</f>
        <v>0</v>
      </c>
      <c r="C229" s="655">
        <v>0</v>
      </c>
      <c r="D229" s="209" t="s">
        <v>392</v>
      </c>
      <c r="E229" s="655">
        <v>0</v>
      </c>
      <c r="F229" s="655">
        <v>7217.97</v>
      </c>
    </row>
    <row r="230" spans="1:6">
      <c r="A230" s="213" t="s">
        <v>394</v>
      </c>
      <c r="B230" s="134">
        <f>(IFERROR(VLOOKUP(D230,obrotówka!$A$3:$J$1600,10,0),0))</f>
        <v>490768.41999999899</v>
      </c>
      <c r="C230" s="655">
        <v>649506.33999999904</v>
      </c>
      <c r="D230" s="209" t="s">
        <v>393</v>
      </c>
      <c r="E230" s="655">
        <v>618980.37</v>
      </c>
      <c r="F230" s="655">
        <v>813887.9</v>
      </c>
    </row>
    <row r="231" spans="1:6">
      <c r="A231" s="213" t="s">
        <v>396</v>
      </c>
      <c r="B231" s="134">
        <f>(IFERROR(VLOOKUP(D231,obrotówka!$A$3:$J$1600,10,0),0))</f>
        <v>199425.13</v>
      </c>
      <c r="C231" s="655">
        <v>224153.81</v>
      </c>
      <c r="D231" s="209" t="s">
        <v>395</v>
      </c>
      <c r="E231" s="655">
        <v>143414.53</v>
      </c>
      <c r="F231" s="655">
        <v>97922.869999999893</v>
      </c>
    </row>
    <row r="232" spans="1:6">
      <c r="A232" s="213" t="s">
        <v>398</v>
      </c>
      <c r="B232" s="134">
        <f>(IFERROR(VLOOKUP(D232,obrotówka!$A$3:$J$1600,10,0),0))</f>
        <v>187867.13</v>
      </c>
      <c r="C232" s="655">
        <v>292974.09000000003</v>
      </c>
      <c r="D232" s="209" t="s">
        <v>397</v>
      </c>
      <c r="E232" s="655">
        <v>247210.82</v>
      </c>
      <c r="F232" s="655">
        <v>186153.45</v>
      </c>
    </row>
    <row r="233" spans="1:6">
      <c r="A233" s="213" t="s">
        <v>400</v>
      </c>
      <c r="B233" s="134">
        <f>(IFERROR(VLOOKUP(D233,obrotówka!$A$3:$J$1600,10,0),0))</f>
        <v>155464.19</v>
      </c>
      <c r="C233" s="655">
        <v>288195.45</v>
      </c>
      <c r="D233" s="209" t="s">
        <v>399</v>
      </c>
      <c r="E233" s="655">
        <v>320342.63</v>
      </c>
      <c r="F233" s="655">
        <v>284707.179999999</v>
      </c>
    </row>
    <row r="234" spans="1:6">
      <c r="A234" s="213" t="s">
        <v>400</v>
      </c>
      <c r="B234" s="134">
        <f>(IFERROR(VLOOKUP(D234,obrotówka!$A$3:$J$1600,10,0),0))</f>
        <v>559.91999999999905</v>
      </c>
      <c r="C234" s="655">
        <v>0</v>
      </c>
      <c r="D234" s="209" t="s">
        <v>401</v>
      </c>
      <c r="E234" s="655">
        <v>1520.3399999999899</v>
      </c>
      <c r="F234" s="655">
        <v>3064.6799999999898</v>
      </c>
    </row>
    <row r="235" spans="1:6">
      <c r="A235" s="213" t="s">
        <v>403</v>
      </c>
      <c r="B235" s="134">
        <f>(IFERROR(VLOOKUP(D235,obrotówka!$A$3:$J$1600,10,0),0))</f>
        <v>337282.09999999899</v>
      </c>
      <c r="C235" s="655">
        <v>419743.91999999899</v>
      </c>
      <c r="D235" s="209" t="s">
        <v>402</v>
      </c>
      <c r="E235" s="655">
        <v>418737.39</v>
      </c>
      <c r="F235" s="655">
        <v>380743.16999999899</v>
      </c>
    </row>
    <row r="236" spans="1:6">
      <c r="A236" s="213" t="s">
        <v>405</v>
      </c>
      <c r="B236" s="134">
        <f>(IFERROR(VLOOKUP(D236,obrotówka!$A$3:$J$1600,10,0),0))</f>
        <v>390401.33</v>
      </c>
      <c r="C236" s="655">
        <v>903489.21999999904</v>
      </c>
      <c r="D236" s="209" t="s">
        <v>404</v>
      </c>
      <c r="E236" s="655">
        <v>1664729.8899999899</v>
      </c>
      <c r="F236" s="655">
        <v>1473663.37</v>
      </c>
    </row>
    <row r="237" spans="1:6">
      <c r="A237" s="213" t="s">
        <v>407</v>
      </c>
      <c r="B237" s="134">
        <f>(IFERROR(VLOOKUP(D237,obrotówka!$A$3:$J$1600,10,0),0))</f>
        <v>-13176.049999999899</v>
      </c>
      <c r="C237" s="655">
        <v>8119.04</v>
      </c>
      <c r="D237" s="209" t="s">
        <v>406</v>
      </c>
      <c r="E237" s="655">
        <v>-362699.03999999899</v>
      </c>
      <c r="F237" s="655">
        <v>16802.02</v>
      </c>
    </row>
    <row r="238" spans="1:6">
      <c r="A238" s="213" t="s">
        <v>409</v>
      </c>
      <c r="B238" s="134">
        <f>(IFERROR(VLOOKUP(D238,obrotówka!$A$3:$J$1600,10,0),0))</f>
        <v>3738.21</v>
      </c>
      <c r="C238" s="655">
        <v>398.69999999999902</v>
      </c>
      <c r="D238" s="209" t="s">
        <v>408</v>
      </c>
      <c r="E238" s="655">
        <v>219.229999999999</v>
      </c>
      <c r="F238" s="655">
        <v>171.77</v>
      </c>
    </row>
    <row r="239" spans="1:6">
      <c r="A239" s="213" t="s">
        <v>3326</v>
      </c>
      <c r="B239" s="134">
        <f>(IFERROR(VLOOKUP(D239,obrotówka!$A$3:$J$1600,10,0),0))</f>
        <v>0</v>
      </c>
      <c r="C239" s="655">
        <v>0</v>
      </c>
      <c r="D239" s="209" t="s">
        <v>3325</v>
      </c>
      <c r="E239" s="655">
        <v>2070</v>
      </c>
      <c r="F239" s="655"/>
    </row>
    <row r="240" spans="1:6">
      <c r="A240" s="213" t="s">
        <v>3157</v>
      </c>
      <c r="B240" s="134">
        <f>(IFERROR(VLOOKUP(D240,obrotówka!$A$3:$J$1600,10,0),0))</f>
        <v>8910</v>
      </c>
      <c r="C240" s="655">
        <v>8760</v>
      </c>
      <c r="D240" s="209" t="s">
        <v>3156</v>
      </c>
      <c r="E240" s="655">
        <v>5790</v>
      </c>
      <c r="F240" s="655">
        <v>4250</v>
      </c>
    </row>
    <row r="241" spans="1:6">
      <c r="A241" s="213" t="s">
        <v>411</v>
      </c>
      <c r="B241" s="134">
        <f>(IFERROR(VLOOKUP(D241,obrotówka!$A$3:$J$1600,10,0),0))</f>
        <v>376023.07</v>
      </c>
      <c r="C241" s="655">
        <v>137283.59</v>
      </c>
      <c r="D241" s="209" t="s">
        <v>410</v>
      </c>
      <c r="E241" s="655">
        <v>183471.82</v>
      </c>
      <c r="F241" s="655">
        <v>99766.71</v>
      </c>
    </row>
    <row r="242" spans="1:6">
      <c r="A242" s="213" t="s">
        <v>413</v>
      </c>
      <c r="B242" s="134">
        <f>(IFERROR(VLOOKUP(D242,obrotówka!$A$3:$J$1600,10,0),0))</f>
        <v>0</v>
      </c>
      <c r="C242" s="655">
        <v>0</v>
      </c>
      <c r="D242" s="209" t="s">
        <v>412</v>
      </c>
      <c r="E242" s="655">
        <v>0</v>
      </c>
      <c r="F242" s="655">
        <v>78180</v>
      </c>
    </row>
    <row r="243" spans="1:6">
      <c r="A243" s="213" t="s">
        <v>415</v>
      </c>
      <c r="B243" s="134">
        <f>(IFERROR(VLOOKUP(D243,obrotówka!$A$3:$J$1600,10,0),0))</f>
        <v>23029.86</v>
      </c>
      <c r="C243" s="655">
        <v>75362.169999999896</v>
      </c>
      <c r="D243" s="209" t="s">
        <v>414</v>
      </c>
      <c r="E243" s="655">
        <v>67105.19</v>
      </c>
      <c r="F243" s="655">
        <v>138640.19</v>
      </c>
    </row>
    <row r="244" spans="1:6">
      <c r="A244" s="213" t="s">
        <v>417</v>
      </c>
      <c r="B244" s="210">
        <f>(IFERROR(VLOOKUP(D244,obrotówka!$A$3:$J$1600,10,0),0))</f>
        <v>147943.26</v>
      </c>
      <c r="C244" s="589">
        <v>182654.98</v>
      </c>
      <c r="D244" s="209" t="s">
        <v>416</v>
      </c>
      <c r="E244" s="589">
        <v>203396.81</v>
      </c>
      <c r="F244" s="589">
        <v>204848.959999999</v>
      </c>
    </row>
    <row r="245" spans="1:6">
      <c r="A245" s="213" t="s">
        <v>419</v>
      </c>
      <c r="B245" s="210">
        <f>(IFERROR(VLOOKUP(D245,obrotówka!$A$3:$J$1600,10,0),0))</f>
        <v>15614.48</v>
      </c>
      <c r="C245" s="589">
        <v>21127.200000000001</v>
      </c>
      <c r="D245" s="209" t="s">
        <v>418</v>
      </c>
      <c r="E245" s="589">
        <v>11807.709999999901</v>
      </c>
      <c r="F245" s="589">
        <v>25344.81</v>
      </c>
    </row>
    <row r="246" spans="1:6">
      <c r="A246" s="213" t="s">
        <v>419</v>
      </c>
      <c r="B246" s="210">
        <f>(IFERROR(VLOOKUP(D246,obrotówka!$A$3:$J$1600,10,0),0))</f>
        <v>0</v>
      </c>
      <c r="C246" s="589">
        <v>0</v>
      </c>
      <c r="D246" s="209" t="s">
        <v>420</v>
      </c>
      <c r="E246" s="589">
        <v>0</v>
      </c>
      <c r="F246" s="589">
        <v>-324.44999999999902</v>
      </c>
    </row>
    <row r="247" spans="1:6">
      <c r="A247" s="213" t="s">
        <v>422</v>
      </c>
      <c r="B247" s="210">
        <f>(IFERROR(VLOOKUP(D247,obrotówka!$A$3:$J$1600,10,0),0))</f>
        <v>14417.799999999899</v>
      </c>
      <c r="C247" s="589">
        <v>24874.6699999999</v>
      </c>
      <c r="D247" s="209" t="s">
        <v>421</v>
      </c>
      <c r="E247" s="589">
        <v>56996.18</v>
      </c>
      <c r="F247" s="589">
        <v>48122.51</v>
      </c>
    </row>
    <row r="248" spans="1:6">
      <c r="A248" s="213" t="s">
        <v>424</v>
      </c>
      <c r="B248" s="210">
        <f>(IFERROR(VLOOKUP(D248,obrotówka!$A$3:$J$1600,10,0),0))</f>
        <v>5986.4899999999898</v>
      </c>
      <c r="C248" s="589">
        <v>9192.5699999999906</v>
      </c>
      <c r="D248" s="209" t="s">
        <v>423</v>
      </c>
      <c r="E248" s="589">
        <v>9415.2299999999905</v>
      </c>
      <c r="F248" s="589">
        <v>14266.709999999901</v>
      </c>
    </row>
    <row r="249" spans="1:6">
      <c r="A249" s="213" t="s">
        <v>424</v>
      </c>
      <c r="B249" s="210">
        <f>(IFERROR(VLOOKUP(D249,obrotówka!$A$3:$J$1600,10,0),0))</f>
        <v>33.149999999999899</v>
      </c>
      <c r="C249" s="589">
        <v>0</v>
      </c>
      <c r="D249" s="209" t="s">
        <v>425</v>
      </c>
      <c r="E249" s="589">
        <v>0</v>
      </c>
      <c r="F249" s="589">
        <v>0</v>
      </c>
    </row>
    <row r="250" spans="1:6">
      <c r="A250" s="213" t="s">
        <v>427</v>
      </c>
      <c r="B250" s="210">
        <f>(IFERROR(VLOOKUP(D250,obrotówka!$A$3:$J$1600,10,0),0))</f>
        <v>15995.78</v>
      </c>
      <c r="C250" s="589">
        <v>39138.989999999903</v>
      </c>
      <c r="D250" s="209" t="s">
        <v>426</v>
      </c>
      <c r="E250" s="589">
        <v>35120.489999999903</v>
      </c>
      <c r="F250" s="589">
        <v>28064.049999999901</v>
      </c>
    </row>
    <row r="251" spans="1:6">
      <c r="A251" s="213" t="s">
        <v>429</v>
      </c>
      <c r="B251" s="210">
        <f>(IFERROR(VLOOKUP(D251,obrotówka!$A$3:$J$1600,10,0),0))</f>
        <v>187453.63</v>
      </c>
      <c r="C251" s="589">
        <v>250067.14</v>
      </c>
      <c r="D251" s="209" t="s">
        <v>428</v>
      </c>
      <c r="E251" s="589">
        <v>300997.78999999899</v>
      </c>
      <c r="F251" s="589">
        <v>216933.35</v>
      </c>
    </row>
    <row r="252" spans="1:6">
      <c r="A252" s="213" t="s">
        <v>431</v>
      </c>
      <c r="B252" s="210">
        <f>(IFERROR(VLOOKUP(D252,obrotówka!$A$3:$J$1600,10,0),0))</f>
        <v>116256.96000000001</v>
      </c>
      <c r="C252" s="589">
        <v>526392.73999999894</v>
      </c>
      <c r="D252" s="209" t="s">
        <v>430</v>
      </c>
      <c r="E252" s="589">
        <v>351167.27</v>
      </c>
      <c r="F252" s="589">
        <v>316291.78000000003</v>
      </c>
    </row>
    <row r="253" spans="1:6">
      <c r="A253" s="213" t="s">
        <v>433</v>
      </c>
      <c r="B253" s="210">
        <f>(IFERROR(VLOOKUP(D253,obrotówka!$A$3:$J$1600,10,0),0))</f>
        <v>0</v>
      </c>
      <c r="C253" s="589">
        <v>202.8</v>
      </c>
      <c r="D253" s="209" t="s">
        <v>432</v>
      </c>
      <c r="E253" s="589">
        <v>675.61</v>
      </c>
      <c r="F253" s="589">
        <v>0</v>
      </c>
    </row>
    <row r="254" spans="1:6">
      <c r="A254" s="213" t="s">
        <v>435</v>
      </c>
      <c r="B254" s="210">
        <f>(IFERROR(VLOOKUP(D254,obrotówka!$A$3:$J$1600,10,0),0))</f>
        <v>-291993.31</v>
      </c>
      <c r="C254" s="589">
        <v>-193734.29</v>
      </c>
      <c r="D254" s="209" t="s">
        <v>434</v>
      </c>
      <c r="E254" s="589">
        <v>-811562.63</v>
      </c>
      <c r="F254" s="589">
        <v>-6573.56</v>
      </c>
    </row>
    <row r="255" spans="1:6">
      <c r="A255" s="213" t="s">
        <v>437</v>
      </c>
      <c r="B255" s="134">
        <f>(IFERROR(VLOOKUP(D255,obrotówka!$A$3:$J$1600,10,0),0))</f>
        <v>589061.43999999901</v>
      </c>
      <c r="C255" s="655">
        <v>1010813.26</v>
      </c>
      <c r="D255" s="209" t="s">
        <v>436</v>
      </c>
      <c r="E255" s="655">
        <v>1301199.99</v>
      </c>
      <c r="F255" s="655">
        <v>823332.81</v>
      </c>
    </row>
    <row r="256" spans="1:6">
      <c r="A256" s="213" t="s">
        <v>439</v>
      </c>
      <c r="B256" s="134">
        <f>(IFERROR(VLOOKUP(D256,obrotówka!$A$3:$J$1600,10,0),0))</f>
        <v>1514982.82</v>
      </c>
      <c r="C256" s="655">
        <v>1918362.32</v>
      </c>
      <c r="D256" s="209" t="s">
        <v>438</v>
      </c>
      <c r="E256" s="655">
        <v>1275407.6200000001</v>
      </c>
      <c r="F256" s="655">
        <v>802513.63</v>
      </c>
    </row>
    <row r="257" spans="1:6">
      <c r="A257" s="213" t="s">
        <v>441</v>
      </c>
      <c r="B257" s="134">
        <f>(IFERROR(VLOOKUP(D257,obrotówka!$A$3:$J$1600,10,0),0))</f>
        <v>243862.23</v>
      </c>
      <c r="C257" s="655">
        <v>304402.40000000002</v>
      </c>
      <c r="D257" s="209" t="s">
        <v>440</v>
      </c>
      <c r="E257" s="655">
        <v>281268.32</v>
      </c>
      <c r="F257" s="655">
        <v>260123.37</v>
      </c>
    </row>
    <row r="258" spans="1:6">
      <c r="A258" s="213"/>
      <c r="B258" s="210">
        <f>(IFERROR(VLOOKUP(D258,obrotówka!$A$3:$J$1600,10,0),0))</f>
        <v>0</v>
      </c>
      <c r="C258" s="589">
        <v>0</v>
      </c>
      <c r="D258" s="216"/>
      <c r="E258" s="589">
        <v>0</v>
      </c>
      <c r="F258" s="589">
        <v>0</v>
      </c>
    </row>
    <row r="259" spans="1:6">
      <c r="A259" s="213"/>
      <c r="B259" s="210">
        <f>(IFERROR(VLOOKUP(D259,obrotówka!$A$3:$J$1600,10,0),0))</f>
        <v>0</v>
      </c>
      <c r="C259" s="589">
        <v>0</v>
      </c>
      <c r="D259" s="216"/>
      <c r="E259" s="589">
        <v>0</v>
      </c>
      <c r="F259" s="589">
        <v>0</v>
      </c>
    </row>
    <row r="260" spans="1:6">
      <c r="A260" s="213"/>
      <c r="B260" s="210">
        <f>(IFERROR(VLOOKUP(D260,obrotówka!$A$3:$J$1600,10,0),0))</f>
        <v>0</v>
      </c>
      <c r="C260" s="589">
        <v>0</v>
      </c>
      <c r="D260" s="216"/>
      <c r="E260" s="589">
        <v>0</v>
      </c>
      <c r="F260" s="589">
        <v>0</v>
      </c>
    </row>
    <row r="261" spans="1:6">
      <c r="A261" s="213"/>
      <c r="B261" s="210">
        <f>(IFERROR(VLOOKUP(D261,obrotówka!$A$3:$J$1600,10,0),0))</f>
        <v>0</v>
      </c>
      <c r="C261" s="589">
        <v>0</v>
      </c>
      <c r="D261" s="216"/>
      <c r="E261" s="589">
        <v>0</v>
      </c>
      <c r="F261" s="589">
        <v>0</v>
      </c>
    </row>
    <row r="262" spans="1:6">
      <c r="A262" s="213"/>
      <c r="B262" s="210">
        <f>(IFERROR(VLOOKUP(D262,obrotówka!$A$3:$J$1600,10,0),0))</f>
        <v>0</v>
      </c>
      <c r="C262" s="589">
        <v>0</v>
      </c>
      <c r="D262" s="216"/>
      <c r="E262" s="589">
        <v>0</v>
      </c>
      <c r="F262" s="589">
        <v>0</v>
      </c>
    </row>
    <row r="263" spans="1:6">
      <c r="A263" s="207" t="s">
        <v>960</v>
      </c>
      <c r="B263" s="208">
        <f>SUM(B264:B329)</f>
        <v>26128736.989999987</v>
      </c>
      <c r="C263" s="658">
        <v>41842425.549999885</v>
      </c>
      <c r="E263" s="658">
        <v>64929369.669999994</v>
      </c>
      <c r="F263" s="658">
        <v>30078920.519999996</v>
      </c>
    </row>
    <row r="264" spans="1:6">
      <c r="A264" s="213" t="s">
        <v>443</v>
      </c>
      <c r="B264" s="134">
        <f>(IFERROR(VLOOKUP(D264,obrotówka!$A$3:$J$1600,10,0),0))</f>
        <v>1571684.6</v>
      </c>
      <c r="C264" s="655">
        <v>2486979.25</v>
      </c>
      <c r="D264" s="209" t="s">
        <v>442</v>
      </c>
      <c r="E264" s="655">
        <v>3628523.5699999901</v>
      </c>
      <c r="F264" s="655">
        <v>2864147.04999999</v>
      </c>
    </row>
    <row r="265" spans="1:6">
      <c r="A265" s="213" t="s">
        <v>445</v>
      </c>
      <c r="B265" s="134">
        <f>(IFERROR(VLOOKUP(D265,obrotówka!$A$3:$J$1600,10,0),0))</f>
        <v>0</v>
      </c>
      <c r="C265" s="655">
        <v>0</v>
      </c>
      <c r="D265" s="209" t="s">
        <v>444</v>
      </c>
      <c r="E265" s="655">
        <v>0</v>
      </c>
      <c r="F265" s="655">
        <v>425544.32</v>
      </c>
    </row>
    <row r="266" spans="1:6">
      <c r="A266" s="213" t="s">
        <v>447</v>
      </c>
      <c r="B266" s="134">
        <f>(IFERROR(VLOOKUP(D266,obrotówka!$A$3:$J$1600,10,0),0))</f>
        <v>70669.47</v>
      </c>
      <c r="C266" s="655">
        <v>200372.57</v>
      </c>
      <c r="D266" s="209" t="s">
        <v>446</v>
      </c>
      <c r="E266" s="655">
        <v>167385.84</v>
      </c>
      <c r="F266" s="655">
        <v>157732.829999999</v>
      </c>
    </row>
    <row r="267" spans="1:6">
      <c r="A267" s="213" t="s">
        <v>449</v>
      </c>
      <c r="B267" s="134">
        <f>(IFERROR(VLOOKUP(D267,obrotówka!$A$3:$J$1600,10,0),0))</f>
        <v>41910.47</v>
      </c>
      <c r="C267" s="655">
        <v>44219.379999999903</v>
      </c>
      <c r="D267" s="209" t="s">
        <v>448</v>
      </c>
      <c r="E267" s="655">
        <v>29160</v>
      </c>
      <c r="F267" s="655">
        <v>31047.5</v>
      </c>
    </row>
    <row r="268" spans="1:6">
      <c r="A268" s="213" t="s">
        <v>451</v>
      </c>
      <c r="B268" s="134">
        <f>(IFERROR(VLOOKUP(D268,obrotówka!$A$3:$J$1600,10,0),0))</f>
        <v>226928.329999999</v>
      </c>
      <c r="C268" s="655">
        <v>269573.62</v>
      </c>
      <c r="D268" s="209" t="s">
        <v>450</v>
      </c>
      <c r="E268" s="655">
        <v>246272.88</v>
      </c>
      <c r="F268" s="655">
        <v>318424.7</v>
      </c>
    </row>
    <row r="269" spans="1:6">
      <c r="A269" s="213" t="s">
        <v>451</v>
      </c>
      <c r="B269" s="134">
        <f>(IFERROR(VLOOKUP(D269,obrotówka!$A$3:$J$1600,10,0),0))</f>
        <v>450</v>
      </c>
      <c r="C269" s="655">
        <v>0</v>
      </c>
      <c r="D269" s="209" t="s">
        <v>3449</v>
      </c>
      <c r="E269" s="655">
        <v>4515.3500000000004</v>
      </c>
      <c r="F269" s="655"/>
    </row>
    <row r="270" spans="1:6">
      <c r="A270" s="213" t="s">
        <v>453</v>
      </c>
      <c r="B270" s="134">
        <f>(IFERROR(VLOOKUP(D270,obrotówka!$A$3:$J$1600,10,0),0))</f>
        <v>20560</v>
      </c>
      <c r="C270" s="655">
        <v>107152.149999999</v>
      </c>
      <c r="D270" s="209" t="s">
        <v>452</v>
      </c>
      <c r="E270" s="655">
        <v>21645</v>
      </c>
      <c r="F270" s="655">
        <v>14265</v>
      </c>
    </row>
    <row r="271" spans="1:6">
      <c r="A271" s="213" t="s">
        <v>455</v>
      </c>
      <c r="B271" s="583">
        <f>(IFERROR(VLOOKUP(D271,obrotówka!$A$3:$J$1600,10,0),0))</f>
        <v>3803016.4399999902</v>
      </c>
      <c r="C271" s="663">
        <v>4268988.5199999902</v>
      </c>
      <c r="D271" s="209" t="s">
        <v>454</v>
      </c>
      <c r="E271" s="663">
        <v>3725639.24</v>
      </c>
      <c r="F271" s="663">
        <v>3235908.37</v>
      </c>
    </row>
    <row r="272" spans="1:6">
      <c r="A272" s="213" t="s">
        <v>455</v>
      </c>
      <c r="B272" s="583">
        <f>(IFERROR(VLOOKUP(D272,obrotówka!$A$3:$J$1600,10,0),0))</f>
        <v>-217408.149999999</v>
      </c>
      <c r="C272" s="663">
        <v>-383995.58</v>
      </c>
      <c r="D272" s="209" t="s">
        <v>3369</v>
      </c>
      <c r="E272" s="663">
        <v>689039.72999999905</v>
      </c>
      <c r="F272" s="663"/>
    </row>
    <row r="273" spans="1:6">
      <c r="A273" s="213" t="s">
        <v>455</v>
      </c>
      <c r="B273" s="583">
        <f>(IFERROR(VLOOKUP(D273,obrotówka!$A$3:$J$1600,10,0),0))</f>
        <v>202708.75</v>
      </c>
      <c r="C273" s="663">
        <v>219948.64</v>
      </c>
      <c r="D273" s="209" t="s">
        <v>456</v>
      </c>
      <c r="E273" s="663">
        <v>200548.989999999</v>
      </c>
      <c r="F273" s="663">
        <v>48</v>
      </c>
    </row>
    <row r="274" spans="1:6">
      <c r="A274" s="213" t="s">
        <v>2347</v>
      </c>
      <c r="B274" s="583">
        <f>(IFERROR(VLOOKUP(D274,obrotówka!$A$3:$J$1600,10,0),0))</f>
        <v>9400</v>
      </c>
      <c r="C274" s="663">
        <v>11895</v>
      </c>
      <c r="D274" s="209" t="s">
        <v>2346</v>
      </c>
      <c r="E274" s="663">
        <v>4295</v>
      </c>
      <c r="F274" s="663">
        <v>1888</v>
      </c>
    </row>
    <row r="275" spans="1:6">
      <c r="A275" s="213" t="s">
        <v>458</v>
      </c>
      <c r="B275" s="426">
        <f>(IFERROR(VLOOKUP(D275,obrotówka!$A$3:$J$1600,10,0),0))</f>
        <v>10707.75</v>
      </c>
      <c r="C275" s="664">
        <v>15397.84</v>
      </c>
      <c r="D275" s="209" t="s">
        <v>457</v>
      </c>
      <c r="E275" s="664">
        <v>16954.1699999999</v>
      </c>
      <c r="F275" s="664">
        <v>18544.029999999901</v>
      </c>
    </row>
    <row r="276" spans="1:6">
      <c r="A276" s="213" t="s">
        <v>458</v>
      </c>
      <c r="B276" s="426">
        <f>(IFERROR(VLOOKUP(D276,obrotówka!$A$3:$J$1600,10,0),0))</f>
        <v>5325.93</v>
      </c>
      <c r="C276" s="664">
        <v>1768.52</v>
      </c>
      <c r="D276" s="209" t="s">
        <v>3753</v>
      </c>
      <c r="E276" s="664"/>
      <c r="F276" s="664"/>
    </row>
    <row r="277" spans="1:6">
      <c r="A277" s="213" t="s">
        <v>458</v>
      </c>
      <c r="B277" s="426">
        <f>(IFERROR(VLOOKUP(D277,obrotówka!$A$3:$J$1600,10,0),0))</f>
        <v>0</v>
      </c>
      <c r="C277" s="664">
        <v>0</v>
      </c>
      <c r="D277" s="209" t="s">
        <v>3117</v>
      </c>
      <c r="E277" s="664">
        <v>0</v>
      </c>
      <c r="F277" s="664">
        <v>24</v>
      </c>
    </row>
    <row r="278" spans="1:6">
      <c r="A278" s="213" t="s">
        <v>460</v>
      </c>
      <c r="B278" s="426">
        <f>(IFERROR(VLOOKUP(D278,obrotówka!$A$3:$J$1600,10,0),0))</f>
        <v>0</v>
      </c>
      <c r="C278" s="664">
        <v>5258.1499999999896</v>
      </c>
      <c r="D278" s="209" t="s">
        <v>459</v>
      </c>
      <c r="E278" s="664">
        <v>22365.529999999901</v>
      </c>
      <c r="F278" s="664">
        <v>22889.66</v>
      </c>
    </row>
    <row r="279" spans="1:6">
      <c r="A279" s="213" t="s">
        <v>462</v>
      </c>
      <c r="B279" s="426">
        <f>(IFERROR(VLOOKUP(D279,obrotówka!$A$3:$J$1600,10,0),0))</f>
        <v>43880.489999999903</v>
      </c>
      <c r="C279" s="664">
        <v>59405.33</v>
      </c>
      <c r="D279" s="209" t="s">
        <v>461</v>
      </c>
      <c r="E279" s="664">
        <v>60952.019999999902</v>
      </c>
      <c r="F279" s="664">
        <v>63305.120000000003</v>
      </c>
    </row>
    <row r="280" spans="1:6">
      <c r="A280" s="213" t="s">
        <v>2845</v>
      </c>
      <c r="B280" s="426">
        <f>(IFERROR(VLOOKUP(D280,obrotówka!$A$3:$J$1600,10,0),0))</f>
        <v>0</v>
      </c>
      <c r="C280" s="664">
        <v>0</v>
      </c>
      <c r="D280" s="209" t="s">
        <v>2844</v>
      </c>
      <c r="E280" s="664">
        <v>0</v>
      </c>
      <c r="F280" s="664">
        <v>480</v>
      </c>
    </row>
    <row r="281" spans="1:6">
      <c r="A281" s="213" t="s">
        <v>464</v>
      </c>
      <c r="B281" s="583">
        <f>(IFERROR(VLOOKUP(D281,obrotówka!$A$3:$J$1600,10,0),0))</f>
        <v>0</v>
      </c>
      <c r="C281" s="663">
        <v>0</v>
      </c>
      <c r="D281" s="209" t="s">
        <v>463</v>
      </c>
      <c r="E281" s="663">
        <v>8208.2999999999902</v>
      </c>
      <c r="F281" s="663">
        <v>9863.1499999999905</v>
      </c>
    </row>
    <row r="282" spans="1:6">
      <c r="A282" s="213" t="s">
        <v>464</v>
      </c>
      <c r="B282" s="583">
        <f>(IFERROR(VLOOKUP(D282,obrotówka!$A$3:$J$1600,10,0),0))</f>
        <v>0</v>
      </c>
      <c r="C282" s="663">
        <v>0</v>
      </c>
      <c r="D282" s="209" t="s">
        <v>3437</v>
      </c>
      <c r="E282" s="663">
        <v>0</v>
      </c>
      <c r="F282" s="663"/>
    </row>
    <row r="283" spans="1:6">
      <c r="A283" s="213" t="s">
        <v>466</v>
      </c>
      <c r="B283" s="583">
        <f>(IFERROR(VLOOKUP(D283,obrotówka!$A$3:$J$1600,10,0),0))</f>
        <v>499413.01</v>
      </c>
      <c r="C283" s="663">
        <v>708132.91</v>
      </c>
      <c r="D283" s="209" t="s">
        <v>465</v>
      </c>
      <c r="E283" s="663">
        <v>615037.93000000005</v>
      </c>
      <c r="F283" s="663">
        <v>620918</v>
      </c>
    </row>
    <row r="284" spans="1:6">
      <c r="A284" s="213" t="s">
        <v>468</v>
      </c>
      <c r="B284" s="583">
        <f>(IFERROR(VLOOKUP(D284,obrotówka!$A$3:$J$1600,10,0),0))</f>
        <v>5005.51</v>
      </c>
      <c r="C284" s="663">
        <v>-5005.51</v>
      </c>
      <c r="D284" s="209" t="s">
        <v>467</v>
      </c>
      <c r="E284" s="663">
        <v>-7938.9399999999896</v>
      </c>
      <c r="F284" s="663">
        <v>-92404.309999999896</v>
      </c>
    </row>
    <row r="285" spans="1:6">
      <c r="A285" s="213" t="s">
        <v>468</v>
      </c>
      <c r="B285" s="583">
        <f>(IFERROR(VLOOKUP(D285,obrotówka!$A$3:$J$1600,10,0),0))</f>
        <v>0</v>
      </c>
      <c r="C285" s="663">
        <v>0</v>
      </c>
      <c r="D285" s="209" t="s">
        <v>2415</v>
      </c>
      <c r="E285" s="663">
        <v>1465.5899999999899</v>
      </c>
      <c r="F285" s="663">
        <v>16492.36</v>
      </c>
    </row>
    <row r="286" spans="1:6">
      <c r="A286" s="213" t="s">
        <v>470</v>
      </c>
      <c r="B286" s="583">
        <f>(IFERROR(VLOOKUP(D286,obrotówka!$A$3:$J$1600,10,0),0))</f>
        <v>96303.619999999893</v>
      </c>
      <c r="C286" s="663">
        <v>131009.83</v>
      </c>
      <c r="D286" s="209" t="s">
        <v>469</v>
      </c>
      <c r="E286" s="663">
        <v>91490.58</v>
      </c>
      <c r="F286" s="663">
        <v>46042.720000000001</v>
      </c>
    </row>
    <row r="287" spans="1:6">
      <c r="A287" s="213" t="s">
        <v>472</v>
      </c>
      <c r="B287" s="582">
        <f>(IFERROR(VLOOKUP(D287,obrotówka!$A$3:$J$1600,10,0),0))</f>
        <v>229208.25</v>
      </c>
      <c r="C287" s="665">
        <v>435968.609999999</v>
      </c>
      <c r="D287" s="209" t="s">
        <v>471</v>
      </c>
      <c r="E287" s="665">
        <v>780732.9</v>
      </c>
      <c r="F287" s="665">
        <v>673559.56</v>
      </c>
    </row>
    <row r="288" spans="1:6">
      <c r="A288" s="213" t="s">
        <v>472</v>
      </c>
      <c r="B288" s="582">
        <f>(IFERROR(VLOOKUP(D288,obrotówka!$A$3:$J$1600,10,0),0))</f>
        <v>0</v>
      </c>
      <c r="C288" s="665">
        <v>0</v>
      </c>
      <c r="D288" s="209" t="s">
        <v>3079</v>
      </c>
      <c r="E288" s="665">
        <v>0</v>
      </c>
      <c r="F288" s="665">
        <v>0</v>
      </c>
    </row>
    <row r="289" spans="1:6">
      <c r="A289" s="213" t="s">
        <v>474</v>
      </c>
      <c r="B289" s="582">
        <f>(IFERROR(VLOOKUP(D289,obrotówka!$A$3:$J$1600,10,0),0))</f>
        <v>0</v>
      </c>
      <c r="C289" s="665">
        <v>240</v>
      </c>
      <c r="D289" s="209" t="s">
        <v>473</v>
      </c>
      <c r="E289" s="665">
        <v>0</v>
      </c>
      <c r="F289" s="665">
        <v>0</v>
      </c>
    </row>
    <row r="290" spans="1:6">
      <c r="A290" s="213" t="s">
        <v>476</v>
      </c>
      <c r="B290" s="582">
        <f>(IFERROR(VLOOKUP(D290,obrotówka!$A$3:$J$1600,10,0),0))</f>
        <v>25726</v>
      </c>
      <c r="C290" s="665">
        <v>50179.5</v>
      </c>
      <c r="D290" s="209" t="s">
        <v>475</v>
      </c>
      <c r="E290" s="665">
        <v>150780.04</v>
      </c>
      <c r="F290" s="665">
        <v>133900.56</v>
      </c>
    </row>
    <row r="291" spans="1:6">
      <c r="A291" s="213" t="s">
        <v>476</v>
      </c>
      <c r="B291" s="582">
        <f>(IFERROR(VLOOKUP(D291,obrotówka!$A$3:$J$1600,10,0),0))</f>
        <v>0</v>
      </c>
      <c r="C291" s="665">
        <v>9979.7999999999902</v>
      </c>
      <c r="D291" s="209" t="s">
        <v>3677</v>
      </c>
      <c r="E291" s="665"/>
      <c r="F291" s="665"/>
    </row>
    <row r="292" spans="1:6">
      <c r="A292" s="213" t="s">
        <v>3565</v>
      </c>
      <c r="B292" s="582">
        <f>(IFERROR(VLOOKUP(D292,obrotówka!$A$3:$J$1600,10,0),0))</f>
        <v>0</v>
      </c>
      <c r="C292" s="665">
        <v>-7881</v>
      </c>
      <c r="D292" s="209" t="s">
        <v>3564</v>
      </c>
      <c r="E292" s="665">
        <v>7881</v>
      </c>
      <c r="F292" s="665"/>
    </row>
    <row r="293" spans="1:6">
      <c r="A293" s="213" t="s">
        <v>478</v>
      </c>
      <c r="B293" s="582">
        <f>(IFERROR(VLOOKUP(D293,obrotówka!$A$3:$J$1600,10,0),0))</f>
        <v>42500</v>
      </c>
      <c r="C293" s="665">
        <v>38500</v>
      </c>
      <c r="D293" s="209" t="s">
        <v>477</v>
      </c>
      <c r="E293" s="665">
        <v>28200</v>
      </c>
      <c r="F293" s="665">
        <v>28200</v>
      </c>
    </row>
    <row r="294" spans="1:6">
      <c r="A294" s="213" t="s">
        <v>3551</v>
      </c>
      <c r="B294" s="582">
        <f>(IFERROR(VLOOKUP(D294,obrotówka!$A$3:$J$1600,10,0),0))</f>
        <v>0</v>
      </c>
      <c r="C294" s="665">
        <v>0</v>
      </c>
      <c r="D294" s="209" t="s">
        <v>3550</v>
      </c>
      <c r="E294" s="665">
        <v>0</v>
      </c>
      <c r="F294" s="665"/>
    </row>
    <row r="295" spans="1:6">
      <c r="A295" s="213" t="s">
        <v>480</v>
      </c>
      <c r="B295" s="582">
        <f>(IFERROR(VLOOKUP(D295,obrotówka!$A$3:$J$1600,10,0),0))</f>
        <v>9406</v>
      </c>
      <c r="C295" s="665">
        <v>9168.75</v>
      </c>
      <c r="D295" s="209" t="s">
        <v>479</v>
      </c>
      <c r="E295" s="665">
        <v>8311</v>
      </c>
      <c r="F295" s="665">
        <v>15444.049999999899</v>
      </c>
    </row>
    <row r="296" spans="1:6">
      <c r="A296" s="213" t="s">
        <v>2492</v>
      </c>
      <c r="B296" s="582">
        <f>(IFERROR(VLOOKUP(D296,obrotówka!$A$3:$J$1600,10,0),0))</f>
        <v>10696.32</v>
      </c>
      <c r="C296" s="665">
        <v>2999.57</v>
      </c>
      <c r="D296" s="209" t="s">
        <v>2491</v>
      </c>
      <c r="E296" s="665">
        <v>468.56</v>
      </c>
      <c r="F296" s="665">
        <v>16679.52</v>
      </c>
    </row>
    <row r="297" spans="1:6">
      <c r="A297" s="213" t="s">
        <v>2492</v>
      </c>
      <c r="B297" s="582">
        <f>(IFERROR(VLOOKUP(D297,obrotówka!$A$3:$J$1600,10,0),0))</f>
        <v>-292.20999999999901</v>
      </c>
      <c r="C297" s="665">
        <v>24.42</v>
      </c>
      <c r="D297" s="209" t="s">
        <v>3102</v>
      </c>
      <c r="E297" s="665">
        <v>0</v>
      </c>
      <c r="F297" s="665">
        <v>0</v>
      </c>
    </row>
    <row r="298" spans="1:6">
      <c r="A298" s="213" t="s">
        <v>2492</v>
      </c>
      <c r="B298" s="582">
        <f>(IFERROR(VLOOKUP(D298,obrotówka!$A$3:$J$1600,10,0),0))</f>
        <v>312.77999999999901</v>
      </c>
      <c r="C298" s="665">
        <v>-312.77999999999901</v>
      </c>
      <c r="D298" s="209" t="s">
        <v>3771</v>
      </c>
      <c r="E298" s="665"/>
      <c r="F298" s="665"/>
    </row>
    <row r="299" spans="1:6">
      <c r="A299" s="213" t="s">
        <v>482</v>
      </c>
      <c r="B299" s="426">
        <f>(IFERROR(VLOOKUP(D299,obrotówka!$A$3:$J$1600,10,0),0))</f>
        <v>0</v>
      </c>
      <c r="C299" s="664">
        <v>0</v>
      </c>
      <c r="D299" s="209" t="s">
        <v>481</v>
      </c>
      <c r="E299" s="664">
        <v>0</v>
      </c>
      <c r="F299" s="664">
        <v>0</v>
      </c>
    </row>
    <row r="300" spans="1:6">
      <c r="A300" s="213" t="s">
        <v>3119</v>
      </c>
      <c r="B300" s="426">
        <f>(IFERROR(VLOOKUP(D300,obrotówka!$A$3:$J$1600,10,0),0))</f>
        <v>0</v>
      </c>
      <c r="C300" s="664">
        <v>158.71</v>
      </c>
      <c r="D300" s="209" t="s">
        <v>3118</v>
      </c>
      <c r="E300" s="664">
        <v>0</v>
      </c>
      <c r="F300" s="664">
        <v>21.14</v>
      </c>
    </row>
    <row r="301" spans="1:6">
      <c r="A301" s="213" t="s">
        <v>484</v>
      </c>
      <c r="B301" s="426">
        <f>(IFERROR(VLOOKUP(D301,obrotówka!$A$3:$J$1600,10,0),0))</f>
        <v>35894.61</v>
      </c>
      <c r="C301" s="664">
        <v>47859.48</v>
      </c>
      <c r="D301" s="209" t="s">
        <v>483</v>
      </c>
      <c r="E301" s="664">
        <v>47859.48</v>
      </c>
      <c r="F301" s="664">
        <v>42296.43</v>
      </c>
    </row>
    <row r="302" spans="1:6">
      <c r="A302" s="213" t="s">
        <v>486</v>
      </c>
      <c r="B302" s="426">
        <f>(IFERROR(VLOOKUP(D302,obrotówka!$A$3:$J$1600,10,0),0))</f>
        <v>364184.51</v>
      </c>
      <c r="C302" s="664">
        <v>249952.64000000001</v>
      </c>
      <c r="D302" s="209" t="s">
        <v>485</v>
      </c>
      <c r="E302" s="664">
        <v>283787.179999999</v>
      </c>
      <c r="F302" s="664">
        <v>176791.89</v>
      </c>
    </row>
    <row r="303" spans="1:6">
      <c r="A303" s="213" t="s">
        <v>488</v>
      </c>
      <c r="B303" s="426">
        <f>(IFERROR(VLOOKUP(D303,obrotówka!$A$3:$J$1600,10,0),0))</f>
        <v>0</v>
      </c>
      <c r="C303" s="664">
        <v>0</v>
      </c>
      <c r="D303" s="209" t="s">
        <v>487</v>
      </c>
      <c r="E303" s="664">
        <v>0</v>
      </c>
      <c r="F303" s="664">
        <v>0</v>
      </c>
    </row>
    <row r="304" spans="1:6">
      <c r="A304" s="213" t="s">
        <v>490</v>
      </c>
      <c r="B304" s="426">
        <f>(IFERROR(VLOOKUP(D304,obrotówka!$A$3:$J$1600,10,0),0))</f>
        <v>0</v>
      </c>
      <c r="C304" s="664">
        <v>2700</v>
      </c>
      <c r="D304" s="209" t="s">
        <v>489</v>
      </c>
      <c r="E304" s="664">
        <v>0</v>
      </c>
      <c r="F304" s="664">
        <v>845</v>
      </c>
    </row>
    <row r="305" spans="1:6">
      <c r="A305" s="213" t="s">
        <v>492</v>
      </c>
      <c r="B305" s="426">
        <f>(IFERROR(VLOOKUP(D305,obrotówka!$A$3:$J$1600,10,0),0))</f>
        <v>5040</v>
      </c>
      <c r="C305" s="664">
        <v>6492</v>
      </c>
      <c r="D305" s="209" t="s">
        <v>491</v>
      </c>
      <c r="E305" s="664">
        <v>5832</v>
      </c>
      <c r="F305" s="664">
        <v>22284</v>
      </c>
    </row>
    <row r="306" spans="1:6">
      <c r="A306" s="213" t="s">
        <v>494</v>
      </c>
      <c r="B306" s="426">
        <f>(IFERROR(VLOOKUP(D306,obrotówka!$A$3:$J$1600,10,0),0))</f>
        <v>843458.69999999902</v>
      </c>
      <c r="C306" s="664">
        <v>1134075.6799999899</v>
      </c>
      <c r="D306" s="209" t="s">
        <v>493</v>
      </c>
      <c r="E306" s="664">
        <v>1078542.99</v>
      </c>
      <c r="F306" s="664">
        <v>1015716.99</v>
      </c>
    </row>
    <row r="307" spans="1:6">
      <c r="A307" s="213" t="s">
        <v>494</v>
      </c>
      <c r="B307" s="426">
        <f>(IFERROR(VLOOKUP(D307,obrotówka!$A$3:$J$1600,10,0),0))</f>
        <v>0</v>
      </c>
      <c r="C307" s="664">
        <v>0</v>
      </c>
      <c r="D307" s="209" t="s">
        <v>495</v>
      </c>
      <c r="E307" s="664">
        <v>0</v>
      </c>
      <c r="F307" s="664">
        <v>0</v>
      </c>
    </row>
    <row r="308" spans="1:6">
      <c r="A308" s="213" t="s">
        <v>497</v>
      </c>
      <c r="B308" s="210">
        <f>(IFERROR(VLOOKUP(D308,obrotówka!$A$3:$J$1600,10,0),0))</f>
        <v>118351.24</v>
      </c>
      <c r="C308" s="589">
        <v>116492.61</v>
      </c>
      <c r="D308" s="209" t="s">
        <v>496</v>
      </c>
      <c r="E308" s="589">
        <v>67913.3</v>
      </c>
      <c r="F308" s="589">
        <v>14483.92</v>
      </c>
    </row>
    <row r="309" spans="1:6">
      <c r="A309" s="213" t="s">
        <v>2349</v>
      </c>
      <c r="B309" s="210">
        <f>(IFERROR(VLOOKUP(D309,obrotówka!$A$3:$J$1600,10,0),0))</f>
        <v>0</v>
      </c>
      <c r="C309" s="589">
        <v>0</v>
      </c>
      <c r="D309" s="209" t="s">
        <v>2348</v>
      </c>
      <c r="E309" s="589">
        <v>0</v>
      </c>
      <c r="F309" s="589">
        <v>0</v>
      </c>
    </row>
    <row r="310" spans="1:6">
      <c r="A310" s="213" t="s">
        <v>499</v>
      </c>
      <c r="B310" s="210">
        <f>(IFERROR(VLOOKUP(D310,obrotówka!$A$3:$J$1600,10,0),0))</f>
        <v>787223.81999999902</v>
      </c>
      <c r="C310" s="589">
        <v>958762.9</v>
      </c>
      <c r="D310" s="209" t="s">
        <v>498</v>
      </c>
      <c r="E310" s="589">
        <v>832268.47999999905</v>
      </c>
      <c r="F310" s="589">
        <v>633319.73999999894</v>
      </c>
    </row>
    <row r="311" spans="1:6">
      <c r="A311" s="213" t="s">
        <v>499</v>
      </c>
      <c r="B311" s="210">
        <f>(IFERROR(VLOOKUP(D311,obrotówka!$A$3:$J$1600,10,0),0))</f>
        <v>20990</v>
      </c>
      <c r="C311" s="589">
        <v>-31480</v>
      </c>
      <c r="D311" s="209" t="s">
        <v>3281</v>
      </c>
      <c r="E311" s="589">
        <v>10490</v>
      </c>
      <c r="F311" s="589">
        <v>0</v>
      </c>
    </row>
    <row r="312" spans="1:6">
      <c r="A312" s="213" t="s">
        <v>499</v>
      </c>
      <c r="B312" s="210">
        <f>(IFERROR(VLOOKUP(D312,obrotówka!$A$3:$J$1600,10,0),0))</f>
        <v>-22050</v>
      </c>
      <c r="C312" s="589">
        <v>42272</v>
      </c>
      <c r="D312" s="209" t="s">
        <v>3678</v>
      </c>
      <c r="E312" s="589"/>
      <c r="F312" s="589"/>
    </row>
    <row r="313" spans="1:6">
      <c r="A313" s="213" t="s">
        <v>501</v>
      </c>
      <c r="B313" s="210">
        <f>(IFERROR(VLOOKUP(D313,obrotówka!$A$3:$J$1600,10,0),0))</f>
        <v>965907.75</v>
      </c>
      <c r="C313" s="589">
        <v>1156196.79</v>
      </c>
      <c r="D313" s="209" t="s">
        <v>500</v>
      </c>
      <c r="E313" s="589">
        <v>899513.91</v>
      </c>
      <c r="F313" s="589">
        <v>552646.19999999902</v>
      </c>
    </row>
    <row r="314" spans="1:6">
      <c r="A314" s="213" t="s">
        <v>501</v>
      </c>
      <c r="B314" s="210">
        <f>(IFERROR(VLOOKUP(D314,obrotówka!$A$3:$J$1600,10,0),0))</f>
        <v>0</v>
      </c>
      <c r="C314" s="589">
        <v>-82099.839999999895</v>
      </c>
      <c r="D314" s="209" t="s">
        <v>3370</v>
      </c>
      <c r="E314" s="589">
        <v>10986.91</v>
      </c>
      <c r="F314" s="589"/>
    </row>
    <row r="315" spans="1:6">
      <c r="A315" s="213" t="s">
        <v>501</v>
      </c>
      <c r="B315" s="210">
        <f>(IFERROR(VLOOKUP(D315,obrotówka!$A$3:$J$1600,10,0),0))</f>
        <v>17270.75</v>
      </c>
      <c r="C315" s="589">
        <v>82737.8</v>
      </c>
      <c r="D315" s="209" t="s">
        <v>3371</v>
      </c>
      <c r="E315" s="589">
        <v>64711.889999999898</v>
      </c>
      <c r="F315" s="589"/>
    </row>
    <row r="316" spans="1:6">
      <c r="A316" s="213" t="s">
        <v>503</v>
      </c>
      <c r="B316" s="210">
        <f>(IFERROR(VLOOKUP(D316,obrotówka!$A$3:$J$1600,10,0),0))</f>
        <v>42282</v>
      </c>
      <c r="C316" s="589">
        <v>57263.57</v>
      </c>
      <c r="D316" s="209" t="s">
        <v>502</v>
      </c>
      <c r="E316" s="589">
        <v>103168.5</v>
      </c>
      <c r="F316" s="589">
        <v>127904.19</v>
      </c>
    </row>
    <row r="317" spans="1:6">
      <c r="A317" s="213" t="s">
        <v>505</v>
      </c>
      <c r="B317" s="210">
        <f>(IFERROR(VLOOKUP(D317,obrotówka!$A$3:$J$1600,10,0),0))</f>
        <v>12910.83</v>
      </c>
      <c r="C317" s="589">
        <v>16266.92</v>
      </c>
      <c r="D317" s="209" t="s">
        <v>504</v>
      </c>
      <c r="E317" s="589">
        <v>12916.66</v>
      </c>
      <c r="F317" s="589">
        <v>9551.0400000000009</v>
      </c>
    </row>
    <row r="318" spans="1:6">
      <c r="A318" s="213" t="s">
        <v>507</v>
      </c>
      <c r="B318" s="210">
        <f>(IFERROR(VLOOKUP(D318,obrotówka!$A$3:$J$1600,10,0),0))</f>
        <v>15261.299999999899</v>
      </c>
      <c r="C318" s="589">
        <v>17632.84</v>
      </c>
      <c r="D318" s="209" t="s">
        <v>506</v>
      </c>
      <c r="E318" s="589">
        <v>20084.330000000002</v>
      </c>
      <c r="F318" s="589">
        <v>23464.33</v>
      </c>
    </row>
    <row r="319" spans="1:6">
      <c r="A319" s="213" t="s">
        <v>509</v>
      </c>
      <c r="B319" s="210">
        <f>(IFERROR(VLOOKUP(D319,obrotówka!$A$3:$J$1600,10,0),0))</f>
        <v>5518.26</v>
      </c>
      <c r="C319" s="589">
        <v>6816.4099999999899</v>
      </c>
      <c r="D319" s="209" t="s">
        <v>508</v>
      </c>
      <c r="E319" s="589">
        <v>15051.98</v>
      </c>
      <c r="F319" s="589">
        <v>6903.0299999999897</v>
      </c>
    </row>
    <row r="320" spans="1:6">
      <c r="A320" s="213" t="s">
        <v>511</v>
      </c>
      <c r="B320" s="210">
        <f>(IFERROR(VLOOKUP(D320,obrotówka!$A$3:$J$1600,10,0),0))</f>
        <v>21330</v>
      </c>
      <c r="C320" s="589">
        <v>28509</v>
      </c>
      <c r="D320" s="209" t="s">
        <v>510</v>
      </c>
      <c r="E320" s="589">
        <v>28440</v>
      </c>
      <c r="F320" s="589">
        <v>28440</v>
      </c>
    </row>
    <row r="321" spans="1:6">
      <c r="A321" s="213" t="s">
        <v>3149</v>
      </c>
      <c r="B321" s="210">
        <f>(IFERROR(VLOOKUP(D321,obrotówka!$A$3:$J$1600,10,0),0))</f>
        <v>1275.02</v>
      </c>
      <c r="C321" s="589">
        <v>700</v>
      </c>
      <c r="D321" s="209" t="s">
        <v>3148</v>
      </c>
      <c r="E321" s="589">
        <v>2984.9</v>
      </c>
      <c r="F321" s="589">
        <v>170.729999999999</v>
      </c>
    </row>
    <row r="322" spans="1:6">
      <c r="A322" s="213" t="s">
        <v>513</v>
      </c>
      <c r="B322" s="210">
        <f>(IFERROR(VLOOKUP(D322,obrotówka!$A$3:$J$1600,10,0),0))</f>
        <v>9606.0499999999902</v>
      </c>
      <c r="C322" s="589">
        <v>13904.67</v>
      </c>
      <c r="D322" s="209" t="s">
        <v>512</v>
      </c>
      <c r="E322" s="589">
        <v>15490</v>
      </c>
      <c r="F322" s="589">
        <v>16034.83</v>
      </c>
    </row>
    <row r="323" spans="1:6">
      <c r="A323" s="213" t="s">
        <v>515</v>
      </c>
      <c r="B323" s="210">
        <f>(IFERROR(VLOOKUP(D323,obrotówka!$A$3:$J$1600,10,0),0))</f>
        <v>0</v>
      </c>
      <c r="C323" s="589">
        <v>0</v>
      </c>
      <c r="D323" s="209" t="s">
        <v>514</v>
      </c>
      <c r="E323" s="589">
        <v>0</v>
      </c>
      <c r="F323" s="589">
        <v>0</v>
      </c>
    </row>
    <row r="324" spans="1:6">
      <c r="A324" s="213" t="s">
        <v>517</v>
      </c>
      <c r="B324" s="210">
        <f>(IFERROR(VLOOKUP(D324,obrotówka!$A$3:$J$1600,10,0),0))</f>
        <v>13948</v>
      </c>
      <c r="C324" s="589">
        <v>231554.32</v>
      </c>
      <c r="D324" s="209" t="s">
        <v>516</v>
      </c>
      <c r="E324" s="589">
        <v>591483</v>
      </c>
      <c r="F324" s="589">
        <v>909108</v>
      </c>
    </row>
    <row r="325" spans="1:6">
      <c r="A325" s="213" t="s">
        <v>515</v>
      </c>
      <c r="B325" s="210">
        <f>(IFERROR(VLOOKUP(D325,obrotówka!$A$3:$J$1600,10,0),0))</f>
        <v>1549.51</v>
      </c>
      <c r="C325" s="589">
        <v>10419.200000000001</v>
      </c>
      <c r="D325" s="209" t="s">
        <v>2513</v>
      </c>
      <c r="E325" s="589">
        <v>31224.9</v>
      </c>
      <c r="F325" s="589">
        <v>23266</v>
      </c>
    </row>
    <row r="326" spans="1:6">
      <c r="A326" s="213" t="s">
        <v>519</v>
      </c>
      <c r="B326" s="210">
        <f>(IFERROR(VLOOKUP(D326,obrotówka!$A$3:$J$1600,10,0),0))</f>
        <v>16167374.07</v>
      </c>
      <c r="C326" s="589">
        <v>29437053.449999899</v>
      </c>
      <c r="D326" s="209" t="s">
        <v>518</v>
      </c>
      <c r="E326" s="589">
        <v>53025536.490000002</v>
      </c>
      <c r="F326" s="589">
        <v>22179422.460000001</v>
      </c>
    </row>
    <row r="327" spans="1:6">
      <c r="A327" s="213" t="s">
        <v>521</v>
      </c>
      <c r="B327" s="210">
        <f>(IFERROR(VLOOKUP(D327,obrotówka!$A$3:$J$1600,10,0),0))</f>
        <v>-758.94</v>
      </c>
      <c r="C327" s="589">
        <v>70939.199999999895</v>
      </c>
      <c r="D327" s="209" t="s">
        <v>520</v>
      </c>
      <c r="E327" s="589">
        <v>32188.5099999999</v>
      </c>
      <c r="F327" s="589">
        <v>16067.559999999899</v>
      </c>
    </row>
    <row r="328" spans="1:6">
      <c r="A328" s="213" t="s">
        <v>523</v>
      </c>
      <c r="B328" s="210">
        <f>(IFERROR(VLOOKUP(D328,obrotówka!$A$3:$J$1600,10,0),0))</f>
        <v>-5943.85</v>
      </c>
      <c r="C328" s="589">
        <v>-412722.28999999899</v>
      </c>
      <c r="D328" s="209" t="s">
        <v>522</v>
      </c>
      <c r="E328" s="589">
        <v>-2753040.02</v>
      </c>
      <c r="F328" s="589">
        <v>-4342761.1500000004</v>
      </c>
    </row>
    <row r="329" spans="1:6">
      <c r="A329" s="213"/>
      <c r="B329" s="210"/>
      <c r="C329" s="589"/>
      <c r="D329" s="209"/>
      <c r="E329" s="589"/>
      <c r="F329" s="589"/>
    </row>
    <row r="330" spans="1:6">
      <c r="A330" s="207" t="s">
        <v>961</v>
      </c>
      <c r="B330" s="208">
        <f>SUM(B331:B343)</f>
        <v>1349674.04</v>
      </c>
      <c r="C330" s="658">
        <v>1671573.26</v>
      </c>
      <c r="E330" s="658">
        <v>1714703.69</v>
      </c>
      <c r="F330" s="658">
        <v>1783799.1099999996</v>
      </c>
    </row>
    <row r="331" spans="1:6">
      <c r="A331" s="213" t="s">
        <v>621</v>
      </c>
      <c r="B331" s="210">
        <f>(IFERROR(VLOOKUP(D331,obrotówka!$A$3:$J$1600,10,0),0))</f>
        <v>0</v>
      </c>
      <c r="C331" s="589">
        <v>0</v>
      </c>
      <c r="D331" s="209" t="s">
        <v>620</v>
      </c>
      <c r="E331" s="589">
        <v>0</v>
      </c>
      <c r="F331" s="589">
        <v>0</v>
      </c>
    </row>
    <row r="332" spans="1:6">
      <c r="A332" s="213" t="s">
        <v>623</v>
      </c>
      <c r="B332" s="210">
        <f>(IFERROR(VLOOKUP(D332,obrotówka!$A$3:$J$1600,10,0),0))</f>
        <v>527922</v>
      </c>
      <c r="C332" s="589">
        <v>694224</v>
      </c>
      <c r="D332" s="209" t="s">
        <v>622</v>
      </c>
      <c r="E332" s="589">
        <v>618089</v>
      </c>
      <c r="F332" s="589">
        <v>564362</v>
      </c>
    </row>
    <row r="333" spans="1:6">
      <c r="A333" s="213" t="s">
        <v>625</v>
      </c>
      <c r="B333" s="210">
        <f>(IFERROR(VLOOKUP(D333,obrotówka!$A$3:$J$1600,10,0),0))</f>
        <v>23249.25</v>
      </c>
      <c r="C333" s="589">
        <v>30187</v>
      </c>
      <c r="D333" s="209" t="s">
        <v>624</v>
      </c>
      <c r="E333" s="589">
        <v>25839</v>
      </c>
      <c r="F333" s="589">
        <v>23247</v>
      </c>
    </row>
    <row r="334" spans="1:6">
      <c r="A334" s="213" t="s">
        <v>627</v>
      </c>
      <c r="B334" s="210">
        <f>(IFERROR(VLOOKUP(D334,obrotówka!$A$3:$J$1600,10,0),0))</f>
        <v>26692.400000000001</v>
      </c>
      <c r="C334" s="589">
        <v>38102.529999999897</v>
      </c>
      <c r="D334" s="209" t="s">
        <v>626</v>
      </c>
      <c r="E334" s="589">
        <v>41827.389999999898</v>
      </c>
      <c r="F334" s="589">
        <v>36213.58</v>
      </c>
    </row>
    <row r="335" spans="1:6">
      <c r="A335" s="213" t="s">
        <v>627</v>
      </c>
      <c r="B335" s="210">
        <f>(IFERROR(VLOOKUP(D335,obrotówka!$A$3:$J$1600,10,0),0))</f>
        <v>14654.17</v>
      </c>
      <c r="C335" s="589">
        <v>15344.41</v>
      </c>
      <c r="D335" s="209" t="s">
        <v>628</v>
      </c>
      <c r="E335" s="589">
        <v>16960.25</v>
      </c>
      <c r="F335" s="589">
        <v>17942.830000000002</v>
      </c>
    </row>
    <row r="336" spans="1:6">
      <c r="A336" s="213" t="s">
        <v>630</v>
      </c>
      <c r="B336" s="210">
        <f>(IFERROR(VLOOKUP(D336,obrotówka!$A$3:$J$1600,10,0),0))</f>
        <v>4873</v>
      </c>
      <c r="C336" s="589">
        <v>5394</v>
      </c>
      <c r="D336" s="209" t="s">
        <v>629</v>
      </c>
      <c r="E336" s="589">
        <v>10550</v>
      </c>
      <c r="F336" s="589">
        <v>6409.6999999999898</v>
      </c>
    </row>
    <row r="337" spans="1:7">
      <c r="A337" s="213" t="s">
        <v>632</v>
      </c>
      <c r="B337" s="210">
        <f>(IFERROR(VLOOKUP(D337,obrotówka!$A$3:$J$1600,10,0),0))</f>
        <v>730716</v>
      </c>
      <c r="C337" s="589">
        <v>869755</v>
      </c>
      <c r="D337" s="209" t="s">
        <v>631</v>
      </c>
      <c r="E337" s="589">
        <v>784390</v>
      </c>
      <c r="F337" s="589">
        <v>745143</v>
      </c>
    </row>
    <row r="338" spans="1:7">
      <c r="A338" s="213" t="s">
        <v>3674</v>
      </c>
      <c r="B338" s="210">
        <f>(IFERROR(VLOOKUP(D338,obrotówka!$A$3:$J$1600,10,0),0))</f>
        <v>156</v>
      </c>
      <c r="C338" s="589">
        <v>684</v>
      </c>
      <c r="D338" s="209" t="s">
        <v>633</v>
      </c>
      <c r="E338" s="589"/>
      <c r="F338" s="589">
        <v>378208.7</v>
      </c>
    </row>
    <row r="339" spans="1:7">
      <c r="A339" s="213" t="s">
        <v>3674</v>
      </c>
      <c r="B339" s="210">
        <f>(IFERROR(VLOOKUP(D339,obrotówka!$A$3:$J$1600,10,0),0))</f>
        <v>0</v>
      </c>
      <c r="C339" s="589">
        <v>24</v>
      </c>
      <c r="D339" s="209" t="s">
        <v>3679</v>
      </c>
      <c r="E339" s="589"/>
      <c r="F339" s="589"/>
    </row>
    <row r="340" spans="1:7">
      <c r="A340" s="213" t="s">
        <v>3673</v>
      </c>
      <c r="B340" s="210">
        <f>(IFERROR(VLOOKUP(D340,obrotówka!$A$3:$J$1600,10,0),0))</f>
        <v>9510</v>
      </c>
      <c r="C340" s="589">
        <v>3486.8299999999899</v>
      </c>
      <c r="D340" s="209" t="s">
        <v>3671</v>
      </c>
      <c r="E340" s="589">
        <v>202261.6</v>
      </c>
      <c r="F340" s="589"/>
    </row>
    <row r="341" spans="1:7">
      <c r="A341" s="213" t="s">
        <v>3675</v>
      </c>
      <c r="B341" s="210">
        <f>(IFERROR(VLOOKUP(D341,obrotówka!$A$3:$J$1600,10,0),0))</f>
        <v>2660.78</v>
      </c>
      <c r="C341" s="589">
        <v>602.59</v>
      </c>
      <c r="D341" s="209" t="s">
        <v>3672</v>
      </c>
      <c r="E341" s="589"/>
      <c r="F341" s="589"/>
    </row>
    <row r="342" spans="1:7">
      <c r="A342" s="213" t="s">
        <v>635</v>
      </c>
      <c r="B342" s="210">
        <f>(IFERROR(VLOOKUP(D342,obrotówka!$A$3:$J$1600,10,0),0))</f>
        <v>9240.44</v>
      </c>
      <c r="C342" s="589">
        <v>13768.9</v>
      </c>
      <c r="D342" s="209" t="s">
        <v>634</v>
      </c>
      <c r="E342" s="589">
        <v>14786.45</v>
      </c>
      <c r="F342" s="589">
        <v>12272.299999999899</v>
      </c>
    </row>
    <row r="343" spans="1:7">
      <c r="A343" s="213"/>
      <c r="B343" s="210">
        <f>(IFERROR(VLOOKUP(D343,obrotówka!$A$3:$J$1600,10,0),0))</f>
        <v>0</v>
      </c>
      <c r="C343" s="589">
        <v>0</v>
      </c>
      <c r="D343" s="216"/>
      <c r="E343" s="589">
        <v>0</v>
      </c>
      <c r="F343" s="589">
        <v>0</v>
      </c>
    </row>
    <row r="344" spans="1:7">
      <c r="A344" s="207" t="s">
        <v>962</v>
      </c>
      <c r="B344" s="208">
        <f>B345+B365+B377+B380+B382+B385+B398</f>
        <v>70924328.259999841</v>
      </c>
      <c r="C344" s="658">
        <v>91285207.319999844</v>
      </c>
      <c r="E344" s="658">
        <v>89827984.619999826</v>
      </c>
      <c r="F344" s="658">
        <v>81723803.279999971</v>
      </c>
    </row>
    <row r="345" spans="1:7">
      <c r="A345" s="417" t="s">
        <v>987</v>
      </c>
      <c r="B345" s="418">
        <f>SUM(B346:B364)</f>
        <v>52788789.719999842</v>
      </c>
      <c r="C345" s="418">
        <v>68315067.209999844</v>
      </c>
      <c r="D345" s="205"/>
      <c r="E345" s="666">
        <v>63666448.509999849</v>
      </c>
      <c r="F345" s="666">
        <v>54756913.669999994</v>
      </c>
      <c r="G345" s="205"/>
    </row>
    <row r="346" spans="1:7">
      <c r="A346" s="213" t="s">
        <v>525</v>
      </c>
      <c r="B346" s="210">
        <f>(IFERROR(VLOOKUP(D346,obrotówka!$A$3:$J$1600,10,0),0))</f>
        <v>23044090.039999899</v>
      </c>
      <c r="C346" s="589">
        <v>29762125.329999901</v>
      </c>
      <c r="D346" s="209" t="s">
        <v>524</v>
      </c>
      <c r="E346" s="589">
        <v>27760998.719999898</v>
      </c>
      <c r="F346" s="589">
        <v>23004628.350000001</v>
      </c>
      <c r="G346" s="133"/>
    </row>
    <row r="347" spans="1:7">
      <c r="A347" s="213" t="s">
        <v>527</v>
      </c>
      <c r="B347" s="210">
        <f>(IFERROR(VLOOKUP(D347,obrotówka!$A$3:$J$1600,10,0),0))</f>
        <v>893499.03</v>
      </c>
      <c r="C347" s="589">
        <v>1150937.3600000001</v>
      </c>
      <c r="D347" s="209" t="s">
        <v>526</v>
      </c>
      <c r="E347" s="589">
        <v>1035300.3199999901</v>
      </c>
      <c r="F347" s="589">
        <v>966066.73999999894</v>
      </c>
      <c r="G347" s="223"/>
    </row>
    <row r="348" spans="1:7">
      <c r="A348" s="213" t="s">
        <v>3104</v>
      </c>
      <c r="B348" s="210">
        <f>(IFERROR(VLOOKUP(D348,obrotówka!$A$3:$J$1600,10,0),0))</f>
        <v>5325.76</v>
      </c>
      <c r="C348" s="589">
        <v>7182.1099999999897</v>
      </c>
      <c r="D348" s="209" t="s">
        <v>3103</v>
      </c>
      <c r="E348" s="589">
        <v>7200</v>
      </c>
      <c r="F348" s="589">
        <v>4600</v>
      </c>
      <c r="G348" s="223"/>
    </row>
    <row r="349" spans="1:7">
      <c r="A349" s="213" t="s">
        <v>529</v>
      </c>
      <c r="B349" s="210">
        <f>(IFERROR(VLOOKUP(D349,obrotówka!$A$3:$J$1600,10,0),0))</f>
        <v>4030714.5899999901</v>
      </c>
      <c r="C349" s="589">
        <v>5245611.33</v>
      </c>
      <c r="D349" s="209" t="s">
        <v>528</v>
      </c>
      <c r="E349" s="589">
        <v>4919631.32</v>
      </c>
      <c r="F349" s="589">
        <v>4397255.1100000003</v>
      </c>
      <c r="G349" s="223"/>
    </row>
    <row r="350" spans="1:7">
      <c r="A350" s="213" t="s">
        <v>531</v>
      </c>
      <c r="B350" s="210">
        <f>(IFERROR(VLOOKUP(D350,obrotówka!$A$3:$J$1600,10,0),0))</f>
        <v>1799861.08</v>
      </c>
      <c r="C350" s="589">
        <v>2215755.6499999901</v>
      </c>
      <c r="D350" s="209" t="s">
        <v>530</v>
      </c>
      <c r="E350" s="589">
        <v>1279749.96</v>
      </c>
      <c r="F350" s="589">
        <v>1195407.2</v>
      </c>
      <c r="G350" s="223"/>
    </row>
    <row r="351" spans="1:7">
      <c r="A351" s="213" t="s">
        <v>533</v>
      </c>
      <c r="B351" s="210">
        <f>(IFERROR(VLOOKUP(D351,obrotówka!$A$3:$J$1600,10,0),0))</f>
        <v>2134955.8199999901</v>
      </c>
      <c r="C351" s="589">
        <v>2592716.8799999901</v>
      </c>
      <c r="D351" s="209" t="s">
        <v>532</v>
      </c>
      <c r="E351" s="589">
        <v>2172845.91</v>
      </c>
      <c r="F351" s="589">
        <v>1867575.57</v>
      </c>
      <c r="G351" s="223"/>
    </row>
    <row r="352" spans="1:7">
      <c r="A352" s="213" t="s">
        <v>535</v>
      </c>
      <c r="B352" s="210">
        <f>(IFERROR(VLOOKUP(D352,obrotówka!$A$3:$J$1600,10,0),0))</f>
        <v>1790720.74</v>
      </c>
      <c r="C352" s="589">
        <v>2303041.1299999901</v>
      </c>
      <c r="D352" s="209" t="s">
        <v>534</v>
      </c>
      <c r="E352" s="589">
        <v>2203323.6899999902</v>
      </c>
      <c r="F352" s="589">
        <v>1980208.22</v>
      </c>
      <c r="G352" s="223"/>
    </row>
    <row r="353" spans="1:7">
      <c r="A353" s="213" t="s">
        <v>537</v>
      </c>
      <c r="B353" s="210">
        <f>(IFERROR(VLOOKUP(D353,obrotówka!$A$3:$J$1600,10,0),0))</f>
        <v>3211029.3199999901</v>
      </c>
      <c r="C353" s="589">
        <v>3125596.00999999</v>
      </c>
      <c r="D353" s="209" t="s">
        <v>536</v>
      </c>
      <c r="E353" s="589">
        <v>2861968.3799999901</v>
      </c>
      <c r="F353" s="589">
        <v>2814346.5899999901</v>
      </c>
      <c r="G353" s="223"/>
    </row>
    <row r="354" spans="1:7">
      <c r="A354" s="213" t="s">
        <v>541</v>
      </c>
      <c r="B354" s="210">
        <f>(IFERROR(VLOOKUP(D354,obrotówka!$A$3:$J$1600,10,0),0))</f>
        <v>1587272</v>
      </c>
      <c r="C354" s="589">
        <v>1511207</v>
      </c>
      <c r="D354" s="209" t="s">
        <v>540</v>
      </c>
      <c r="E354" s="589">
        <v>1482466</v>
      </c>
      <c r="F354" s="589">
        <v>1370871</v>
      </c>
      <c r="G354" s="223"/>
    </row>
    <row r="355" spans="1:7">
      <c r="A355" s="213" t="s">
        <v>545</v>
      </c>
      <c r="B355" s="210">
        <f>(IFERROR(VLOOKUP(D355,obrotówka!$A$3:$J$1600,10,0),0))</f>
        <v>9558475.8599999901</v>
      </c>
      <c r="C355" s="589">
        <v>13182382.25</v>
      </c>
      <c r="D355" s="209" t="s">
        <v>544</v>
      </c>
      <c r="E355" s="589">
        <v>13430406.35</v>
      </c>
      <c r="F355" s="589">
        <v>11205979.130000001</v>
      </c>
      <c r="G355" s="223"/>
    </row>
    <row r="356" spans="1:7">
      <c r="A356" s="213" t="s">
        <v>547</v>
      </c>
      <c r="B356" s="210">
        <f>(IFERROR(VLOOKUP(D356,obrotówka!$A$3:$J$1600,10,0),0))</f>
        <v>1040320</v>
      </c>
      <c r="C356" s="589">
        <v>1652443</v>
      </c>
      <c r="D356" s="209" t="s">
        <v>546</v>
      </c>
      <c r="E356" s="589">
        <v>1670105.1399999899</v>
      </c>
      <c r="F356" s="589">
        <v>1788674</v>
      </c>
      <c r="G356" s="223"/>
    </row>
    <row r="357" spans="1:7">
      <c r="A357" s="213" t="s">
        <v>549</v>
      </c>
      <c r="B357" s="210">
        <f>(IFERROR(VLOOKUP(D357,obrotówka!$A$3:$J$1600,10,0),0))</f>
        <v>1190110.6599999899</v>
      </c>
      <c r="C357" s="589">
        <v>1544634.9399999899</v>
      </c>
      <c r="D357" s="209" t="s">
        <v>548</v>
      </c>
      <c r="E357" s="589">
        <v>1417293.53</v>
      </c>
      <c r="F357" s="589">
        <v>1170482.49</v>
      </c>
      <c r="G357" s="223"/>
    </row>
    <row r="358" spans="1:7">
      <c r="A358" s="213" t="s">
        <v>551</v>
      </c>
      <c r="B358" s="210">
        <f>(IFERROR(VLOOKUP(D358,obrotówka!$A$3:$J$1600,10,0),0))</f>
        <v>1167670.08</v>
      </c>
      <c r="C358" s="589">
        <v>1387548.77</v>
      </c>
      <c r="D358" s="209" t="s">
        <v>550</v>
      </c>
      <c r="E358" s="589">
        <v>1516630.3999999899</v>
      </c>
      <c r="F358" s="589">
        <v>933164.31</v>
      </c>
      <c r="G358" s="223"/>
    </row>
    <row r="359" spans="1:7">
      <c r="A359" s="213" t="s">
        <v>555</v>
      </c>
      <c r="B359" s="210">
        <f>(IFERROR(VLOOKUP(D359,obrotówka!$A$3:$J$1600,10,0),0))</f>
        <v>102088.55</v>
      </c>
      <c r="C359" s="589">
        <v>101980.12</v>
      </c>
      <c r="D359" s="209" t="s">
        <v>554</v>
      </c>
      <c r="E359" s="589">
        <v>78890.889999999898</v>
      </c>
      <c r="F359" s="589">
        <v>112604.56</v>
      </c>
      <c r="G359" s="223"/>
    </row>
    <row r="360" spans="1:7">
      <c r="A360" s="213" t="s">
        <v>3106</v>
      </c>
      <c r="B360" s="210">
        <f>(IFERROR(VLOOKUP(D360,obrotówka!$A$3:$J$1600,10,0),0))</f>
        <v>0</v>
      </c>
      <c r="C360" s="589">
        <v>4544.1999999999898</v>
      </c>
      <c r="D360" s="209" t="s">
        <v>3105</v>
      </c>
      <c r="E360" s="589">
        <v>0</v>
      </c>
      <c r="F360" s="589">
        <v>1915.91</v>
      </c>
      <c r="G360" s="223"/>
    </row>
    <row r="361" spans="1:7">
      <c r="A361" s="213" t="s">
        <v>559</v>
      </c>
      <c r="B361" s="210">
        <f>(IFERROR(VLOOKUP(D361,obrotówka!$A$3:$J$1600,10,0),0))</f>
        <v>454629.609999999</v>
      </c>
      <c r="C361" s="589">
        <v>604878.52</v>
      </c>
      <c r="D361" s="209" t="s">
        <v>558</v>
      </c>
      <c r="E361" s="589">
        <v>559519.5</v>
      </c>
      <c r="F361" s="589">
        <v>406413.41999999899</v>
      </c>
      <c r="G361" s="223"/>
    </row>
    <row r="362" spans="1:7">
      <c r="A362" s="213" t="s">
        <v>561</v>
      </c>
      <c r="B362" s="210">
        <f>(IFERROR(VLOOKUP(D362,obrotówka!$A$3:$J$1600,10,0),0))</f>
        <v>158536.079999999</v>
      </c>
      <c r="C362" s="589">
        <v>220131.299999999</v>
      </c>
      <c r="D362" s="209" t="s">
        <v>560</v>
      </c>
      <c r="E362" s="589">
        <v>264226.799999999</v>
      </c>
      <c r="F362" s="589">
        <v>252776.97</v>
      </c>
      <c r="G362" s="223"/>
    </row>
    <row r="363" spans="1:7">
      <c r="A363" s="213" t="s">
        <v>563</v>
      </c>
      <c r="B363" s="210">
        <f>(IFERROR(VLOOKUP(D363,obrotówka!$A$3:$J$1600,10,0),0))</f>
        <v>606183.59999999905</v>
      </c>
      <c r="C363" s="589">
        <v>1686184.21</v>
      </c>
      <c r="D363" s="209" t="s">
        <v>562</v>
      </c>
      <c r="E363" s="589">
        <v>1005891.6</v>
      </c>
      <c r="F363" s="589">
        <v>1283944.1000000001</v>
      </c>
      <c r="G363" s="223"/>
    </row>
    <row r="364" spans="1:7">
      <c r="A364" s="213" t="s">
        <v>3729</v>
      </c>
      <c r="B364" s="210">
        <f>(IFERROR(VLOOKUP(D364,obrotówka!$A$3:$J$1600,10,0),0))</f>
        <v>13306.9</v>
      </c>
      <c r="C364" s="589">
        <v>16167.1</v>
      </c>
      <c r="D364" s="209" t="s">
        <v>3733</v>
      </c>
      <c r="E364" s="589"/>
      <c r="F364" s="589"/>
      <c r="G364" s="223"/>
    </row>
    <row r="365" spans="1:7">
      <c r="A365" s="417" t="s">
        <v>988</v>
      </c>
      <c r="B365" s="134">
        <f>SUM(B366:B376)</f>
        <v>10189327.169999991</v>
      </c>
      <c r="C365" s="655">
        <v>13169551.299999988</v>
      </c>
      <c r="D365" s="222"/>
      <c r="E365" s="655">
        <v>12608737.17</v>
      </c>
      <c r="F365" s="655">
        <v>10717806.74</v>
      </c>
      <c r="G365" s="223"/>
    </row>
    <row r="366" spans="1:7">
      <c r="A366" s="213" t="s">
        <v>579</v>
      </c>
      <c r="B366" s="210">
        <f>(IFERROR(VLOOKUP(D366,obrotówka!$A$3:$J$1600,10,0),0))</f>
        <v>4942816.5899999896</v>
      </c>
      <c r="C366" s="589">
        <v>6279275.7199999904</v>
      </c>
      <c r="D366" s="209" t="s">
        <v>578</v>
      </c>
      <c r="E366" s="589">
        <v>5902865.1100000003</v>
      </c>
      <c r="F366" s="589">
        <v>5006544.9400000004</v>
      </c>
      <c r="G366" s="223"/>
    </row>
    <row r="367" spans="1:7">
      <c r="A367" s="213" t="s">
        <v>581</v>
      </c>
      <c r="B367" s="210">
        <f>(IFERROR(VLOOKUP(D367,obrotówka!$A$3:$J$1600,10,0),0))</f>
        <v>48830.61</v>
      </c>
      <c r="C367" s="589">
        <v>114215.429999999</v>
      </c>
      <c r="D367" s="209" t="s">
        <v>580</v>
      </c>
      <c r="E367" s="589">
        <v>49552.07</v>
      </c>
      <c r="F367" s="589">
        <v>57439.419999999896</v>
      </c>
    </row>
    <row r="368" spans="1:7">
      <c r="A368" s="213" t="s">
        <v>583</v>
      </c>
      <c r="B368" s="210">
        <f>(IFERROR(VLOOKUP(D368,obrotówka!$A$3:$J$1600,10,0),0))</f>
        <v>3291834.97</v>
      </c>
      <c r="C368" s="589">
        <v>4181895.5</v>
      </c>
      <c r="D368" s="209" t="s">
        <v>582</v>
      </c>
      <c r="E368" s="589">
        <v>3931211.95</v>
      </c>
      <c r="F368" s="589">
        <v>3334277.35</v>
      </c>
    </row>
    <row r="369" spans="1:6">
      <c r="A369" s="213" t="s">
        <v>585</v>
      </c>
      <c r="B369" s="210">
        <f>(IFERROR(VLOOKUP(D369,obrotówka!$A$3:$J$1600,10,0),0))</f>
        <v>32520.52</v>
      </c>
      <c r="C369" s="589">
        <v>76065.679999999906</v>
      </c>
      <c r="D369" s="209" t="s">
        <v>584</v>
      </c>
      <c r="E369" s="589">
        <v>33001.01</v>
      </c>
      <c r="F369" s="589">
        <v>38253.86</v>
      </c>
    </row>
    <row r="370" spans="1:6">
      <c r="A370" s="213" t="s">
        <v>587</v>
      </c>
      <c r="B370" s="210">
        <f>(IFERROR(VLOOKUP(D370,obrotówka!$A$3:$J$1600,10,0),0))</f>
        <v>748696.56</v>
      </c>
      <c r="C370" s="589">
        <v>1058585.26</v>
      </c>
      <c r="D370" s="209" t="s">
        <v>586</v>
      </c>
      <c r="E370" s="589">
        <v>1346340.05</v>
      </c>
      <c r="F370" s="589">
        <v>1132172.28</v>
      </c>
    </row>
    <row r="371" spans="1:6">
      <c r="A371" s="213" t="s">
        <v>589</v>
      </c>
      <c r="B371" s="210">
        <f>(IFERROR(VLOOKUP(D371,obrotówka!$A$3:$J$1600,10,0),0))</f>
        <v>6384.3</v>
      </c>
      <c r="C371" s="589">
        <v>19276.3499999999</v>
      </c>
      <c r="D371" s="209" t="s">
        <v>588</v>
      </c>
      <c r="E371" s="589">
        <v>7294.54</v>
      </c>
      <c r="F371" s="589">
        <v>8740.9099999999908</v>
      </c>
    </row>
    <row r="372" spans="1:6">
      <c r="A372" s="213" t="s">
        <v>591</v>
      </c>
      <c r="B372" s="210">
        <f>(IFERROR(VLOOKUP(D372,obrotówka!$A$3:$J$1600,10,0),0))</f>
        <v>1046306.51</v>
      </c>
      <c r="C372" s="589">
        <v>1327554.3</v>
      </c>
      <c r="D372" s="209" t="s">
        <v>590</v>
      </c>
      <c r="E372" s="589">
        <v>1246515.26</v>
      </c>
      <c r="F372" s="589">
        <v>1058419.8700000001</v>
      </c>
    </row>
    <row r="373" spans="1:6">
      <c r="A373" s="213" t="s">
        <v>593</v>
      </c>
      <c r="B373" s="210">
        <f>(IFERROR(VLOOKUP(D373,obrotówka!$A$3:$J$1600,10,0),0))</f>
        <v>7224.75</v>
      </c>
      <c r="C373" s="589">
        <v>25725.91</v>
      </c>
      <c r="D373" s="209" t="s">
        <v>592</v>
      </c>
      <c r="E373" s="589">
        <v>9837.0799999999908</v>
      </c>
      <c r="F373" s="589">
        <v>11566.549999999899</v>
      </c>
    </row>
    <row r="374" spans="1:6">
      <c r="A374" s="213" t="s">
        <v>595</v>
      </c>
      <c r="B374" s="210">
        <f>(IFERROR(VLOOKUP(D374,obrotówka!$A$3:$J$1600,10,0),0))</f>
        <v>42706.449999999903</v>
      </c>
      <c r="C374" s="589">
        <v>54186.019999999902</v>
      </c>
      <c r="D374" s="209" t="s">
        <v>594</v>
      </c>
      <c r="E374" s="589">
        <v>50878.529999999897</v>
      </c>
      <c r="F374" s="589">
        <v>43209.66</v>
      </c>
    </row>
    <row r="375" spans="1:6">
      <c r="A375" s="213" t="s">
        <v>597</v>
      </c>
      <c r="B375" s="210">
        <f>(IFERROR(VLOOKUP(D375,obrotówka!$A$3:$J$1600,10,0),0))</f>
        <v>176</v>
      </c>
      <c r="C375" s="589">
        <v>890.87</v>
      </c>
      <c r="D375" s="209" t="s">
        <v>596</v>
      </c>
      <c r="E375" s="589">
        <v>239.99</v>
      </c>
      <c r="F375" s="589">
        <v>310.26999999999902</v>
      </c>
    </row>
    <row r="376" spans="1:6">
      <c r="A376" s="213" t="s">
        <v>601</v>
      </c>
      <c r="B376" s="210">
        <f>(IFERROR(VLOOKUP(D376,obrotówka!$A$3:$J$1600,10,0),0))</f>
        <v>21829.91</v>
      </c>
      <c r="C376" s="589">
        <v>31880.2599999999</v>
      </c>
      <c r="D376" s="209" t="s">
        <v>600</v>
      </c>
      <c r="E376" s="589">
        <v>31001.58</v>
      </c>
      <c r="F376" s="589">
        <v>26871.63</v>
      </c>
    </row>
    <row r="377" spans="1:6" s="223" customFormat="1">
      <c r="A377" s="417" t="s">
        <v>989</v>
      </c>
      <c r="B377" s="134">
        <f>B378+B379</f>
        <v>471355.75</v>
      </c>
      <c r="C377" s="655">
        <v>496722.2</v>
      </c>
      <c r="D377" s="222"/>
      <c r="E377" s="655">
        <v>319100.77</v>
      </c>
      <c r="F377" s="655">
        <v>308792.299999999</v>
      </c>
    </row>
    <row r="378" spans="1:6">
      <c r="A378" s="213" t="s">
        <v>557</v>
      </c>
      <c r="B378" s="210">
        <f>(IFERROR(VLOOKUP(D378,obrotówka!$A$3:$J$1600,10,0),0))</f>
        <v>471355.75</v>
      </c>
      <c r="C378" s="589">
        <v>496722.2</v>
      </c>
      <c r="D378" s="209" t="s">
        <v>556</v>
      </c>
      <c r="E378" s="589">
        <v>319100.77</v>
      </c>
      <c r="F378" s="589">
        <v>308792.299999999</v>
      </c>
    </row>
    <row r="379" spans="1:6">
      <c r="A379" s="213"/>
      <c r="B379" s="210"/>
      <c r="C379" s="589"/>
      <c r="D379" s="209"/>
      <c r="E379" s="589"/>
      <c r="F379" s="589"/>
    </row>
    <row r="380" spans="1:6" s="223" customFormat="1">
      <c r="A380" s="417" t="s">
        <v>990</v>
      </c>
      <c r="B380" s="134">
        <f>B381</f>
        <v>1111135</v>
      </c>
      <c r="C380" s="655">
        <v>1614484</v>
      </c>
      <c r="D380" s="222"/>
      <c r="E380" s="655">
        <v>1428565</v>
      </c>
      <c r="F380" s="655">
        <v>1355513</v>
      </c>
    </row>
    <row r="381" spans="1:6">
      <c r="A381" s="213" t="s">
        <v>553</v>
      </c>
      <c r="B381" s="210">
        <f>(IFERROR(VLOOKUP(D381,obrotówka!$A$3:$J$1600,10,0),0))</f>
        <v>1111135</v>
      </c>
      <c r="C381" s="589">
        <v>1614484</v>
      </c>
      <c r="D381" s="209" t="s">
        <v>552</v>
      </c>
      <c r="E381" s="589">
        <v>1428565</v>
      </c>
      <c r="F381" s="589">
        <v>1355513</v>
      </c>
    </row>
    <row r="382" spans="1:6" s="223" customFormat="1">
      <c r="A382" s="417" t="s">
        <v>991</v>
      </c>
      <c r="B382" s="134">
        <f>B383+B384</f>
        <v>0</v>
      </c>
      <c r="C382" s="655">
        <v>6332.4499999999898</v>
      </c>
      <c r="D382" s="222"/>
      <c r="E382" s="655">
        <v>3462.5599999999899</v>
      </c>
      <c r="F382" s="655">
        <v>69512.149999999907</v>
      </c>
    </row>
    <row r="383" spans="1:6" s="223" customFormat="1">
      <c r="A383" s="213" t="s">
        <v>994</v>
      </c>
      <c r="B383" s="210">
        <f>(IFERROR(VLOOKUP(D383,obrotówka!$A$3:$J$1600,10,0),0))</f>
        <v>0</v>
      </c>
      <c r="C383" s="589">
        <v>0</v>
      </c>
      <c r="D383" s="209" t="s">
        <v>993</v>
      </c>
      <c r="E383" s="589">
        <v>0</v>
      </c>
      <c r="F383" s="589">
        <v>0</v>
      </c>
    </row>
    <row r="384" spans="1:6">
      <c r="A384" s="213" t="s">
        <v>611</v>
      </c>
      <c r="B384" s="210">
        <f>(IFERROR(VLOOKUP(D384,obrotówka!$A$3:$J$1600,10,0),0))</f>
        <v>0</v>
      </c>
      <c r="C384" s="589">
        <v>6332.4499999999898</v>
      </c>
      <c r="D384" s="209" t="s">
        <v>610</v>
      </c>
      <c r="E384" s="589">
        <v>3462.5599999999899</v>
      </c>
      <c r="F384" s="589">
        <v>69512.149999999907</v>
      </c>
    </row>
    <row r="385" spans="1:7" s="223" customFormat="1">
      <c r="A385" s="417" t="s">
        <v>992</v>
      </c>
      <c r="B385" s="134">
        <f>SUM(B386:B397)</f>
        <v>-2019593.42</v>
      </c>
      <c r="C385" s="134">
        <v>-2832355.6799999992</v>
      </c>
      <c r="D385" s="222"/>
      <c r="E385" s="655">
        <v>2479920.85</v>
      </c>
      <c r="F385" s="655">
        <v>5838033.3099999921</v>
      </c>
      <c r="G385" s="133"/>
    </row>
    <row r="386" spans="1:7">
      <c r="A386" s="213" t="s">
        <v>539</v>
      </c>
      <c r="B386" s="210">
        <f>(IFERROR(VLOOKUP(D386,obrotówka!$A$3:$J$1600,10,0),0))</f>
        <v>-682478.55</v>
      </c>
      <c r="C386" s="589">
        <v>82451.649999999907</v>
      </c>
      <c r="D386" s="209" t="s">
        <v>538</v>
      </c>
      <c r="E386" s="589">
        <v>342194.90999999898</v>
      </c>
      <c r="F386" s="589">
        <v>-24840.709999999901</v>
      </c>
    </row>
    <row r="387" spans="1:7">
      <c r="A387" s="213" t="s">
        <v>545</v>
      </c>
      <c r="B387" s="210">
        <f>(IFERROR(VLOOKUP(D387,obrotówka!$A$3:$J$1600,10,0),0))</f>
        <v>0</v>
      </c>
      <c r="C387" s="589">
        <v>0</v>
      </c>
      <c r="D387" s="209" t="s">
        <v>3704</v>
      </c>
      <c r="E387" s="589"/>
      <c r="F387" s="589"/>
    </row>
    <row r="388" spans="1:7">
      <c r="A388" s="213" t="s">
        <v>543</v>
      </c>
      <c r="B388" s="210">
        <f>(IFERROR(VLOOKUP(D388,obrotówka!$A$3:$J$1600,10,0),0))</f>
        <v>0</v>
      </c>
      <c r="C388" s="589">
        <v>0</v>
      </c>
      <c r="D388" s="209" t="s">
        <v>542</v>
      </c>
      <c r="E388" s="589">
        <v>0</v>
      </c>
      <c r="F388" s="589">
        <v>0</v>
      </c>
    </row>
    <row r="389" spans="1:7">
      <c r="A389" s="213" t="s">
        <v>565</v>
      </c>
      <c r="B389" s="210">
        <f>(IFERROR(VLOOKUP(D389,obrotówka!$A$3:$J$1600,10,0),0))</f>
        <v>-740694</v>
      </c>
      <c r="C389" s="589">
        <v>-2230526</v>
      </c>
      <c r="D389" s="209" t="s">
        <v>564</v>
      </c>
      <c r="E389" s="589">
        <v>2501418</v>
      </c>
      <c r="F389" s="589">
        <v>-688374</v>
      </c>
    </row>
    <row r="390" spans="1:7">
      <c r="A390" s="213" t="s">
        <v>567</v>
      </c>
      <c r="B390" s="210">
        <f>(IFERROR(VLOOKUP(D390,obrotówka!$A$3:$J$1600,10,0),0))</f>
        <v>-403885</v>
      </c>
      <c r="C390" s="589">
        <v>-317708.2</v>
      </c>
      <c r="D390" s="209" t="s">
        <v>566</v>
      </c>
      <c r="E390" s="589">
        <v>-126439.77</v>
      </c>
      <c r="F390" s="589">
        <v>-162063.299999999</v>
      </c>
    </row>
    <row r="391" spans="1:7">
      <c r="A391" s="213" t="s">
        <v>569</v>
      </c>
      <c r="B391" s="210">
        <f>(IFERROR(VLOOKUP(D391,obrotówka!$A$3:$J$1600,10,0),0))</f>
        <v>0</v>
      </c>
      <c r="C391" s="589">
        <v>-151857.76</v>
      </c>
      <c r="D391" s="209" t="s">
        <v>568</v>
      </c>
      <c r="E391" s="589">
        <v>403280.52</v>
      </c>
      <c r="F391" s="589">
        <v>2293.4099999999899</v>
      </c>
    </row>
    <row r="392" spans="1:7">
      <c r="A392" s="213" t="s">
        <v>571</v>
      </c>
      <c r="B392" s="210">
        <f>(IFERROR(VLOOKUP(D392,obrotówka!$A$3:$J$1600,10,0),0))</f>
        <v>-19158.400000000001</v>
      </c>
      <c r="C392" s="589">
        <v>-156361.079999999</v>
      </c>
      <c r="D392" s="209" t="s">
        <v>570</v>
      </c>
      <c r="E392" s="589">
        <v>-834423.20999999903</v>
      </c>
      <c r="F392" s="589">
        <v>5321507.2599999905</v>
      </c>
    </row>
    <row r="393" spans="1:7">
      <c r="A393" s="213" t="s">
        <v>3706</v>
      </c>
      <c r="B393" s="210">
        <f>(IFERROR(VLOOKUP(D393,obrotówka!$A$3:$J$1600,10,0),0))</f>
        <v>0</v>
      </c>
      <c r="C393" s="589">
        <v>0</v>
      </c>
      <c r="D393" s="209" t="s">
        <v>3705</v>
      </c>
      <c r="E393" s="589"/>
      <c r="F393" s="589"/>
    </row>
    <row r="394" spans="1:7">
      <c r="A394" s="213" t="s">
        <v>573</v>
      </c>
      <c r="B394" s="210">
        <f>(IFERROR(VLOOKUP(D394,obrotówka!$A$3:$J$1600,10,0),0))</f>
        <v>0</v>
      </c>
      <c r="C394" s="589">
        <v>-45891.01</v>
      </c>
      <c r="D394" s="209" t="s">
        <v>572</v>
      </c>
      <c r="E394" s="589">
        <v>84769.669999999896</v>
      </c>
      <c r="F394" s="589">
        <v>2884.05</v>
      </c>
    </row>
    <row r="395" spans="1:7">
      <c r="A395" s="213" t="s">
        <v>575</v>
      </c>
      <c r="B395" s="210">
        <f>(IFERROR(VLOOKUP(D395,obrotówka!$A$3:$J$1600,10,0),0))</f>
        <v>-129957.45</v>
      </c>
      <c r="C395" s="589">
        <v>-15131.61</v>
      </c>
      <c r="D395" s="209" t="s">
        <v>574</v>
      </c>
      <c r="E395" s="589">
        <v>71929.369999999893</v>
      </c>
      <c r="F395" s="589">
        <v>-5221.51</v>
      </c>
    </row>
    <row r="396" spans="1:7">
      <c r="A396" s="213" t="s">
        <v>577</v>
      </c>
      <c r="B396" s="210">
        <f>(IFERROR(VLOOKUP(D396,obrotówka!$A$3:$J$1600,10,0),0))</f>
        <v>0</v>
      </c>
      <c r="C396" s="589">
        <v>0</v>
      </c>
      <c r="D396" s="209" t="s">
        <v>576</v>
      </c>
      <c r="E396" s="589">
        <v>0</v>
      </c>
      <c r="F396" s="589">
        <v>1095326.98</v>
      </c>
    </row>
    <row r="397" spans="1:7">
      <c r="A397" s="213" t="s">
        <v>615</v>
      </c>
      <c r="B397" s="210">
        <f>(IFERROR(VLOOKUP(D397,obrotówka!$A$3:$J$1600,10,0),0))</f>
        <v>-43420.019999999902</v>
      </c>
      <c r="C397" s="589">
        <v>2668.3299999999899</v>
      </c>
      <c r="D397" s="209" t="s">
        <v>614</v>
      </c>
      <c r="E397" s="589">
        <v>37191.360000000001</v>
      </c>
      <c r="F397" s="589">
        <v>296521.13</v>
      </c>
    </row>
    <row r="398" spans="1:7" s="223" customFormat="1">
      <c r="A398" s="417" t="s">
        <v>995</v>
      </c>
      <c r="B398" s="134">
        <f>SUM(B399:B412)</f>
        <v>8383314.0399999991</v>
      </c>
      <c r="C398" s="134">
        <v>10515405.839999998</v>
      </c>
      <c r="D398" s="222"/>
      <c r="E398" s="655">
        <v>9321749.7599999886</v>
      </c>
      <c r="F398" s="655">
        <v>8677232.1099999901</v>
      </c>
    </row>
    <row r="399" spans="1:7">
      <c r="A399" s="213" t="s">
        <v>599</v>
      </c>
      <c r="B399" s="210">
        <f>(IFERROR(VLOOKUP(D399,obrotówka!$A$3:$J$1600,10,0),0))</f>
        <v>3314732.24</v>
      </c>
      <c r="C399" s="589">
        <v>3084622.33</v>
      </c>
      <c r="D399" s="209" t="s">
        <v>598</v>
      </c>
      <c r="E399" s="589">
        <v>2381676.6299999901</v>
      </c>
      <c r="F399" s="589">
        <v>2496403.31</v>
      </c>
    </row>
    <row r="400" spans="1:7">
      <c r="A400" s="213" t="s">
        <v>3730</v>
      </c>
      <c r="B400" s="210">
        <f>(IFERROR(VLOOKUP(D400,obrotówka!$A$3:$J$1600,10,0),0))</f>
        <v>-828682.94999999902</v>
      </c>
      <c r="C400" s="589">
        <v>0</v>
      </c>
      <c r="D400" s="209" t="s">
        <v>3731</v>
      </c>
      <c r="E400" s="589">
        <v>0</v>
      </c>
      <c r="F400" s="589"/>
    </row>
    <row r="401" spans="1:6">
      <c r="A401" s="213" t="s">
        <v>603</v>
      </c>
      <c r="B401" s="210">
        <f>(IFERROR(VLOOKUP(D401,obrotówka!$A$3:$J$1600,10,0),0))</f>
        <v>151810.549999999</v>
      </c>
      <c r="C401" s="589">
        <v>303357.71000000002</v>
      </c>
      <c r="D401" s="209" t="s">
        <v>602</v>
      </c>
      <c r="E401" s="589">
        <v>305504.46999999898</v>
      </c>
      <c r="F401" s="589">
        <v>195740.16</v>
      </c>
    </row>
    <row r="402" spans="1:6">
      <c r="A402" s="213" t="s">
        <v>605</v>
      </c>
      <c r="B402" s="210">
        <f>(IFERROR(VLOOKUP(D402,obrotówka!$A$3:$J$1600,10,0),0))</f>
        <v>0</v>
      </c>
      <c r="C402" s="589">
        <v>1904.28</v>
      </c>
      <c r="D402" s="209" t="s">
        <v>604</v>
      </c>
      <c r="E402" s="589">
        <v>1385.72</v>
      </c>
      <c r="F402" s="589">
        <v>878.55999999999904</v>
      </c>
    </row>
    <row r="403" spans="1:6" s="223" customFormat="1">
      <c r="A403" s="213" t="s">
        <v>996</v>
      </c>
      <c r="B403" s="210">
        <f>(IFERROR(VLOOKUP(D403,obrotówka!$A$3:$J$1600,10,0),0))</f>
        <v>4000</v>
      </c>
      <c r="C403" s="589">
        <v>20828.45</v>
      </c>
      <c r="D403" s="209" t="s">
        <v>997</v>
      </c>
      <c r="E403" s="589">
        <v>8637.4099999999908</v>
      </c>
      <c r="F403" s="589">
        <v>5866.18</v>
      </c>
    </row>
    <row r="404" spans="1:6">
      <c r="A404" s="213" t="s">
        <v>607</v>
      </c>
      <c r="B404" s="210">
        <f>(IFERROR(VLOOKUP(D404,obrotówka!$A$3:$J$1600,10,0),0))</f>
        <v>442514</v>
      </c>
      <c r="C404" s="589">
        <v>558666.97999999905</v>
      </c>
      <c r="D404" s="209" t="s">
        <v>606</v>
      </c>
      <c r="E404" s="589">
        <v>531420.59999999905</v>
      </c>
      <c r="F404" s="589">
        <v>434867</v>
      </c>
    </row>
    <row r="405" spans="1:6">
      <c r="A405" s="213" t="s">
        <v>998</v>
      </c>
      <c r="B405" s="210">
        <f>(IFERROR(VLOOKUP(D405,obrotówka!$A$3:$J$1600,10,0),0))</f>
        <v>0</v>
      </c>
      <c r="C405" s="589">
        <v>0</v>
      </c>
      <c r="D405" s="209" t="s">
        <v>999</v>
      </c>
      <c r="E405" s="589">
        <v>573</v>
      </c>
      <c r="F405" s="589">
        <v>0</v>
      </c>
    </row>
    <row r="406" spans="1:6">
      <c r="A406" s="213" t="s">
        <v>609</v>
      </c>
      <c r="B406" s="210">
        <f>(IFERROR(VLOOKUP(D406,obrotówka!$A$3:$J$1600,10,0),0))</f>
        <v>449629.51</v>
      </c>
      <c r="C406" s="589">
        <v>559486.84999999905</v>
      </c>
      <c r="D406" s="209" t="s">
        <v>608</v>
      </c>
      <c r="E406" s="589">
        <v>549180.73999999894</v>
      </c>
      <c r="F406" s="589">
        <v>535868.39</v>
      </c>
    </row>
    <row r="407" spans="1:6">
      <c r="A407" s="213" t="s">
        <v>613</v>
      </c>
      <c r="B407" s="210">
        <f>(IFERROR(VLOOKUP(D407,obrotówka!$A$3:$J$1600,10,0),0))</f>
        <v>2364587</v>
      </c>
      <c r="C407" s="589">
        <v>2907444</v>
      </c>
      <c r="D407" s="209" t="s">
        <v>612</v>
      </c>
      <c r="E407" s="589">
        <v>2771935</v>
      </c>
      <c r="F407" s="589">
        <v>2484804</v>
      </c>
    </row>
    <row r="408" spans="1:6">
      <c r="A408" s="213" t="s">
        <v>617</v>
      </c>
      <c r="B408" s="210">
        <f>(IFERROR(VLOOKUP(D408,obrotówka!$A$3:$J$1600,10,0),0))</f>
        <v>1277153.47</v>
      </c>
      <c r="C408" s="589">
        <v>1774072.07</v>
      </c>
      <c r="D408" s="209" t="s">
        <v>616</v>
      </c>
      <c r="E408" s="589">
        <v>1608695.81</v>
      </c>
      <c r="F408" s="589">
        <v>1379939.6499999899</v>
      </c>
    </row>
    <row r="409" spans="1:6">
      <c r="A409" s="213" t="s">
        <v>617</v>
      </c>
      <c r="B409" s="210">
        <f>(IFERROR(VLOOKUP(D409,obrotówka!$A$3:$J$1600,10,0),0))</f>
        <v>0</v>
      </c>
      <c r="C409" s="589">
        <v>69573.389999999898</v>
      </c>
      <c r="D409" s="209" t="s">
        <v>3552</v>
      </c>
      <c r="E409" s="589">
        <v>-69573.389999999898</v>
      </c>
      <c r="F409" s="589"/>
    </row>
    <row r="410" spans="1:6">
      <c r="A410" s="213" t="s">
        <v>617</v>
      </c>
      <c r="B410" s="210">
        <f>(IFERROR(VLOOKUP(D410,obrotówka!$A$3:$J$1600,10,0),0))</f>
        <v>0</v>
      </c>
      <c r="C410" s="589">
        <v>-71114.3</v>
      </c>
      <c r="D410" s="209" t="s">
        <v>2350</v>
      </c>
      <c r="E410" s="589">
        <v>0</v>
      </c>
      <c r="F410" s="589">
        <v>0</v>
      </c>
    </row>
    <row r="411" spans="1:6">
      <c r="A411" s="213" t="s">
        <v>1000</v>
      </c>
      <c r="B411" s="210">
        <f>(IFERROR(VLOOKUP(D411,obrotówka!$A$3:$J$1600,10,0),0))</f>
        <v>1207570.22</v>
      </c>
      <c r="C411" s="589">
        <v>1306564.08</v>
      </c>
      <c r="D411" s="209" t="s">
        <v>618</v>
      </c>
      <c r="E411" s="589">
        <v>1232313.77</v>
      </c>
      <c r="F411" s="589">
        <v>1142864.8600000001</v>
      </c>
    </row>
    <row r="412" spans="1:6">
      <c r="A412" s="213" t="s">
        <v>1001</v>
      </c>
      <c r="B412" s="210">
        <f>(IFERROR(VLOOKUP(D412,obrotówka!$A$3:$J$1600,10,0),0))</f>
        <v>0</v>
      </c>
      <c r="C412" s="589">
        <v>0</v>
      </c>
      <c r="D412" s="209" t="s">
        <v>1002</v>
      </c>
      <c r="E412" s="589">
        <v>0</v>
      </c>
      <c r="F412" s="589">
        <v>0</v>
      </c>
    </row>
    <row r="413" spans="1:6">
      <c r="A413" s="207" t="s">
        <v>963</v>
      </c>
      <c r="B413" s="208">
        <f>SUM(B414:B451)</f>
        <v>767101.68000000087</v>
      </c>
      <c r="C413" s="208">
        <v>831219.1799999997</v>
      </c>
      <c r="E413" s="658">
        <v>753706.38999999862</v>
      </c>
      <c r="F413" s="208">
        <v>609515.57999999844</v>
      </c>
    </row>
    <row r="414" spans="1:6">
      <c r="A414" s="213" t="s">
        <v>3283</v>
      </c>
      <c r="B414" s="210">
        <f>(IFERROR(VLOOKUP(D414,obrotówka!$A$3:$J$1600,10,0),0))</f>
        <v>0</v>
      </c>
      <c r="C414" s="589">
        <v>0</v>
      </c>
      <c r="D414" s="209" t="s">
        <v>3282</v>
      </c>
      <c r="E414" s="589">
        <v>0</v>
      </c>
      <c r="F414" s="589">
        <v>777.6</v>
      </c>
    </row>
    <row r="415" spans="1:6">
      <c r="A415" s="213" t="s">
        <v>637</v>
      </c>
      <c r="B415" s="210">
        <f>(IFERROR(VLOOKUP(D415,obrotówka!$A$3:$J$1600,10,0),0))</f>
        <v>84186.699999999895</v>
      </c>
      <c r="C415" s="589">
        <v>33842.660000000003</v>
      </c>
      <c r="D415" s="209" t="s">
        <v>636</v>
      </c>
      <c r="E415" s="589">
        <v>36169.419999999896</v>
      </c>
      <c r="F415" s="589">
        <v>26536.4199999999</v>
      </c>
    </row>
    <row r="416" spans="1:6">
      <c r="A416" s="213" t="s">
        <v>639</v>
      </c>
      <c r="B416" s="210">
        <f>(IFERROR(VLOOKUP(D416,obrotówka!$A$3:$J$1600,10,0),0))</f>
        <v>8918.9099999999908</v>
      </c>
      <c r="C416" s="589">
        <v>11683.6</v>
      </c>
      <c r="D416" s="209" t="s">
        <v>638</v>
      </c>
      <c r="E416" s="589">
        <v>5455.77</v>
      </c>
      <c r="F416" s="589">
        <v>2695.0999999999899</v>
      </c>
    </row>
    <row r="417" spans="1:6">
      <c r="A417" s="213" t="s">
        <v>641</v>
      </c>
      <c r="B417" s="210">
        <f>(IFERROR(VLOOKUP(D417,obrotówka!$A$3:$J$1600,10,0),0))</f>
        <v>85133.47</v>
      </c>
      <c r="C417" s="589">
        <v>33416.230000000003</v>
      </c>
      <c r="D417" s="209" t="s">
        <v>640</v>
      </c>
      <c r="E417" s="589">
        <v>36566.059999999903</v>
      </c>
      <c r="F417" s="589">
        <v>37692.739999999903</v>
      </c>
    </row>
    <row r="418" spans="1:6">
      <c r="A418" s="213" t="s">
        <v>643</v>
      </c>
      <c r="B418" s="210">
        <f>(IFERROR(VLOOKUP(D418,obrotówka!$A$3:$J$1600,10,0),0))</f>
        <v>6928</v>
      </c>
      <c r="C418" s="589">
        <v>17626.799999999901</v>
      </c>
      <c r="D418" s="209" t="s">
        <v>642</v>
      </c>
      <c r="E418" s="589">
        <v>22486.240000000002</v>
      </c>
      <c r="F418" s="589">
        <v>14251.54</v>
      </c>
    </row>
    <row r="419" spans="1:6">
      <c r="A419" s="213" t="s">
        <v>645</v>
      </c>
      <c r="B419" s="210">
        <f>(IFERROR(VLOOKUP(D419,obrotówka!$A$3:$J$1600,10,0),0))</f>
        <v>23366.25</v>
      </c>
      <c r="C419" s="589">
        <v>11430</v>
      </c>
      <c r="D419" s="209" t="s">
        <v>644</v>
      </c>
      <c r="E419" s="589">
        <v>13635</v>
      </c>
      <c r="F419" s="589">
        <v>8382.5</v>
      </c>
    </row>
    <row r="420" spans="1:6">
      <c r="A420" s="213" t="s">
        <v>645</v>
      </c>
      <c r="B420" s="210">
        <f>(IFERROR(VLOOKUP(D420,obrotówka!$A$3:$J$1600,10,0),0))</f>
        <v>877.5</v>
      </c>
      <c r="C420" s="589">
        <v>2058.75</v>
      </c>
      <c r="D420" s="209" t="s">
        <v>646</v>
      </c>
      <c r="E420" s="589">
        <v>2610.75</v>
      </c>
      <c r="F420" s="589">
        <v>1427.5</v>
      </c>
    </row>
    <row r="421" spans="1:6">
      <c r="A421" s="213" t="s">
        <v>648</v>
      </c>
      <c r="B421" s="210">
        <f>(IFERROR(VLOOKUP(D421,obrotówka!$A$3:$J$1600,10,0),0))</f>
        <v>0</v>
      </c>
      <c r="C421" s="589">
        <v>0</v>
      </c>
      <c r="D421" s="209" t="s">
        <v>647</v>
      </c>
      <c r="E421" s="589">
        <v>245.349999999999</v>
      </c>
      <c r="F421" s="589">
        <v>1097.28</v>
      </c>
    </row>
    <row r="422" spans="1:6">
      <c r="A422" s="213" t="s">
        <v>650</v>
      </c>
      <c r="B422" s="210">
        <f>(IFERROR(VLOOKUP(D422,obrotówka!$A$3:$J$1600,10,0),0))</f>
        <v>0</v>
      </c>
      <c r="C422" s="589">
        <v>24</v>
      </c>
      <c r="D422" s="209" t="s">
        <v>649</v>
      </c>
      <c r="E422" s="589">
        <v>16</v>
      </c>
      <c r="F422" s="589">
        <v>16</v>
      </c>
    </row>
    <row r="423" spans="1:6">
      <c r="A423" s="213" t="s">
        <v>3554</v>
      </c>
      <c r="B423" s="210">
        <f>(IFERROR(VLOOKUP(D423,obrotówka!$A$3:$J$1600,10,0),0))</f>
        <v>0</v>
      </c>
      <c r="C423" s="589">
        <v>0</v>
      </c>
      <c r="D423" s="209" t="s">
        <v>3553</v>
      </c>
      <c r="E423" s="589">
        <v>44.799999999999898</v>
      </c>
      <c r="F423" s="589"/>
    </row>
    <row r="424" spans="1:6">
      <c r="A424" s="213" t="s">
        <v>3108</v>
      </c>
      <c r="B424" s="210">
        <f>(IFERROR(VLOOKUP(D424,obrotówka!$A$3:$J$1600,10,0),0))</f>
        <v>0</v>
      </c>
      <c r="C424" s="589">
        <v>0</v>
      </c>
      <c r="D424" s="209" t="s">
        <v>3107</v>
      </c>
      <c r="E424" s="589">
        <v>1966.66</v>
      </c>
      <c r="F424" s="589">
        <v>1562.8599999999899</v>
      </c>
    </row>
    <row r="425" spans="1:6">
      <c r="A425" s="213" t="s">
        <v>3110</v>
      </c>
      <c r="B425" s="210">
        <f>(IFERROR(VLOOKUP(D425,obrotówka!$A$3:$J$1600,10,0),0))</f>
        <v>0</v>
      </c>
      <c r="C425" s="589">
        <v>0</v>
      </c>
      <c r="D425" s="209" t="s">
        <v>3109</v>
      </c>
      <c r="E425" s="589">
        <v>1543.71</v>
      </c>
      <c r="F425" s="589">
        <v>2704.4499999999898</v>
      </c>
    </row>
    <row r="426" spans="1:6">
      <c r="A426" s="213" t="s">
        <v>3173</v>
      </c>
      <c r="B426" s="210">
        <f>(IFERROR(VLOOKUP(D426,obrotówka!$A$3:$J$1600,10,0),0))</f>
        <v>0</v>
      </c>
      <c r="C426" s="589">
        <v>0</v>
      </c>
      <c r="D426" s="209" t="s">
        <v>3172</v>
      </c>
      <c r="E426" s="589">
        <v>0</v>
      </c>
      <c r="F426" s="589">
        <v>1888.92</v>
      </c>
    </row>
    <row r="427" spans="1:6">
      <c r="A427" s="213" t="s">
        <v>652</v>
      </c>
      <c r="B427" s="210">
        <f>(IFERROR(VLOOKUP(D427,obrotówka!$A$3:$J$1600,10,0),0))</f>
        <v>28424.32</v>
      </c>
      <c r="C427" s="589">
        <v>37519.550000000003</v>
      </c>
      <c r="D427" s="209" t="s">
        <v>651</v>
      </c>
      <c r="E427" s="589">
        <v>33263.33</v>
      </c>
      <c r="F427" s="589">
        <v>28985.299999999901</v>
      </c>
    </row>
    <row r="428" spans="1:6">
      <c r="A428" s="213" t="s">
        <v>654</v>
      </c>
      <c r="B428" s="210">
        <f>(IFERROR(VLOOKUP(D428,obrotówka!$A$3:$J$1600,10,0),0))</f>
        <v>31612.77</v>
      </c>
      <c r="C428" s="589">
        <v>40579.43</v>
      </c>
      <c r="D428" s="209" t="s">
        <v>653</v>
      </c>
      <c r="E428" s="589">
        <v>29145.5</v>
      </c>
      <c r="F428" s="589">
        <v>25569.45</v>
      </c>
    </row>
    <row r="429" spans="1:6">
      <c r="A429" s="213" t="s">
        <v>654</v>
      </c>
      <c r="B429" s="210">
        <f>(IFERROR(VLOOKUP(D429,obrotówka!$A$3:$J$1600,10,0),0))</f>
        <v>-289.87</v>
      </c>
      <c r="C429" s="589"/>
      <c r="D429" s="209" t="s">
        <v>3896</v>
      </c>
      <c r="E429" s="589"/>
      <c r="F429" s="589"/>
    </row>
    <row r="430" spans="1:6">
      <c r="A430" s="213" t="s">
        <v>656</v>
      </c>
      <c r="B430" s="210">
        <f>(IFERROR(VLOOKUP(D430,obrotówka!$A$3:$J$1600,10,0),0))</f>
        <v>91459.61</v>
      </c>
      <c r="C430" s="589">
        <v>120702.92</v>
      </c>
      <c r="D430" s="209" t="s">
        <v>655</v>
      </c>
      <c r="E430" s="589">
        <v>99405.289999999906</v>
      </c>
      <c r="F430" s="589">
        <v>82129.960000000006</v>
      </c>
    </row>
    <row r="431" spans="1:6">
      <c r="A431" s="213" t="s">
        <v>658</v>
      </c>
      <c r="B431" s="210">
        <f>(IFERROR(VLOOKUP(D431,obrotówka!$A$3:$J$1600,10,0),0))</f>
        <v>1933.43</v>
      </c>
      <c r="C431" s="589">
        <v>2756.96</v>
      </c>
      <c r="D431" s="209" t="s">
        <v>657</v>
      </c>
      <c r="E431" s="589">
        <v>4169.1599999999899</v>
      </c>
      <c r="F431" s="589">
        <v>3315.52</v>
      </c>
    </row>
    <row r="432" spans="1:6">
      <c r="A432" s="213" t="s">
        <v>660</v>
      </c>
      <c r="B432" s="210">
        <f>(IFERROR(VLOOKUP(D432,obrotówka!$A$3:$J$1600,10,0),0))</f>
        <v>16800.740000000002</v>
      </c>
      <c r="C432" s="589">
        <v>16793.45</v>
      </c>
      <c r="D432" s="209" t="s">
        <v>659</v>
      </c>
      <c r="E432" s="589">
        <v>10930.5</v>
      </c>
      <c r="F432" s="589">
        <v>11046</v>
      </c>
    </row>
    <row r="433" spans="1:6">
      <c r="A433" s="213" t="s">
        <v>3898</v>
      </c>
      <c r="B433" s="210">
        <f>(IFERROR(VLOOKUP(D433,obrotówka!$A$3:$J$1600,10,0),0))</f>
        <v>19.399999999999899</v>
      </c>
      <c r="C433" s="589"/>
      <c r="D433" s="209" t="s">
        <v>3897</v>
      </c>
      <c r="E433" s="589"/>
      <c r="F433" s="589"/>
    </row>
    <row r="434" spans="1:6">
      <c r="A434" s="213" t="s">
        <v>662</v>
      </c>
      <c r="B434" s="210">
        <f>(IFERROR(VLOOKUP(D434,obrotówka!$A$3:$J$1600,10,0),0))</f>
        <v>0</v>
      </c>
      <c r="C434" s="589">
        <v>1298.0999999999899</v>
      </c>
      <c r="D434" s="209" t="s">
        <v>661</v>
      </c>
      <c r="E434" s="589">
        <v>3738.0999999999899</v>
      </c>
      <c r="F434" s="589">
        <v>1799.3199999999899</v>
      </c>
    </row>
    <row r="435" spans="1:6">
      <c r="A435" s="213" t="s">
        <v>664</v>
      </c>
      <c r="B435" s="210">
        <f>(IFERROR(VLOOKUP(D435,obrotówka!$A$3:$J$1600,10,0),0))</f>
        <v>0</v>
      </c>
      <c r="C435" s="589">
        <v>0</v>
      </c>
      <c r="D435" s="209" t="s">
        <v>663</v>
      </c>
      <c r="E435" s="589">
        <v>0</v>
      </c>
      <c r="F435" s="589">
        <v>35.259999999999899</v>
      </c>
    </row>
    <row r="436" spans="1:6">
      <c r="A436" s="213" t="s">
        <v>666</v>
      </c>
      <c r="B436" s="210">
        <f>(IFERROR(VLOOKUP(D436,obrotówka!$A$3:$J$1600,10,0),0))</f>
        <v>1808</v>
      </c>
      <c r="C436" s="589">
        <v>12686</v>
      </c>
      <c r="D436" s="209" t="s">
        <v>665</v>
      </c>
      <c r="E436" s="589">
        <v>6509</v>
      </c>
      <c r="F436" s="589">
        <v>4212</v>
      </c>
    </row>
    <row r="437" spans="1:6">
      <c r="A437" s="213" t="s">
        <v>668</v>
      </c>
      <c r="B437" s="210">
        <f>(IFERROR(VLOOKUP(D437,obrotówka!$A$3:$J$1600,10,0),0))</f>
        <v>0</v>
      </c>
      <c r="C437" s="589">
        <v>0</v>
      </c>
      <c r="D437" s="209" t="s">
        <v>1794</v>
      </c>
      <c r="E437" s="589">
        <v>0</v>
      </c>
      <c r="F437" s="589">
        <v>0</v>
      </c>
    </row>
    <row r="438" spans="1:6">
      <c r="A438" s="213" t="s">
        <v>668</v>
      </c>
      <c r="B438" s="210">
        <f>(IFERROR(VLOOKUP(D438,obrotówka!$A$3:$J$1600,10,0),0))</f>
        <v>696.64999999999895</v>
      </c>
      <c r="C438" s="589">
        <v>12194.25</v>
      </c>
      <c r="D438" s="209" t="s">
        <v>667</v>
      </c>
      <c r="E438" s="589">
        <v>9730.44</v>
      </c>
      <c r="F438" s="589">
        <v>19387.639999999901</v>
      </c>
    </row>
    <row r="439" spans="1:6">
      <c r="A439" s="213" t="s">
        <v>670</v>
      </c>
      <c r="B439" s="210">
        <f>(IFERROR(VLOOKUP(D439,obrotówka!$A$3:$J$1600,10,0),0))</f>
        <v>3343.5599999999899</v>
      </c>
      <c r="C439" s="589">
        <v>24314.4199999999</v>
      </c>
      <c r="D439" s="209" t="s">
        <v>669</v>
      </c>
      <c r="E439" s="589">
        <v>16062.129999999899</v>
      </c>
      <c r="F439" s="589">
        <v>14894.309999999899</v>
      </c>
    </row>
    <row r="440" spans="1:6">
      <c r="A440" s="213" t="s">
        <v>672</v>
      </c>
      <c r="B440" s="134">
        <f>(IFERROR(VLOOKUP(D440,obrotówka!$A$3:$J$1600,10,0),0))</f>
        <v>534697.64</v>
      </c>
      <c r="C440" s="655">
        <v>528717</v>
      </c>
      <c r="D440" s="209" t="s">
        <v>671</v>
      </c>
      <c r="E440" s="655">
        <v>864829.10999999905</v>
      </c>
      <c r="F440" s="589">
        <v>375250.429999999</v>
      </c>
    </row>
    <row r="441" spans="1:6">
      <c r="A441" s="213" t="s">
        <v>3728</v>
      </c>
      <c r="B441" s="134">
        <f>(IFERROR(VLOOKUP(D441,obrotówka!$A$3:$J$1600,10,0),0))</f>
        <v>2000</v>
      </c>
      <c r="C441" s="655">
        <v>40500</v>
      </c>
      <c r="D441" s="209" t="s">
        <v>3735</v>
      </c>
      <c r="E441" s="655"/>
      <c r="F441" s="589"/>
    </row>
    <row r="442" spans="1:6">
      <c r="A442" s="213" t="s">
        <v>674</v>
      </c>
      <c r="B442" s="134">
        <f>(IFERROR(VLOOKUP(D442,obrotówka!$A$3:$J$1600,10,0),0))</f>
        <v>-155356.929999999</v>
      </c>
      <c r="C442" s="655">
        <v>-85714.91</v>
      </c>
      <c r="D442" s="209" t="s">
        <v>673</v>
      </c>
      <c r="E442" s="655">
        <v>48504.82</v>
      </c>
      <c r="F442" s="589">
        <v>192567.019999999</v>
      </c>
    </row>
    <row r="443" spans="1:6">
      <c r="A443" s="213" t="s">
        <v>3112</v>
      </c>
      <c r="B443" s="134">
        <f>(IFERROR(VLOOKUP(D443,obrotówka!$A$3:$J$1600,10,0),0))</f>
        <v>0</v>
      </c>
      <c r="C443" s="655">
        <v>60005</v>
      </c>
      <c r="D443" s="209" t="s">
        <v>3111</v>
      </c>
      <c r="E443" s="655">
        <v>0</v>
      </c>
      <c r="F443" s="589">
        <v>45382.5</v>
      </c>
    </row>
    <row r="444" spans="1:6">
      <c r="A444" s="213" t="s">
        <v>3112</v>
      </c>
      <c r="B444" s="210">
        <f>(IFERROR(VLOOKUP(D444,obrotówka!$A$3:$J$1600,10,0),0))</f>
        <v>0</v>
      </c>
      <c r="C444" s="589">
        <v>0</v>
      </c>
      <c r="D444" s="209" t="s">
        <v>3707</v>
      </c>
      <c r="E444" s="589"/>
      <c r="F444" s="589"/>
    </row>
    <row r="445" spans="1:6">
      <c r="A445" s="213" t="s">
        <v>2839</v>
      </c>
      <c r="B445" s="210">
        <f>(IFERROR(VLOOKUP(D445,obrotówka!$A$3:$J$1600,10,0),0))</f>
        <v>0</v>
      </c>
      <c r="C445" s="589">
        <v>0</v>
      </c>
      <c r="D445" s="209" t="s">
        <v>2839</v>
      </c>
      <c r="E445" s="589">
        <v>0</v>
      </c>
      <c r="F445" s="589">
        <v>0</v>
      </c>
    </row>
    <row r="446" spans="1:6">
      <c r="A446" s="213" t="s">
        <v>676</v>
      </c>
      <c r="B446" s="210">
        <f>(IFERROR(VLOOKUP(D446,obrotówka!$A$3:$J$1600,10,0),0))</f>
        <v>27521.619999999901</v>
      </c>
      <c r="C446" s="589">
        <v>58571.669999999896</v>
      </c>
      <c r="D446" s="209" t="s">
        <v>675</v>
      </c>
      <c r="E446" s="589">
        <v>52654.65</v>
      </c>
      <c r="F446" s="589">
        <v>36110.5</v>
      </c>
    </row>
    <row r="447" spans="1:6">
      <c r="A447" s="213" t="s">
        <v>678</v>
      </c>
      <c r="B447" s="210">
        <f>(IFERROR(VLOOKUP(D447,obrotówka!$A$3:$J$1600,10,0),0))</f>
        <v>-26980.09</v>
      </c>
      <c r="C447" s="589">
        <v>-149786.70000000001</v>
      </c>
      <c r="D447" s="209" t="s">
        <v>677</v>
      </c>
      <c r="E447" s="589">
        <v>-545975.4</v>
      </c>
      <c r="F447" s="589">
        <v>-330382.53999999899</v>
      </c>
    </row>
    <row r="448" spans="1:6">
      <c r="A448" s="213" t="s">
        <v>678</v>
      </c>
      <c r="B448" s="210">
        <f>(IFERROR(VLOOKUP(D448,obrotówka!$A$3:$J$1600,10,0),0))</f>
        <v>0</v>
      </c>
      <c r="C448" s="589">
        <v>0</v>
      </c>
      <c r="D448" s="209" t="s">
        <v>3327</v>
      </c>
      <c r="E448" s="589">
        <v>0</v>
      </c>
      <c r="F448" s="589"/>
    </row>
    <row r="449" spans="1:6">
      <c r="A449" s="213" t="s">
        <v>678</v>
      </c>
      <c r="B449" s="210">
        <f>(IFERROR(VLOOKUP(D449,obrotówka!$A$3:$J$1600,10,0),0))</f>
        <v>0</v>
      </c>
      <c r="C449" s="589">
        <v>0</v>
      </c>
      <c r="D449" s="209" t="s">
        <v>3158</v>
      </c>
      <c r="E449" s="589">
        <v>0</v>
      </c>
      <c r="F449" s="589">
        <v>180</v>
      </c>
    </row>
    <row r="450" spans="1:6">
      <c r="A450" s="213"/>
      <c r="B450" s="210"/>
      <c r="C450" s="589"/>
      <c r="D450" s="209"/>
      <c r="E450" s="589"/>
      <c r="F450" s="589"/>
    </row>
    <row r="451" spans="1:6">
      <c r="A451" s="213"/>
      <c r="B451" s="210">
        <f>(IFERROR(VLOOKUP(D451,obrotówka!$A$3:$J$1600,10,0),0))</f>
        <v>0</v>
      </c>
      <c r="C451" s="589">
        <v>0</v>
      </c>
      <c r="D451" s="216"/>
      <c r="E451" s="589">
        <v>0</v>
      </c>
      <c r="F451" s="589">
        <v>0</v>
      </c>
    </row>
    <row r="452" spans="1:6">
      <c r="A452" s="211" t="s">
        <v>964</v>
      </c>
      <c r="B452" s="212">
        <f>B215+B224+B263+B330+B344+B413</f>
        <v>121820580.28999981</v>
      </c>
      <c r="C452" s="659">
        <v>159543292.63999972</v>
      </c>
      <c r="E452" s="659">
        <v>191035127.15999967</v>
      </c>
      <c r="F452" s="659">
        <v>136735342.84999993</v>
      </c>
    </row>
    <row r="453" spans="1:6">
      <c r="A453" s="224" t="s">
        <v>923</v>
      </c>
      <c r="B453" s="205" t="s">
        <v>923</v>
      </c>
      <c r="C453" s="656" t="s">
        <v>923</v>
      </c>
      <c r="E453" s="656" t="s">
        <v>923</v>
      </c>
      <c r="F453" s="656" t="s">
        <v>923</v>
      </c>
    </row>
    <row r="454" spans="1:6">
      <c r="A454" s="207" t="s">
        <v>965</v>
      </c>
      <c r="B454" s="208">
        <f>SUM(B455:B461)</f>
        <v>-6076288.9199999925</v>
      </c>
      <c r="C454" s="658">
        <v>298462.86999901384</v>
      </c>
      <c r="E454" s="658">
        <v>-259882.03999910876</v>
      </c>
      <c r="F454" s="658">
        <v>-8132.9600000232458</v>
      </c>
    </row>
    <row r="455" spans="1:6">
      <c r="A455" s="213" t="s">
        <v>680</v>
      </c>
      <c r="B455" s="210">
        <f>(IFERROR(VLOOKUP(D455,obrotówka!$A$3:$J$1600,10,0),0))</f>
        <v>-113629136.12</v>
      </c>
      <c r="C455" s="589">
        <v>-161341855.13</v>
      </c>
      <c r="D455" s="209" t="s">
        <v>679</v>
      </c>
      <c r="E455" s="589">
        <v>-190471212.00999901</v>
      </c>
      <c r="F455" s="589">
        <v>-135783687.05000001</v>
      </c>
    </row>
    <row r="456" spans="1:6">
      <c r="A456" s="213" t="s">
        <v>1003</v>
      </c>
      <c r="B456" s="210">
        <f>(IFERROR(VLOOKUP(D456,obrotówka!$A$3:$J$1600,10,0),0))</f>
        <v>-6076288.9199999897</v>
      </c>
      <c r="C456" s="589">
        <v>298462.87</v>
      </c>
      <c r="D456" s="209" t="s">
        <v>681</v>
      </c>
      <c r="E456" s="589">
        <v>-259882.04</v>
      </c>
      <c r="F456" s="589">
        <v>-8132.96</v>
      </c>
    </row>
    <row r="457" spans="1:6">
      <c r="A457" s="213" t="s">
        <v>1004</v>
      </c>
      <c r="B457" s="210">
        <f>(IFERROR(VLOOKUP(D457,obrotówka!$A$3:$J$1600,10,0),0))</f>
        <v>-2066442.1599999899</v>
      </c>
      <c r="C457" s="589">
        <v>1525220.29</v>
      </c>
      <c r="D457" s="209" t="s">
        <v>684</v>
      </c>
      <c r="E457" s="589">
        <v>-289532.44</v>
      </c>
      <c r="F457" s="589">
        <v>-919809.93999999901</v>
      </c>
    </row>
    <row r="458" spans="1:6">
      <c r="A458" s="213" t="s">
        <v>1005</v>
      </c>
      <c r="B458" s="210">
        <f>(IFERROR(VLOOKUP(D458,obrotówka!$A$3:$J$1600,10,0),0))</f>
        <v>1340513.8999999899</v>
      </c>
      <c r="C458" s="589">
        <v>-1453746.57</v>
      </c>
      <c r="D458" s="209" t="s">
        <v>747</v>
      </c>
      <c r="E458" s="589">
        <v>130244.17</v>
      </c>
      <c r="F458" s="589">
        <v>1003590.29</v>
      </c>
    </row>
    <row r="459" spans="1:6">
      <c r="A459" s="213" t="s">
        <v>1006</v>
      </c>
      <c r="B459" s="210">
        <f>(IFERROR(VLOOKUP(D459,obrotówka!$A$3:$J$1600,10,0),0))</f>
        <v>101517654.98</v>
      </c>
      <c r="C459" s="589">
        <v>145009247.949999</v>
      </c>
      <c r="D459" s="209" t="s">
        <v>749</v>
      </c>
      <c r="E459" s="589">
        <v>173400674.56</v>
      </c>
      <c r="F459" s="589">
        <v>120585743.56</v>
      </c>
    </row>
    <row r="460" spans="1:6">
      <c r="A460" s="213"/>
      <c r="B460" s="210"/>
      <c r="C460" s="589"/>
      <c r="D460" s="209" t="s">
        <v>751</v>
      </c>
      <c r="E460" s="589"/>
      <c r="F460" s="589"/>
    </row>
    <row r="461" spans="1:6">
      <c r="A461" s="213" t="s">
        <v>1007</v>
      </c>
      <c r="B461" s="210">
        <f>(IFERROR(VLOOKUP(D461,obrotówka!$A$3:$J$1600,10,0),0))</f>
        <v>12837409.4</v>
      </c>
      <c r="C461" s="589">
        <v>16261133.460000001</v>
      </c>
      <c r="D461" s="209" t="s">
        <v>753</v>
      </c>
      <c r="E461" s="589">
        <v>17229825.719999898</v>
      </c>
      <c r="F461" s="589">
        <v>15114163.140000001</v>
      </c>
    </row>
    <row r="462" spans="1:6">
      <c r="A462" s="207" t="s">
        <v>966</v>
      </c>
      <c r="B462" s="208">
        <v>0</v>
      </c>
      <c r="C462" s="658">
        <v>0</v>
      </c>
      <c r="E462" s="658">
        <v>0</v>
      </c>
      <c r="F462" s="658">
        <v>0</v>
      </c>
    </row>
    <row r="463" spans="1:6" ht="20.399999999999999">
      <c r="A463" s="207" t="s">
        <v>967</v>
      </c>
      <c r="B463" s="208">
        <f>SUM(B464:B465)</f>
        <v>-48713.089999999902</v>
      </c>
      <c r="C463" s="658">
        <v>-25120.67</v>
      </c>
      <c r="E463" s="658">
        <v>-14500.66999999998</v>
      </c>
      <c r="F463" s="658">
        <v>-23712.899999999991</v>
      </c>
    </row>
    <row r="464" spans="1:6">
      <c r="A464" s="213" t="s">
        <v>3721</v>
      </c>
      <c r="B464" s="210">
        <f>(IFERROR(VLOOKUP(D464,obrotówka!$A$3:$J$1600,10,0),0))</f>
        <v>0</v>
      </c>
      <c r="C464" s="589">
        <v>-303.42</v>
      </c>
      <c r="D464" s="209" t="s">
        <v>683</v>
      </c>
      <c r="E464" s="589">
        <v>-9244.8099999999904</v>
      </c>
      <c r="F464" s="589">
        <v>-5151.7399999999898</v>
      </c>
    </row>
    <row r="465" spans="1:6">
      <c r="A465" s="213" t="s">
        <v>3614</v>
      </c>
      <c r="B465" s="210">
        <f>(IFERROR(VLOOKUP(D465,obrotówka!$A$3:$J$1600,10,0),0))</f>
        <v>-48713.089999999902</v>
      </c>
      <c r="C465" s="589">
        <v>-24817.25</v>
      </c>
      <c r="D465" s="209" t="s">
        <v>3284</v>
      </c>
      <c r="E465" s="589">
        <v>-5255.8599999999897</v>
      </c>
      <c r="F465" s="589">
        <v>-18561.16</v>
      </c>
    </row>
    <row r="466" spans="1:6">
      <c r="A466" s="207" t="s">
        <v>968</v>
      </c>
      <c r="B466" s="208">
        <v>0</v>
      </c>
      <c r="C466" s="658">
        <v>0</v>
      </c>
      <c r="E466" s="658">
        <v>0</v>
      </c>
      <c r="F466" s="658">
        <v>0</v>
      </c>
    </row>
    <row r="467" spans="1:6">
      <c r="A467" s="207" t="s">
        <v>969</v>
      </c>
      <c r="B467" s="208">
        <v>0</v>
      </c>
      <c r="C467" s="658">
        <v>0</v>
      </c>
      <c r="E467" s="658">
        <v>0</v>
      </c>
      <c r="F467" s="658">
        <v>0</v>
      </c>
    </row>
    <row r="468" spans="1:6">
      <c r="A468" s="207" t="s">
        <v>970</v>
      </c>
      <c r="B468" s="208">
        <f>-B65</f>
        <v>-12837409.4</v>
      </c>
      <c r="C468" s="658">
        <v>-16261133.460000001</v>
      </c>
      <c r="E468" s="658">
        <v>-17229825.719999898</v>
      </c>
      <c r="F468" s="658">
        <v>-15114163.140000001</v>
      </c>
    </row>
    <row r="469" spans="1:6">
      <c r="A469" s="207" t="s">
        <v>971</v>
      </c>
      <c r="B469" s="208">
        <f>B25</f>
        <v>16649.43</v>
      </c>
      <c r="C469" s="658">
        <v>50979.129999999903</v>
      </c>
      <c r="E469" s="658">
        <v>82866.61</v>
      </c>
      <c r="F469" s="658">
        <v>25335.09</v>
      </c>
    </row>
    <row r="470" spans="1:6">
      <c r="A470" s="211" t="s">
        <v>972</v>
      </c>
      <c r="B470" s="212">
        <f>B452+B454+B462+B463+B466+B467+B468+B469</f>
        <v>102874818.30999982</v>
      </c>
      <c r="C470" s="659">
        <v>143606480.50999874</v>
      </c>
      <c r="D470" s="210">
        <f>B22</f>
        <v>102874818.31</v>
      </c>
      <c r="E470" s="659">
        <v>173613785.34000069</v>
      </c>
      <c r="F470" s="659">
        <v>121614668.93999992</v>
      </c>
    </row>
    <row r="471" spans="1:6">
      <c r="A471" s="224" t="s">
        <v>923</v>
      </c>
      <c r="B471" s="205">
        <f>B470-D470</f>
        <v>-1.7881393432617188E-7</v>
      </c>
      <c r="C471" s="656">
        <v>-2.6822090148925781E-7</v>
      </c>
      <c r="E471" s="656">
        <v>6.8545341491699219E-7</v>
      </c>
      <c r="F471" s="656">
        <v>0</v>
      </c>
    </row>
    <row r="473" spans="1:6">
      <c r="A473" s="225"/>
      <c r="B473" s="469">
        <f>B4</f>
        <v>45930</v>
      </c>
      <c r="C473" s="667">
        <v>45657</v>
      </c>
      <c r="E473" s="667">
        <v>45291</v>
      </c>
      <c r="F473" s="667">
        <v>44926</v>
      </c>
    </row>
    <row r="474" spans="1:6">
      <c r="A474" s="225" t="s">
        <v>973</v>
      </c>
      <c r="B474" s="226">
        <f>B20+B30+B105</f>
        <v>126759240.15000001</v>
      </c>
      <c r="C474" s="668">
        <v>167657448.51999998</v>
      </c>
      <c r="E474" s="668">
        <v>202190236.41000003</v>
      </c>
      <c r="F474" s="668">
        <v>138442749.12</v>
      </c>
    </row>
    <row r="475" spans="1:6">
      <c r="A475" s="225" t="s">
        <v>974</v>
      </c>
      <c r="B475" s="226">
        <f>B22+B65+B66+B135</f>
        <v>116931546.35000001</v>
      </c>
      <c r="C475" s="668">
        <v>162447972.06999901</v>
      </c>
      <c r="E475" s="668">
        <v>200105893.36999989</v>
      </c>
      <c r="F475" s="668">
        <v>142762368.21000001</v>
      </c>
    </row>
    <row r="476" spans="1:6">
      <c r="A476" s="225" t="s">
        <v>975</v>
      </c>
      <c r="B476" s="226">
        <f>B474-B475</f>
        <v>9827693.799999997</v>
      </c>
      <c r="C476" s="668">
        <v>5209476.4500009716</v>
      </c>
      <c r="E476" s="668">
        <v>2084343.0400001407</v>
      </c>
      <c r="F476" s="668">
        <v>-4319619.0900000036</v>
      </c>
    </row>
    <row r="477" spans="1:6">
      <c r="A477" s="225" t="s">
        <v>976</v>
      </c>
      <c r="B477" s="226">
        <f>B190</f>
        <v>7919232.7899999972</v>
      </c>
      <c r="C477" s="668">
        <v>239142.0600009663</v>
      </c>
      <c r="E477" s="668">
        <v>685561.05000012834</v>
      </c>
      <c r="F477" s="668">
        <v>-3721881.2400000333</v>
      </c>
    </row>
    <row r="478" spans="1:6">
      <c r="A478" s="225" t="s">
        <v>977</v>
      </c>
      <c r="B478" s="226">
        <f>B103</f>
        <v>10547955.579999996</v>
      </c>
      <c r="C478" s="668">
        <v>6596141.3600009652</v>
      </c>
      <c r="E478" s="668">
        <v>4314079.0300001269</v>
      </c>
      <c r="F478" s="668">
        <v>-2100673.790000034</v>
      </c>
    </row>
    <row r="479" spans="1:6">
      <c r="A479" s="225" t="s">
        <v>978</v>
      </c>
      <c r="B479" s="226">
        <f>B209</f>
        <v>12745276.699999996</v>
      </c>
      <c r="C479" s="668">
        <v>10079747.550000966</v>
      </c>
      <c r="E479" s="668">
        <v>7218081.7300001169</v>
      </c>
      <c r="F479" s="668">
        <v>1110654.8599999552</v>
      </c>
    </row>
  </sheetData>
  <autoFilter ref="D1:D479"/>
  <mergeCells count="4">
    <mergeCell ref="H170:J170"/>
    <mergeCell ref="H157:J157"/>
    <mergeCell ref="H181:N190"/>
    <mergeCell ref="I177:N177"/>
  </mergeCells>
  <conditionalFormatting sqref="D450">
    <cfRule type="expression" dxfId="3" priority="13">
      <formula>COUNTIF($D$5:$D$959,D450)&gt;0</formula>
    </cfRule>
  </conditionalFormatting>
  <pageMargins left="0.70866141732283472" right="0" top="0.35433070866141736" bottom="0.74803149606299213" header="0.31496062992125984" footer="0.31496062992125984"/>
  <pageSetup paperSize="9" fitToHeight="0" orientation="portrait" r:id="rId1"/>
  <rowBreaks count="1" manualBreakCount="1">
    <brk id="209" max="2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2:L269"/>
  <sheetViews>
    <sheetView topLeftCell="A127" zoomScaleNormal="100" workbookViewId="0">
      <selection activeCell="B148" sqref="B148"/>
    </sheetView>
  </sheetViews>
  <sheetFormatPr defaultRowHeight="14.4"/>
  <cols>
    <col min="1" max="1" width="50.21875" customWidth="1"/>
    <col min="2" max="2" width="18.77734375" customWidth="1"/>
    <col min="3" max="3" width="17.21875" customWidth="1"/>
    <col min="4" max="4" width="13.109375" customWidth="1"/>
    <col min="5" max="5" width="14.33203125" customWidth="1"/>
    <col min="6" max="6" width="13.6640625" customWidth="1"/>
    <col min="7" max="11" width="14.109375" customWidth="1"/>
  </cols>
  <sheetData>
    <row r="2" spans="1:5" ht="15" thickBot="1">
      <c r="A2" s="1771" t="s">
        <v>2536</v>
      </c>
      <c r="B2" s="1771"/>
      <c r="C2" s="1771"/>
    </row>
    <row r="3" spans="1:5">
      <c r="A3" s="1803"/>
      <c r="B3" s="1238" t="s">
        <v>1449</v>
      </c>
      <c r="C3" s="1239" t="s">
        <v>1449</v>
      </c>
    </row>
    <row r="4" spans="1:5" ht="15" thickBot="1">
      <c r="A4" s="1804"/>
      <c r="B4" s="1240" t="s">
        <v>3859</v>
      </c>
      <c r="C4" s="1241" t="s">
        <v>3649</v>
      </c>
    </row>
    <row r="5" spans="1:5" ht="28.8">
      <c r="A5" s="641" t="s">
        <v>2537</v>
      </c>
      <c r="B5" s="1170"/>
      <c r="C5" s="1168" t="s">
        <v>3800</v>
      </c>
      <c r="D5" s="1730" t="s">
        <v>2865</v>
      </c>
      <c r="E5" s="1730"/>
    </row>
    <row r="6" spans="1:5">
      <c r="A6" s="641" t="s">
        <v>2538</v>
      </c>
      <c r="B6" s="1171"/>
      <c r="C6" s="1168">
        <v>5.8000000000000003E-2</v>
      </c>
      <c r="D6" s="1730"/>
      <c r="E6" s="1730"/>
    </row>
    <row r="7" spans="1:5" ht="19.2">
      <c r="A7" s="641" t="s">
        <v>2539</v>
      </c>
      <c r="B7" s="1170"/>
      <c r="C7" s="1168" t="s">
        <v>3801</v>
      </c>
      <c r="D7" s="1730"/>
      <c r="E7" s="1730"/>
    </row>
    <row r="8" spans="1:5">
      <c r="A8" s="1805" t="s">
        <v>2540</v>
      </c>
      <c r="B8" s="1172"/>
      <c r="C8" s="1169" t="s">
        <v>3802</v>
      </c>
      <c r="D8" s="1730"/>
      <c r="E8" s="1730"/>
    </row>
    <row r="9" spans="1:5">
      <c r="A9" s="1805"/>
      <c r="B9" s="1172"/>
      <c r="C9" s="1169" t="s">
        <v>3803</v>
      </c>
      <c r="D9" s="1730"/>
      <c r="E9" s="1730"/>
    </row>
    <row r="10" spans="1:5">
      <c r="A10" s="1805"/>
      <c r="B10" s="1172"/>
      <c r="C10" s="1169" t="s">
        <v>3804</v>
      </c>
      <c r="D10" s="1730"/>
      <c r="E10" s="1730"/>
    </row>
    <row r="11" spans="1:5">
      <c r="A11" s="1806" t="s">
        <v>2541</v>
      </c>
      <c r="B11" s="1242"/>
      <c r="C11" s="1243" t="s">
        <v>3805</v>
      </c>
      <c r="D11" s="1730"/>
      <c r="E11" s="1730"/>
    </row>
    <row r="12" spans="1:5">
      <c r="A12" s="1806"/>
      <c r="B12" s="1242"/>
      <c r="C12" s="1243" t="s">
        <v>3806</v>
      </c>
      <c r="D12" s="1730"/>
      <c r="E12" s="1730"/>
    </row>
    <row r="13" spans="1:5" ht="15" thickBot="1">
      <c r="A13" s="1807"/>
      <c r="B13" s="1244"/>
      <c r="C13" s="1245" t="s">
        <v>3807</v>
      </c>
      <c r="D13" s="1753"/>
      <c r="E13" s="1753"/>
    </row>
    <row r="14" spans="1:5" ht="15" thickTop="1"/>
    <row r="16" spans="1:5" s="1177" customFormat="1" ht="16.2" thickBot="1">
      <c r="A16" s="1230" t="s">
        <v>3810</v>
      </c>
    </row>
    <row r="17" spans="1:11">
      <c r="A17" s="1793"/>
      <c r="B17" s="1799" t="s">
        <v>2542</v>
      </c>
      <c r="C17" s="1799" t="s">
        <v>2543</v>
      </c>
      <c r="D17" s="1799" t="s">
        <v>2544</v>
      </c>
      <c r="E17" s="1799" t="s">
        <v>2545</v>
      </c>
      <c r="F17" s="1238" t="s">
        <v>2009</v>
      </c>
    </row>
    <row r="18" spans="1:11" ht="15" thickBot="1">
      <c r="A18" s="1794"/>
      <c r="B18" s="1800"/>
      <c r="C18" s="1800"/>
      <c r="D18" s="1800"/>
      <c r="E18" s="1800"/>
      <c r="F18" s="1240" t="s">
        <v>3859</v>
      </c>
      <c r="H18" s="856">
        <v>45747</v>
      </c>
      <c r="I18" s="856">
        <v>45838</v>
      </c>
      <c r="J18" s="856">
        <v>45930</v>
      </c>
      <c r="K18" s="857">
        <v>46022</v>
      </c>
    </row>
    <row r="19" spans="1:11" s="1177" customFormat="1">
      <c r="A19" s="1231" t="s">
        <v>1419</v>
      </c>
      <c r="B19" s="1232"/>
      <c r="C19" s="1232"/>
      <c r="D19" s="1232"/>
      <c r="E19" s="1233"/>
      <c r="F19" s="1232"/>
      <c r="H19" s="1234"/>
      <c r="I19" s="1234"/>
      <c r="J19" s="1234"/>
      <c r="K19" s="1234"/>
    </row>
    <row r="20" spans="1:11" s="1177" customFormat="1">
      <c r="A20" s="1231" t="s">
        <v>2546</v>
      </c>
      <c r="B20" s="1175">
        <f>B21</f>
        <v>5786.6</v>
      </c>
      <c r="C20" s="1175">
        <f>C21</f>
        <v>5674.4599999998991</v>
      </c>
      <c r="D20" s="1175">
        <f>D21</f>
        <v>6448.8100000000013</v>
      </c>
      <c r="E20" s="1175">
        <f>E21</f>
        <v>0</v>
      </c>
      <c r="F20" s="1175">
        <f t="shared" ref="F20:F25" si="0">SUM(B20:E20)</f>
        <v>17909.869999999901</v>
      </c>
      <c r="H20" s="1234"/>
      <c r="I20" s="1234"/>
      <c r="J20" s="1234"/>
      <c r="K20" s="1234"/>
    </row>
    <row r="21" spans="1:11">
      <c r="A21" s="491" t="s">
        <v>2547</v>
      </c>
      <c r="B21" s="492">
        <f>H21</f>
        <v>5786.6</v>
      </c>
      <c r="C21" s="492">
        <f t="shared" ref="C21:E22" si="1">I21-H21</f>
        <v>5674.4599999998991</v>
      </c>
      <c r="D21" s="492">
        <f t="shared" si="1"/>
        <v>6448.8100000000013</v>
      </c>
      <c r="E21" s="493">
        <f t="shared" si="1"/>
        <v>0</v>
      </c>
      <c r="F21" s="494">
        <f t="shared" si="0"/>
        <v>17909.869999999901</v>
      </c>
      <c r="H21" s="52">
        <v>5786.6</v>
      </c>
      <c r="I21" s="52">
        <v>11461.059999999899</v>
      </c>
      <c r="J21" s="52">
        <v>17909.869999999901</v>
      </c>
      <c r="K21" s="52">
        <f>'RZiS, koszty rodz.'!B9</f>
        <v>17909.869999999901</v>
      </c>
    </row>
    <row r="22" spans="1:11" s="1177" customFormat="1">
      <c r="A22" s="1231" t="s">
        <v>2548</v>
      </c>
      <c r="B22" s="1235">
        <f>H22</f>
        <v>31287323.949999899</v>
      </c>
      <c r="C22" s="1235">
        <f t="shared" si="1"/>
        <v>37423830.879999995</v>
      </c>
      <c r="D22" s="1235">
        <f t="shared" si="1"/>
        <v>50537155.970000103</v>
      </c>
      <c r="E22" s="1236">
        <f t="shared" si="1"/>
        <v>0</v>
      </c>
      <c r="F22" s="1175">
        <f t="shared" si="0"/>
        <v>119248310.8</v>
      </c>
      <c r="H22" s="1234">
        <v>31287323.949999899</v>
      </c>
      <c r="I22" s="1234">
        <v>68711154.829999894</v>
      </c>
      <c r="J22" s="1234">
        <v>119248310.8</v>
      </c>
      <c r="K22" s="1234">
        <f>'RZiS, koszty rodz.'!B10+'RZiS, koszty rodz.'!B17</f>
        <v>119248310.8</v>
      </c>
    </row>
    <row r="23" spans="1:11" s="1177" customFormat="1" ht="15" thickBot="1">
      <c r="A23" s="1246" t="s">
        <v>2549</v>
      </c>
      <c r="B23" s="1215">
        <f>B22+B20</f>
        <v>31293110.5499999</v>
      </c>
      <c r="C23" s="1215">
        <f>C22+C20</f>
        <v>37429505.339999996</v>
      </c>
      <c r="D23" s="1215">
        <f>D22+D20</f>
        <v>50543604.780000106</v>
      </c>
      <c r="E23" s="1215">
        <f>E22+E20</f>
        <v>0</v>
      </c>
      <c r="F23" s="1215">
        <f t="shared" si="0"/>
        <v>119266220.67</v>
      </c>
      <c r="G23" s="1194">
        <f>F23-'bilans, RZiS,przepływy,kapitały'!C5</f>
        <v>0</v>
      </c>
      <c r="H23" s="1234">
        <f>H22+H21</f>
        <v>31293110.5499999</v>
      </c>
      <c r="I23" s="1234">
        <f>I22+I21</f>
        <v>68722615.889999896</v>
      </c>
      <c r="J23" s="1234">
        <f>J22+J21</f>
        <v>119266220.67</v>
      </c>
      <c r="K23" s="1234">
        <f>K22+K21</f>
        <v>119266220.67</v>
      </c>
    </row>
    <row r="24" spans="1:11" s="1177" customFormat="1" ht="21.6" thickTop="1" thickBot="1">
      <c r="A24" s="1248" t="s">
        <v>2550</v>
      </c>
      <c r="B24" s="1249">
        <f>B22</f>
        <v>31287323.949999899</v>
      </c>
      <c r="C24" s="1249">
        <f>C22</f>
        <v>37423830.879999995</v>
      </c>
      <c r="D24" s="1249">
        <f>D22</f>
        <v>50537155.970000103</v>
      </c>
      <c r="E24" s="1249">
        <f>E22</f>
        <v>0</v>
      </c>
      <c r="F24" s="1249">
        <f t="shared" si="0"/>
        <v>119248310.8</v>
      </c>
      <c r="H24" s="1234"/>
      <c r="I24" s="1234"/>
      <c r="J24" s="1234"/>
      <c r="K24" s="1194">
        <f>K23-'bilans, RZiS,przepływy,kapitały'!C5</f>
        <v>0</v>
      </c>
    </row>
    <row r="25" spans="1:11" s="1177" customFormat="1" ht="21.6" thickTop="1" thickBot="1">
      <c r="A25" s="1248" t="s">
        <v>2551</v>
      </c>
      <c r="B25" s="1249">
        <f>B20</f>
        <v>5786.6</v>
      </c>
      <c r="C25" s="1249">
        <f>C20</f>
        <v>5674.4599999998991</v>
      </c>
      <c r="D25" s="1249">
        <f>D20</f>
        <v>6448.8100000000013</v>
      </c>
      <c r="E25" s="1249">
        <f>E20</f>
        <v>0</v>
      </c>
      <c r="F25" s="1249">
        <f t="shared" si="0"/>
        <v>17909.869999999901</v>
      </c>
      <c r="H25" s="1234"/>
      <c r="I25" s="1234"/>
      <c r="J25" s="1234"/>
      <c r="K25" s="1234"/>
    </row>
    <row r="26" spans="1:11" ht="15.6" thickTop="1" thickBot="1">
      <c r="A26" s="1801"/>
      <c r="B26" s="1801"/>
      <c r="C26" s="1801"/>
      <c r="D26" s="1801"/>
      <c r="E26" s="1801"/>
      <c r="F26" s="1801"/>
    </row>
    <row r="27" spans="1:11" ht="20.399999999999999" customHeight="1" thickTop="1" thickBot="1">
      <c r="A27" s="1802"/>
      <c r="B27" s="1798" t="s">
        <v>2542</v>
      </c>
      <c r="C27" s="1798" t="s">
        <v>2543</v>
      </c>
      <c r="D27" s="1798" t="s">
        <v>2544</v>
      </c>
      <c r="E27" s="1798" t="s">
        <v>2545</v>
      </c>
      <c r="F27" s="1256" t="s">
        <v>2009</v>
      </c>
    </row>
    <row r="28" spans="1:11" ht="21" customHeight="1" thickTop="1" thickBot="1">
      <c r="A28" s="1802"/>
      <c r="B28" s="1798"/>
      <c r="C28" s="1798"/>
      <c r="D28" s="1798"/>
      <c r="E28" s="1798"/>
      <c r="F28" s="1247" t="s">
        <v>3649</v>
      </c>
      <c r="H28" s="938">
        <v>45382</v>
      </c>
      <c r="I28" s="938">
        <v>45473</v>
      </c>
      <c r="J28" s="938">
        <v>45565</v>
      </c>
      <c r="K28" s="938">
        <v>45657</v>
      </c>
    </row>
    <row r="29" spans="1:11" s="1177" customFormat="1" ht="15" thickTop="1">
      <c r="A29" s="1231" t="s">
        <v>1419</v>
      </c>
      <c r="B29" s="1250"/>
      <c r="C29" s="1250"/>
      <c r="D29" s="1250"/>
      <c r="E29" s="1251"/>
      <c r="F29" s="1250"/>
      <c r="H29" s="1252"/>
      <c r="I29" s="1252"/>
      <c r="J29" s="1252"/>
      <c r="K29" s="1252"/>
    </row>
    <row r="30" spans="1:11" s="1177" customFormat="1">
      <c r="A30" s="1231" t="s">
        <v>2546</v>
      </c>
      <c r="B30" s="1176">
        <v>13045.54</v>
      </c>
      <c r="C30" s="1176">
        <v>9506.2000000000007</v>
      </c>
      <c r="D30" s="1176">
        <v>9891.84</v>
      </c>
      <c r="E30" s="1176">
        <v>20250.019999999895</v>
      </c>
      <c r="F30" s="1176">
        <v>52693.599999999897</v>
      </c>
      <c r="H30" s="1252"/>
      <c r="I30" s="1252"/>
      <c r="J30" s="1252"/>
      <c r="K30" s="1252"/>
    </row>
    <row r="31" spans="1:11">
      <c r="A31" s="59" t="s">
        <v>2547</v>
      </c>
      <c r="B31" s="497">
        <v>13045.54</v>
      </c>
      <c r="C31" s="497">
        <v>9506.2000000000007</v>
      </c>
      <c r="D31" s="497">
        <v>9891.84</v>
      </c>
      <c r="E31" s="498">
        <v>20250.019999999895</v>
      </c>
      <c r="F31" s="499">
        <v>52693.599999999897</v>
      </c>
      <c r="H31" s="52">
        <v>13045.54</v>
      </c>
      <c r="I31" s="52">
        <v>22551.74</v>
      </c>
      <c r="J31" s="52">
        <v>32443.58</v>
      </c>
      <c r="K31" s="52">
        <v>52693.599999999897</v>
      </c>
    </row>
    <row r="32" spans="1:11" s="1177" customFormat="1" ht="20.399999999999999" customHeight="1">
      <c r="A32" s="1231" t="s">
        <v>2548</v>
      </c>
      <c r="B32" s="1176">
        <v>35877131.240000002</v>
      </c>
      <c r="C32" s="1176">
        <v>44629949.089999996</v>
      </c>
      <c r="D32" s="1176">
        <v>37014603.129998997</v>
      </c>
      <c r="E32" s="1190">
        <v>49785517.780000985</v>
      </c>
      <c r="F32" s="1176">
        <v>167307201.23999998</v>
      </c>
      <c r="H32" s="1180">
        <v>35877131.240000002</v>
      </c>
      <c r="I32" s="1180">
        <v>80507080.329999998</v>
      </c>
      <c r="J32" s="1180">
        <v>117521683.459999</v>
      </c>
      <c r="K32" s="1180">
        <v>167307201.23999998</v>
      </c>
    </row>
    <row r="33" spans="1:11" s="1177" customFormat="1" ht="21" customHeight="1" thickBot="1">
      <c r="A33" s="1223" t="s">
        <v>2549</v>
      </c>
      <c r="B33" s="1182">
        <v>35890176.780000001</v>
      </c>
      <c r="C33" s="1182">
        <v>44639455.289999999</v>
      </c>
      <c r="D33" s="1182">
        <v>37024494.969999</v>
      </c>
      <c r="E33" s="1182">
        <v>49805767.800000988</v>
      </c>
      <c r="F33" s="1182">
        <v>167359894.83999997</v>
      </c>
      <c r="G33" s="1194">
        <f>F33-'RZiS, koszty rodz.'!C20</f>
        <v>0</v>
      </c>
      <c r="H33" s="1234">
        <v>35890176.780000001</v>
      </c>
      <c r="I33" s="1234">
        <v>80529632.069999993</v>
      </c>
      <c r="J33" s="1234">
        <v>117554127.03999899</v>
      </c>
      <c r="K33" s="1234">
        <v>167359894.83999997</v>
      </c>
    </row>
    <row r="34" spans="1:11" s="1177" customFormat="1" ht="21.6" thickTop="1" thickBot="1">
      <c r="A34" s="1248" t="s">
        <v>2550</v>
      </c>
      <c r="B34" s="1255">
        <v>35877131.240000002</v>
      </c>
      <c r="C34" s="1255">
        <v>44629949.089999996</v>
      </c>
      <c r="D34" s="1255">
        <v>37014603.129998997</v>
      </c>
      <c r="E34" s="1255">
        <v>49785517.780000985</v>
      </c>
      <c r="F34" s="1255">
        <v>167307201.23999998</v>
      </c>
      <c r="H34" s="1234"/>
      <c r="I34" s="1234"/>
      <c r="J34" s="1234"/>
      <c r="K34" s="1234"/>
    </row>
    <row r="35" spans="1:11" s="1177" customFormat="1" ht="21.6" thickTop="1" thickBot="1">
      <c r="A35" s="1253" t="s">
        <v>2551</v>
      </c>
      <c r="B35" s="1254">
        <v>13045.54</v>
      </c>
      <c r="C35" s="1254">
        <v>9506.2000000000007</v>
      </c>
      <c r="D35" s="1254">
        <v>9891.84</v>
      </c>
      <c r="E35" s="1254">
        <v>20250.019999999895</v>
      </c>
      <c r="F35" s="1254">
        <v>52693.599999999897</v>
      </c>
    </row>
    <row r="37" spans="1:11">
      <c r="A37" s="1703" t="s">
        <v>3322</v>
      </c>
      <c r="B37" s="1703"/>
      <c r="C37" s="1703"/>
      <c r="D37" s="1703"/>
      <c r="E37" s="1703"/>
      <c r="F37" s="649" t="s">
        <v>3073</v>
      </c>
      <c r="G37" s="650" t="s">
        <v>3074</v>
      </c>
      <c r="H37" s="650" t="s">
        <v>3075</v>
      </c>
      <c r="I37" s="228" t="s">
        <v>3332</v>
      </c>
    </row>
    <row r="38" spans="1:11" ht="27.6" customHeight="1">
      <c r="A38" s="1792" t="s">
        <v>3883</v>
      </c>
      <c r="B38" s="1792"/>
      <c r="C38" s="1792"/>
      <c r="D38" s="1792"/>
      <c r="E38" s="1792"/>
      <c r="F38" s="134">
        <f>(IFERROR(VLOOKUP(I37,obrotówka!$A$3:$J$1600,7,0),0))</f>
        <v>2430842.77999999</v>
      </c>
      <c r="G38" s="134">
        <f>-(IFERROR(VLOOKUP(I37,obrotówka!$A$3:$J$1600,6,0),0))</f>
        <v>-2354233.3599999901</v>
      </c>
      <c r="H38" s="651">
        <f>F38+G38</f>
        <v>76609.419999999925</v>
      </c>
      <c r="I38" s="1"/>
    </row>
    <row r="39" spans="1:11" ht="54.6" customHeight="1">
      <c r="A39" s="1792" t="s">
        <v>3784</v>
      </c>
      <c r="B39" s="1792"/>
      <c r="C39" s="1792"/>
      <c r="D39" s="1792"/>
      <c r="E39" s="1792"/>
      <c r="F39" s="652" t="s">
        <v>3076</v>
      </c>
      <c r="G39" s="652" t="s">
        <v>3077</v>
      </c>
      <c r="H39" s="648"/>
    </row>
    <row r="40" spans="1:11" ht="61.8" customHeight="1">
      <c r="A40" s="1813" t="s">
        <v>3884</v>
      </c>
      <c r="B40" s="1813"/>
      <c r="C40" s="1813"/>
      <c r="D40" s="1813"/>
      <c r="E40" s="1813"/>
      <c r="F40" s="1003" t="str">
        <f>IF(F23&gt;F33,F23-F33,"")</f>
        <v/>
      </c>
      <c r="G40" s="653">
        <f>IF(F23&lt;F33,F33-F23,"")</f>
        <v>48093674.169999972</v>
      </c>
      <c r="H40" s="648"/>
    </row>
    <row r="41" spans="1:11" ht="54" customHeight="1">
      <c r="A41" s="1812" t="s">
        <v>3567</v>
      </c>
      <c r="B41" s="1812"/>
      <c r="C41" s="1812"/>
      <c r="D41" s="1812"/>
      <c r="E41" s="1812"/>
      <c r="H41" s="648"/>
      <c r="I41" s="1"/>
    </row>
    <row r="43" spans="1:11" s="1177" customFormat="1" ht="16.2" thickBot="1">
      <c r="A43" s="1809" t="s">
        <v>3811</v>
      </c>
      <c r="B43" s="1809"/>
    </row>
    <row r="44" spans="1:11">
      <c r="A44" s="1793"/>
      <c r="B44" s="1799" t="s">
        <v>2542</v>
      </c>
      <c r="C44" s="1799" t="s">
        <v>2543</v>
      </c>
      <c r="D44" s="1799" t="s">
        <v>2544</v>
      </c>
      <c r="E44" s="1799" t="s">
        <v>2545</v>
      </c>
      <c r="F44" s="1238" t="s">
        <v>2009</v>
      </c>
    </row>
    <row r="45" spans="1:11" ht="15" thickBot="1">
      <c r="A45" s="1794"/>
      <c r="B45" s="1800"/>
      <c r="C45" s="1800"/>
      <c r="D45" s="1800"/>
      <c r="E45" s="1800"/>
      <c r="F45" s="1240" t="s">
        <v>3859</v>
      </c>
    </row>
    <row r="46" spans="1:11">
      <c r="A46" s="500" t="s">
        <v>2552</v>
      </c>
      <c r="B46" s="489"/>
      <c r="C46" s="489"/>
      <c r="D46" s="489"/>
      <c r="E46" s="490"/>
      <c r="F46" s="489"/>
      <c r="H46" s="856">
        <v>45747</v>
      </c>
      <c r="I46" s="856">
        <v>45838</v>
      </c>
      <c r="J46" s="856">
        <v>45930</v>
      </c>
      <c r="K46" s="857">
        <v>46022</v>
      </c>
    </row>
    <row r="47" spans="1:11">
      <c r="A47" s="165" t="s">
        <v>2553</v>
      </c>
      <c r="B47" s="16">
        <f t="shared" ref="B47:B52" si="2">H47</f>
        <v>678367.64000000013</v>
      </c>
      <c r="C47" s="16">
        <f t="shared" ref="C47:E52" si="3">I47-H47</f>
        <v>737377.8600000001</v>
      </c>
      <c r="D47" s="16">
        <f t="shared" si="3"/>
        <v>781575.61999999988</v>
      </c>
      <c r="E47" s="48">
        <f t="shared" si="3"/>
        <v>0</v>
      </c>
      <c r="F47" s="501">
        <f t="shared" ref="F47:F52" si="4">SUM(B47:E47)</f>
        <v>2197321.12</v>
      </c>
      <c r="G47" s="1173">
        <f>F47/F66-1</f>
        <v>-0.3692395178572121</v>
      </c>
      <c r="H47" s="52">
        <v>678367.64000000013</v>
      </c>
      <c r="I47" s="52">
        <v>1415745.5000000002</v>
      </c>
      <c r="J47" s="52">
        <v>2197321.12</v>
      </c>
      <c r="K47" s="52">
        <f>'RZiS, koszty rodz.'!B215</f>
        <v>2197321.12</v>
      </c>
    </row>
    <row r="48" spans="1:11">
      <c r="A48" s="165" t="s">
        <v>2554</v>
      </c>
      <c r="B48" s="16">
        <f t="shared" si="2"/>
        <v>3914936.0599999949</v>
      </c>
      <c r="C48" s="16">
        <f t="shared" si="3"/>
        <v>4293177.9799999921</v>
      </c>
      <c r="D48" s="16">
        <f t="shared" si="3"/>
        <v>12245304.159999996</v>
      </c>
      <c r="E48" s="48">
        <f t="shared" si="3"/>
        <v>0</v>
      </c>
      <c r="F48" s="501">
        <f t="shared" si="4"/>
        <v>20453418.199999984</v>
      </c>
      <c r="G48" s="1173">
        <f t="shared" ref="G48:G52" si="5">F48/F67-1</f>
        <v>1.1824735037870848E-3</v>
      </c>
      <c r="H48" s="52">
        <v>3914936.0599999949</v>
      </c>
      <c r="I48" s="52">
        <v>8208114.039999987</v>
      </c>
      <c r="J48" s="52">
        <v>20453418.199999984</v>
      </c>
      <c r="K48" s="52">
        <f>'RZiS, koszty rodz.'!B224</f>
        <v>20453418.199999984</v>
      </c>
    </row>
    <row r="49" spans="1:11">
      <c r="A49" s="165" t="s">
        <v>2555</v>
      </c>
      <c r="B49" s="16">
        <f t="shared" si="2"/>
        <v>6980436.25</v>
      </c>
      <c r="C49" s="16">
        <f t="shared" si="3"/>
        <v>7757544.4699999802</v>
      </c>
      <c r="D49" s="16">
        <f t="shared" si="3"/>
        <v>11390756.270000007</v>
      </c>
      <c r="E49" s="48">
        <f t="shared" si="3"/>
        <v>0</v>
      </c>
      <c r="F49" s="501">
        <f t="shared" si="4"/>
        <v>26128736.989999987</v>
      </c>
      <c r="G49" s="1173">
        <f t="shared" si="5"/>
        <v>-0.3755443990985351</v>
      </c>
      <c r="H49" s="52">
        <v>6980436.25</v>
      </c>
      <c r="I49" s="52">
        <v>14737980.71999998</v>
      </c>
      <c r="J49" s="52">
        <v>26128736.989999987</v>
      </c>
      <c r="K49" s="52">
        <f>'RZiS, koszty rodz.'!B263</f>
        <v>26128736.989999987</v>
      </c>
    </row>
    <row r="50" spans="1:11">
      <c r="A50" s="165" t="s">
        <v>2556</v>
      </c>
      <c r="B50" s="16">
        <f t="shared" si="2"/>
        <v>443651.51999999996</v>
      </c>
      <c r="C50" s="16">
        <f t="shared" si="3"/>
        <v>443891.22000000015</v>
      </c>
      <c r="D50" s="16">
        <f t="shared" si="3"/>
        <v>462131.29999999993</v>
      </c>
      <c r="E50" s="48">
        <f t="shared" si="3"/>
        <v>0</v>
      </c>
      <c r="F50" s="501">
        <f t="shared" si="4"/>
        <v>1349674.04</v>
      </c>
      <c r="G50" s="1173">
        <f t="shared" si="5"/>
        <v>-0.19257260671901388</v>
      </c>
      <c r="H50" s="52">
        <v>443651.51999999996</v>
      </c>
      <c r="I50" s="52">
        <v>887542.74000000011</v>
      </c>
      <c r="J50" s="52">
        <v>1349674.04</v>
      </c>
      <c r="K50" s="52">
        <f>'RZiS, koszty rodz.'!B330</f>
        <v>1349674.04</v>
      </c>
    </row>
    <row r="51" spans="1:11">
      <c r="A51" s="165" t="s">
        <v>2557</v>
      </c>
      <c r="B51" s="16">
        <f t="shared" si="2"/>
        <v>23579610.089999977</v>
      </c>
      <c r="C51" s="16">
        <f t="shared" si="3"/>
        <v>23462128.099999975</v>
      </c>
      <c r="D51" s="16">
        <f t="shared" si="3"/>
        <v>23882590.069999889</v>
      </c>
      <c r="E51" s="48">
        <f t="shared" si="3"/>
        <v>0</v>
      </c>
      <c r="F51" s="501">
        <f t="shared" si="4"/>
        <v>70924328.259999841</v>
      </c>
      <c r="G51" s="1173">
        <f t="shared" si="5"/>
        <v>-0.22304686222188264</v>
      </c>
      <c r="H51" s="52">
        <v>23579610.089999977</v>
      </c>
      <c r="I51" s="52">
        <v>47041738.189999953</v>
      </c>
      <c r="J51" s="52">
        <v>70924328.259999841</v>
      </c>
      <c r="K51" s="52">
        <f>'RZiS, koszty rodz.'!B344</f>
        <v>70924328.259999841</v>
      </c>
    </row>
    <row r="52" spans="1:11">
      <c r="A52" s="165" t="s">
        <v>2558</v>
      </c>
      <c r="B52" s="16">
        <f t="shared" si="2"/>
        <v>216714.06999999995</v>
      </c>
      <c r="C52" s="16">
        <f t="shared" si="3"/>
        <v>263682.96999999974</v>
      </c>
      <c r="D52" s="16">
        <f t="shared" si="3"/>
        <v>286704.64000000118</v>
      </c>
      <c r="E52" s="48">
        <f t="shared" si="3"/>
        <v>0</v>
      </c>
      <c r="F52" s="501">
        <f t="shared" si="4"/>
        <v>767101.68000000087</v>
      </c>
      <c r="G52" s="1173">
        <f t="shared" si="5"/>
        <v>-7.7136694559910013E-2</v>
      </c>
      <c r="H52" s="52">
        <v>216714.06999999995</v>
      </c>
      <c r="I52" s="52">
        <v>480397.03999999969</v>
      </c>
      <c r="J52" s="52">
        <v>767101.68000000087</v>
      </c>
      <c r="K52" s="52">
        <f>'RZiS, koszty rodz.'!B413</f>
        <v>767101.68000000087</v>
      </c>
    </row>
    <row r="53" spans="1:11" s="1177" customFormat="1" ht="15" thickBot="1">
      <c r="A53" s="1246" t="s">
        <v>2559</v>
      </c>
      <c r="B53" s="1215">
        <f>SUM(B47:B52)</f>
        <v>35813715.629999973</v>
      </c>
      <c r="C53" s="1215">
        <f>SUM(C47:C52)</f>
        <v>36957802.599999949</v>
      </c>
      <c r="D53" s="1215">
        <f>SUM(D47:D52)</f>
        <v>49049062.059999898</v>
      </c>
      <c r="E53" s="1215">
        <f>SUM(E47:E52)</f>
        <v>0</v>
      </c>
      <c r="F53" s="1215">
        <f>SUM(F47:F52)</f>
        <v>121820580.28999981</v>
      </c>
      <c r="G53" s="1257">
        <f>F53-'RZiS, koszty rodz.'!B452</f>
        <v>0</v>
      </c>
      <c r="H53" s="1194">
        <f>SUM(H47:H52)</f>
        <v>35813715.629999973</v>
      </c>
      <c r="I53" s="1194">
        <f>SUM(I47:I52)</f>
        <v>72771518.22999993</v>
      </c>
      <c r="J53" s="1194">
        <f>SUM(J47:J52)</f>
        <v>121820580.28999981</v>
      </c>
      <c r="K53" s="1194">
        <f>SUM(K47:K52)</f>
        <v>121820580.28999981</v>
      </c>
    </row>
    <row r="54" spans="1:11" ht="13.2" customHeight="1" thickTop="1" thickBot="1">
      <c r="A54" s="1263"/>
      <c r="B54" s="1264"/>
      <c r="C54" s="1264"/>
      <c r="D54" s="1264"/>
      <c r="E54" s="1265"/>
      <c r="F54" s="1266"/>
      <c r="K54" s="201">
        <f>K53-'RZiS, koszty rodz.'!B452</f>
        <v>0</v>
      </c>
    </row>
    <row r="55" spans="1:11" ht="7.8" customHeight="1" thickTop="1" thickBot="1">
      <c r="A55" s="1259"/>
      <c r="B55" s="1260"/>
      <c r="C55" s="1260"/>
      <c r="D55" s="1260"/>
      <c r="E55" s="1261"/>
      <c r="F55" s="1262"/>
    </row>
    <row r="56" spans="1:11" ht="15" thickTop="1">
      <c r="A56" s="1267" t="s">
        <v>1424</v>
      </c>
      <c r="B56" s="1268">
        <f>H56</f>
        <v>0</v>
      </c>
      <c r="C56" s="1268">
        <f t="shared" ref="C56:E60" si="6">I56-H56</f>
        <v>0</v>
      </c>
      <c r="D56" s="1268">
        <f t="shared" si="6"/>
        <v>0</v>
      </c>
      <c r="E56" s="1269">
        <f t="shared" si="6"/>
        <v>0</v>
      </c>
      <c r="F56" s="1270">
        <f>SUM(B56:E56)</f>
        <v>0</v>
      </c>
      <c r="H56" s="52"/>
    </row>
    <row r="57" spans="1:11">
      <c r="A57" s="1259" t="s">
        <v>2560</v>
      </c>
      <c r="B57" s="1221">
        <f>H57</f>
        <v>-3689592.4900000151</v>
      </c>
      <c r="C57" s="1221">
        <f t="shared" si="6"/>
        <v>-546759.10999999754</v>
      </c>
      <c r="D57" s="1221">
        <f t="shared" si="6"/>
        <v>-1839937.3199999798</v>
      </c>
      <c r="E57" s="1220">
        <f t="shared" si="6"/>
        <v>0</v>
      </c>
      <c r="F57" s="1271">
        <f>SUM(B57:E57)</f>
        <v>-6076288.9199999925</v>
      </c>
      <c r="H57" s="52">
        <v>-3689592.4900000151</v>
      </c>
      <c r="I57" s="52">
        <v>-4236351.6000000127</v>
      </c>
      <c r="J57" s="52">
        <v>-6076288.9199999925</v>
      </c>
      <c r="K57" s="52">
        <f>'RZiS, koszty rodz.'!B454</f>
        <v>-6076288.9199999925</v>
      </c>
    </row>
    <row r="58" spans="1:11">
      <c r="A58" s="1197" t="s">
        <v>2561</v>
      </c>
      <c r="B58" s="1212">
        <f>H58</f>
        <v>0</v>
      </c>
      <c r="C58" s="1212">
        <f t="shared" si="6"/>
        <v>-40524.15</v>
      </c>
      <c r="D58" s="1212">
        <f t="shared" si="6"/>
        <v>-8188.9399999999005</v>
      </c>
      <c r="E58" s="1211">
        <f t="shared" si="6"/>
        <v>0</v>
      </c>
      <c r="F58" s="1271">
        <f>SUM(B58:E58)</f>
        <v>-48713.089999999902</v>
      </c>
      <c r="H58" s="52">
        <v>0</v>
      </c>
      <c r="I58" s="52">
        <v>-40524.15</v>
      </c>
      <c r="J58" s="52">
        <v>-48713.089999999902</v>
      </c>
      <c r="K58" s="52">
        <f>'RZiS, koszty rodz.'!B463</f>
        <v>-48713.089999999902</v>
      </c>
    </row>
    <row r="59" spans="1:11">
      <c r="A59" s="1259" t="s">
        <v>1425</v>
      </c>
      <c r="B59" s="1212">
        <f>H59</f>
        <v>-4307968.1799999904</v>
      </c>
      <c r="C59" s="1212">
        <f t="shared" si="6"/>
        <v>-4215082.67</v>
      </c>
      <c r="D59" s="1212">
        <f t="shared" si="6"/>
        <v>-4314358.5500000101</v>
      </c>
      <c r="E59" s="1211">
        <f t="shared" si="6"/>
        <v>0</v>
      </c>
      <c r="F59" s="1271">
        <f>SUM(B59:E59)</f>
        <v>-12837409.4</v>
      </c>
      <c r="H59" s="52">
        <v>-4307968.1799999904</v>
      </c>
      <c r="I59" s="52">
        <v>-8523050.8499999903</v>
      </c>
      <c r="J59" s="52">
        <v>-12837409.4</v>
      </c>
      <c r="K59" s="52">
        <f>'RZiS, koszty rodz.'!B468</f>
        <v>-12837409.4</v>
      </c>
    </row>
    <row r="60" spans="1:11">
      <c r="A60" s="1259" t="s">
        <v>2562</v>
      </c>
      <c r="B60" s="1221">
        <f>H60</f>
        <v>5509.1599999999899</v>
      </c>
      <c r="C60" s="1221">
        <f t="shared" si="6"/>
        <v>5245.7299999999095</v>
      </c>
      <c r="D60" s="1221">
        <f t="shared" si="6"/>
        <v>5894.5400000001009</v>
      </c>
      <c r="E60" s="1220">
        <f t="shared" si="6"/>
        <v>0</v>
      </c>
      <c r="F60" s="1271">
        <f>SUM(B60:E60)</f>
        <v>16649.43</v>
      </c>
      <c r="H60" s="52">
        <v>5509.1599999999899</v>
      </c>
      <c r="I60" s="52">
        <v>10754.889999999899</v>
      </c>
      <c r="J60" s="52">
        <v>16649.43</v>
      </c>
      <c r="K60" s="52">
        <f>'RZiS, koszty rodz.'!B469</f>
        <v>16649.43</v>
      </c>
    </row>
    <row r="61" spans="1:11" s="1177" customFormat="1" ht="15" thickBot="1">
      <c r="A61" s="1223" t="s">
        <v>2563</v>
      </c>
      <c r="B61" s="1181">
        <f>SUM(B57:B60)+B53</f>
        <v>27821664.119999968</v>
      </c>
      <c r="C61" s="1181">
        <f>SUM(C57:C60)+C53</f>
        <v>32160682.39999995</v>
      </c>
      <c r="D61" s="1181">
        <f>SUM(D57:D60)+D53</f>
        <v>42892471.78999991</v>
      </c>
      <c r="E61" s="1181">
        <f>SUM(E57:E60)+E53</f>
        <v>0</v>
      </c>
      <c r="F61" s="1181">
        <f>SUM(F57:F60)+F53</f>
        <v>102874818.30999982</v>
      </c>
      <c r="H61" s="1194">
        <f>H60+H59+H57+H58+H53</f>
        <v>27821664.119999968</v>
      </c>
      <c r="I61" s="1194">
        <f>I60+I59+I57+I58+I53</f>
        <v>59982346.519999929</v>
      </c>
      <c r="J61" s="1194">
        <f>J60+J59+J57+J58+J53</f>
        <v>102874818.30999982</v>
      </c>
      <c r="K61" s="1194">
        <f>K60+K59+K57+K58+K53</f>
        <v>102874818.30999982</v>
      </c>
    </row>
    <row r="62" spans="1:11" ht="15.6" thickTop="1" thickBot="1">
      <c r="K62" s="201">
        <f>K61-'RZiS, koszty rodz.'!B470</f>
        <v>0</v>
      </c>
    </row>
    <row r="63" spans="1:11" s="384" customFormat="1">
      <c r="A63" s="1782"/>
      <c r="B63" s="1784" t="s">
        <v>2542</v>
      </c>
      <c r="C63" s="1784" t="s">
        <v>2543</v>
      </c>
      <c r="D63" s="1784" t="s">
        <v>2544</v>
      </c>
      <c r="E63" s="1784" t="s">
        <v>2545</v>
      </c>
      <c r="F63" s="1239" t="s">
        <v>2009</v>
      </c>
    </row>
    <row r="64" spans="1:11" s="384" customFormat="1" ht="15" thickBot="1">
      <c r="A64" s="1783"/>
      <c r="B64" s="1785"/>
      <c r="C64" s="1785"/>
      <c r="D64" s="1785"/>
      <c r="E64" s="1785"/>
      <c r="F64" s="1241" t="s">
        <v>3649</v>
      </c>
    </row>
    <row r="65" spans="1:11" s="384" customFormat="1">
      <c r="A65" s="502" t="s">
        <v>2552</v>
      </c>
      <c r="B65" s="495"/>
      <c r="C65" s="495"/>
      <c r="D65" s="495"/>
      <c r="E65" s="496"/>
      <c r="F65" s="495"/>
      <c r="H65" s="938">
        <v>45382</v>
      </c>
      <c r="I65" s="938">
        <v>45473</v>
      </c>
      <c r="J65" s="938">
        <v>45565</v>
      </c>
      <c r="K65" s="938">
        <v>45657</v>
      </c>
    </row>
    <row r="66" spans="1:11" s="384" customFormat="1">
      <c r="A66" s="503" t="s">
        <v>2056</v>
      </c>
      <c r="B66" s="146">
        <v>651603.04</v>
      </c>
      <c r="C66" s="146">
        <v>883389.12999999989</v>
      </c>
      <c r="D66" s="146">
        <v>867501.4799999902</v>
      </c>
      <c r="E66" s="477">
        <v>1081112.5400000094</v>
      </c>
      <c r="F66" s="504">
        <v>3483606.1899999995</v>
      </c>
      <c r="H66" s="52">
        <v>666211.19000000006</v>
      </c>
      <c r="I66" s="52">
        <v>1391227.629999999</v>
      </c>
      <c r="J66" s="52">
        <v>2129967.3000000003</v>
      </c>
      <c r="K66" s="52">
        <v>2904002.6999999899</v>
      </c>
    </row>
    <row r="67" spans="1:11" s="384" customFormat="1">
      <c r="A67" s="503" t="s">
        <v>2554</v>
      </c>
      <c r="B67" s="146">
        <v>4390995.2899999991</v>
      </c>
      <c r="C67" s="146">
        <v>4425964.6299999971</v>
      </c>
      <c r="D67" s="146">
        <v>5412090.3000000026</v>
      </c>
      <c r="E67" s="477">
        <v>6200210.9199999869</v>
      </c>
      <c r="F67" s="504">
        <v>20429261.139999986</v>
      </c>
      <c r="H67" s="52">
        <v>8183142.1999999983</v>
      </c>
      <c r="I67" s="52">
        <v>13599057.019999966</v>
      </c>
      <c r="J67" s="52">
        <v>19653562.359999966</v>
      </c>
      <c r="K67" s="52">
        <v>30905360.089999881</v>
      </c>
    </row>
    <row r="68" spans="1:11" s="384" customFormat="1">
      <c r="A68" s="503" t="s">
        <v>2555</v>
      </c>
      <c r="B68" s="146">
        <v>10164060.209999999</v>
      </c>
      <c r="C68" s="146">
        <v>12497532.059999885</v>
      </c>
      <c r="D68" s="146">
        <v>8531703.810000103</v>
      </c>
      <c r="E68" s="477">
        <v>10649129.469999898</v>
      </c>
      <c r="F68" s="504">
        <v>41842425.549999885</v>
      </c>
      <c r="H68" s="52">
        <v>18129407.479999997</v>
      </c>
      <c r="I68" s="52">
        <v>31939580.099999897</v>
      </c>
      <c r="J68" s="52">
        <v>42636511.149999909</v>
      </c>
      <c r="K68" s="52">
        <v>64929369.669999994</v>
      </c>
    </row>
    <row r="69" spans="1:11" s="384" customFormat="1">
      <c r="A69" s="503" t="s">
        <v>2556</v>
      </c>
      <c r="B69" s="146">
        <v>424279.51000000007</v>
      </c>
      <c r="C69" s="146">
        <v>425385.60999999981</v>
      </c>
      <c r="D69" s="146">
        <v>700099.94999999972</v>
      </c>
      <c r="E69" s="477">
        <v>121808.19000000041</v>
      </c>
      <c r="F69" s="504">
        <v>1671573.26</v>
      </c>
      <c r="H69" s="52">
        <v>372376.96</v>
      </c>
      <c r="I69" s="52">
        <v>828987.92999999993</v>
      </c>
      <c r="J69" s="52">
        <v>1328856.96</v>
      </c>
      <c r="K69" s="52">
        <v>1714703.69</v>
      </c>
    </row>
    <row r="70" spans="1:11" s="384" customFormat="1">
      <c r="A70" s="503" t="s">
        <v>2557</v>
      </c>
      <c r="B70" s="146">
        <v>23749296.45999996</v>
      </c>
      <c r="C70" s="146">
        <v>22831798.699999977</v>
      </c>
      <c r="D70" s="146">
        <v>24716316.85999988</v>
      </c>
      <c r="E70" s="477">
        <v>19987795.300000027</v>
      </c>
      <c r="F70" s="504">
        <v>91285207.319999844</v>
      </c>
      <c r="G70" s="1007">
        <f>F51/F70</f>
        <v>0.77695313777811736</v>
      </c>
      <c r="H70" s="52">
        <v>20290355.979999967</v>
      </c>
      <c r="I70" s="52">
        <v>40913201.71999988</v>
      </c>
      <c r="J70" s="52">
        <v>64238537.209999941</v>
      </c>
      <c r="K70" s="52">
        <v>89827984.619999826</v>
      </c>
    </row>
    <row r="71" spans="1:11" s="384" customFormat="1">
      <c r="A71" s="503" t="s">
        <v>2558</v>
      </c>
      <c r="B71" s="146">
        <v>141695.70999999877</v>
      </c>
      <c r="C71" s="146">
        <v>212907.56000000107</v>
      </c>
      <c r="D71" s="146">
        <v>51055.809999998834</v>
      </c>
      <c r="E71" s="477">
        <v>425560.10000000102</v>
      </c>
      <c r="F71" s="504">
        <v>831219.1799999997</v>
      </c>
      <c r="H71" s="52">
        <v>25027.149999999849</v>
      </c>
      <c r="I71" s="52">
        <v>229701.9200000019</v>
      </c>
      <c r="J71" s="52">
        <v>298373.88999999943</v>
      </c>
      <c r="K71" s="52">
        <v>753706.38999999862</v>
      </c>
    </row>
    <row r="72" spans="1:11" s="1258" customFormat="1" ht="15" thickBot="1">
      <c r="A72" s="1272" t="s">
        <v>2559</v>
      </c>
      <c r="B72" s="1273">
        <v>39521930.219999962</v>
      </c>
      <c r="C72" s="1273">
        <v>41276977.689999864</v>
      </c>
      <c r="D72" s="1273">
        <v>40278768.209999979</v>
      </c>
      <c r="E72" s="1273">
        <v>38465616.519999929</v>
      </c>
      <c r="F72" s="1273">
        <v>159543292.63999972</v>
      </c>
      <c r="G72" s="1194">
        <f>F72-'RZiS, koszty rodz.'!C452</f>
        <v>0</v>
      </c>
      <c r="H72" s="1194">
        <v>47666520.959999964</v>
      </c>
      <c r="I72" s="1194">
        <v>88901756.31999974</v>
      </c>
      <c r="J72" s="1194">
        <v>130285808.86999981</v>
      </c>
      <c r="K72" s="1194">
        <v>191035127.15999967</v>
      </c>
    </row>
    <row r="73" spans="1:11" s="384" customFormat="1" ht="7.2" customHeight="1" thickTop="1" thickBot="1">
      <c r="A73" s="1277"/>
      <c r="B73" s="1278"/>
      <c r="C73" s="1278"/>
      <c r="D73" s="1278"/>
      <c r="E73" s="1279"/>
      <c r="F73" s="1280"/>
      <c r="H73"/>
      <c r="I73"/>
      <c r="J73"/>
      <c r="K73" s="291"/>
    </row>
    <row r="74" spans="1:11" s="384" customFormat="1" ht="7.2" customHeight="1" thickTop="1" thickBot="1">
      <c r="A74" s="1277"/>
      <c r="B74" s="1278"/>
      <c r="C74" s="1278"/>
      <c r="D74" s="1278"/>
      <c r="E74" s="1279"/>
      <c r="F74" s="1280"/>
      <c r="H74"/>
      <c r="I74"/>
      <c r="J74"/>
      <c r="K74"/>
    </row>
    <row r="75" spans="1:11" s="384" customFormat="1" ht="15" thickTop="1">
      <c r="A75" s="1274" t="s">
        <v>1424</v>
      </c>
      <c r="B75" s="1275">
        <v>0</v>
      </c>
      <c r="C75" s="1275">
        <v>0</v>
      </c>
      <c r="D75" s="1275">
        <v>0</v>
      </c>
      <c r="E75" s="1209">
        <v>0</v>
      </c>
      <c r="F75" s="1276">
        <v>0</v>
      </c>
      <c r="H75" s="52"/>
      <c r="I75"/>
      <c r="J75"/>
      <c r="K75"/>
    </row>
    <row r="76" spans="1:11" s="384" customFormat="1">
      <c r="A76" s="503" t="s">
        <v>2560</v>
      </c>
      <c r="B76" s="146">
        <v>-3723172.0800000024</v>
      </c>
      <c r="C76" s="146">
        <v>-853965.15999998571</v>
      </c>
      <c r="D76" s="146">
        <v>-2221112.9299999932</v>
      </c>
      <c r="E76" s="477">
        <v>7096713.0399989951</v>
      </c>
      <c r="F76" s="504">
        <v>298462.86999901384</v>
      </c>
      <c r="H76" s="52">
        <v>-8427360.6300001163</v>
      </c>
      <c r="I76" s="52">
        <v>-6354900.0599999875</v>
      </c>
      <c r="J76" s="52">
        <v>-7642527.4300000966</v>
      </c>
      <c r="K76" s="52">
        <v>-259882.03999910876</v>
      </c>
    </row>
    <row r="77" spans="1:11" s="384" customFormat="1">
      <c r="A77" s="505" t="s">
        <v>2561</v>
      </c>
      <c r="B77" s="147">
        <v>-581.08000000000004</v>
      </c>
      <c r="C77" s="147">
        <v>-303.41999999999996</v>
      </c>
      <c r="D77" s="147">
        <v>-13411.78</v>
      </c>
      <c r="E77" s="506">
        <v>-10824.389999999998</v>
      </c>
      <c r="F77" s="504">
        <v>-25120.67</v>
      </c>
      <c r="H77" s="52">
        <v>0</v>
      </c>
      <c r="I77" s="52">
        <v>-6893.6999999999898</v>
      </c>
      <c r="J77" s="52">
        <v>-7325.25</v>
      </c>
      <c r="K77" s="52">
        <v>-14500.66999999998</v>
      </c>
    </row>
    <row r="78" spans="1:11" s="384" customFormat="1">
      <c r="A78" s="503" t="s">
        <v>1425</v>
      </c>
      <c r="B78" s="147">
        <v>-4056903.9199999901</v>
      </c>
      <c r="C78" s="147">
        <v>-3845088.5400000098</v>
      </c>
      <c r="D78" s="147">
        <v>-4550629.6700000009</v>
      </c>
      <c r="E78" s="506">
        <v>-3808511.33</v>
      </c>
      <c r="F78" s="504">
        <v>-16261133.460000001</v>
      </c>
      <c r="H78" s="52">
        <v>-3812350.6099999901</v>
      </c>
      <c r="I78" s="52">
        <v>-7931144</v>
      </c>
      <c r="J78" s="52">
        <v>-12234048.3699999</v>
      </c>
      <c r="K78" s="52">
        <v>-17229825.719999898</v>
      </c>
    </row>
    <row r="79" spans="1:11" s="384" customFormat="1">
      <c r="A79" s="503" t="s">
        <v>2562</v>
      </c>
      <c r="B79" s="146">
        <v>12935.639999999899</v>
      </c>
      <c r="C79" s="146">
        <v>9125.8400000001002</v>
      </c>
      <c r="D79" s="146">
        <v>9515.75</v>
      </c>
      <c r="E79" s="477">
        <v>19401.899999999903</v>
      </c>
      <c r="F79" s="504">
        <v>50979.129999999903</v>
      </c>
      <c r="H79" s="52">
        <v>32680.33</v>
      </c>
      <c r="I79" s="52">
        <v>59843.29</v>
      </c>
      <c r="J79" s="52">
        <v>67914.809999999896</v>
      </c>
      <c r="K79" s="52">
        <v>82866.61</v>
      </c>
    </row>
    <row r="80" spans="1:11" s="1258" customFormat="1" ht="15" thickBot="1">
      <c r="A80" s="1281" t="s">
        <v>2563</v>
      </c>
      <c r="B80" s="1182">
        <v>31754208.779999968</v>
      </c>
      <c r="C80" s="1182">
        <v>36586746.40999987</v>
      </c>
      <c r="D80" s="1182">
        <v>33503129.579999983</v>
      </c>
      <c r="E80" s="1182">
        <v>41762395.739998922</v>
      </c>
      <c r="F80" s="1182">
        <v>143606480.50999874</v>
      </c>
      <c r="G80" s="1194">
        <f>F80-'RZiS, koszty rodz.'!C470</f>
        <v>0</v>
      </c>
      <c r="H80" s="1194">
        <v>35459490.049999855</v>
      </c>
      <c r="I80" s="1194">
        <v>74668661.849999756</v>
      </c>
      <c r="J80" s="1194">
        <v>110469822.62999982</v>
      </c>
      <c r="K80" s="1194">
        <v>173613785.34000066</v>
      </c>
    </row>
    <row r="81" spans="1:12" ht="15" thickTop="1"/>
    <row r="83" spans="1:12" s="1177" customFormat="1" ht="15.6" thickBot="1">
      <c r="A83" s="1786" t="s">
        <v>3812</v>
      </c>
      <c r="B83" s="1786"/>
      <c r="C83" s="1291"/>
      <c r="D83" s="1291"/>
      <c r="E83" s="1291"/>
      <c r="F83" s="1291"/>
    </row>
    <row r="84" spans="1:12" ht="14.4" customHeight="1">
      <c r="A84" s="1338"/>
      <c r="B84" s="1815" t="s">
        <v>2564</v>
      </c>
      <c r="C84" s="1815"/>
      <c r="D84" s="1815"/>
      <c r="E84" s="1815"/>
      <c r="F84" s="1815"/>
      <c r="G84" s="1796" t="s">
        <v>2828</v>
      </c>
      <c r="H84" s="1796"/>
      <c r="I84" s="210">
        <f>(IFERROR(VLOOKUP(J84,obrotówka!$A$3:$J$1600,10,0),0))</f>
        <v>1863666.73</v>
      </c>
      <c r="J84" s="507" t="s">
        <v>372</v>
      </c>
      <c r="L84" s="507"/>
    </row>
    <row r="85" spans="1:12" ht="14.4" customHeight="1">
      <c r="A85" s="508"/>
      <c r="B85" s="1814" t="s">
        <v>3885</v>
      </c>
      <c r="C85" s="1814"/>
      <c r="D85" s="1814"/>
      <c r="E85" s="1814"/>
      <c r="F85" s="1814"/>
      <c r="G85" s="1796"/>
      <c r="H85" s="1796"/>
      <c r="I85" s="210">
        <f>(IFERROR(VLOOKUP(J85,obrotówka!$A$3:$J$1600,10,0),0))</f>
        <v>305701.52</v>
      </c>
      <c r="J85" s="509" t="s">
        <v>374</v>
      </c>
      <c r="L85" s="509"/>
    </row>
    <row r="86" spans="1:12" ht="21" thickBot="1">
      <c r="A86" s="1286"/>
      <c r="B86" s="1240" t="s">
        <v>1452</v>
      </c>
      <c r="C86" s="1240" t="s">
        <v>3602</v>
      </c>
      <c r="D86" s="1240" t="s">
        <v>1454</v>
      </c>
      <c r="E86" s="1240" t="s">
        <v>1453</v>
      </c>
      <c r="F86" s="1240" t="s">
        <v>2565</v>
      </c>
      <c r="G86" s="1796"/>
      <c r="H86" s="1796"/>
      <c r="I86" s="210">
        <f>(IFERROR(VLOOKUP(J86,obrotówka!$A$3:$J$1600,10,0),0))</f>
        <v>16080.92</v>
      </c>
      <c r="J86" s="1163" t="s">
        <v>376</v>
      </c>
      <c r="L86" s="509"/>
    </row>
    <row r="87" spans="1:12">
      <c r="A87" s="57" t="s">
        <v>1421</v>
      </c>
      <c r="B87" s="1285">
        <f>1708455.31+1501.97</f>
        <v>1709957.28</v>
      </c>
      <c r="C87" s="512">
        <f>'środki trwałe - amortyzacja '!F37</f>
        <v>313506.78999999998</v>
      </c>
      <c r="D87" s="1285">
        <v>9150.15</v>
      </c>
      <c r="E87" s="1285">
        <f>I88</f>
        <v>7690.81</v>
      </c>
      <c r="F87" s="1287">
        <f>SUM(B87:E87)</f>
        <v>2040305.03</v>
      </c>
      <c r="G87" s="1796"/>
      <c r="H87" s="1796"/>
      <c r="I87" s="210">
        <f>(IFERROR(VLOOKUP(J87,obrotówka!$A$3:$J$1600,10,0),0))</f>
        <v>2679.17</v>
      </c>
      <c r="J87" s="511" t="s">
        <v>378</v>
      </c>
      <c r="L87" s="511"/>
    </row>
    <row r="88" spans="1:12">
      <c r="A88" s="57" t="s">
        <v>1424</v>
      </c>
      <c r="B88" s="512"/>
      <c r="C88" s="512"/>
      <c r="D88" s="512"/>
      <c r="E88" s="513"/>
      <c r="F88" s="1343">
        <f>SUM(B88:E88)</f>
        <v>0</v>
      </c>
      <c r="G88" s="1796"/>
      <c r="H88" s="1796"/>
      <c r="I88" s="210">
        <f>(IFERROR(VLOOKUP(J88,obrotówka!$A$3:$J$1600,10,0),0))</f>
        <v>7690.81</v>
      </c>
      <c r="J88" s="1164" t="s">
        <v>2344</v>
      </c>
      <c r="L88" s="514"/>
    </row>
    <row r="89" spans="1:12">
      <c r="A89" s="57" t="s">
        <v>1425</v>
      </c>
      <c r="B89" s="512">
        <v>150085.32</v>
      </c>
      <c r="C89" s="512"/>
      <c r="D89" s="515">
        <v>6930.77</v>
      </c>
      <c r="E89" s="513"/>
      <c r="F89" s="1343">
        <f>SUM(B89:E89)</f>
        <v>157016.09</v>
      </c>
      <c r="G89" s="1796"/>
      <c r="H89" s="1796"/>
      <c r="I89" s="210">
        <f>(IFERROR(VLOOKUP(J89,obrotówka!$A$3:$J$1600,10,0),0))</f>
        <v>1501.97</v>
      </c>
      <c r="J89" s="511" t="s">
        <v>382</v>
      </c>
      <c r="L89" s="409"/>
    </row>
    <row r="90" spans="1:12" s="1177" customFormat="1" ht="15" thickBot="1">
      <c r="A90" s="1339" t="s">
        <v>2566</v>
      </c>
      <c r="B90" s="1340">
        <f>B89+B88+B87</f>
        <v>1860042.6</v>
      </c>
      <c r="C90" s="1340">
        <f>C89+C88+C87</f>
        <v>313506.78999999998</v>
      </c>
      <c r="D90" s="1340">
        <f>D89+D88+D87</f>
        <v>16080.92</v>
      </c>
      <c r="E90" s="1340">
        <f>E89+E88+E87</f>
        <v>7690.81</v>
      </c>
      <c r="F90" s="1340">
        <f>F89+F88+F87</f>
        <v>2197321.12</v>
      </c>
      <c r="G90" s="1796"/>
      <c r="H90" s="1796"/>
      <c r="I90" s="1282">
        <f>SUM(I84:I89)</f>
        <v>2197321.12</v>
      </c>
      <c r="J90" s="1283"/>
      <c r="K90" s="1282"/>
      <c r="L90" s="1282"/>
    </row>
    <row r="91" spans="1:12">
      <c r="A91" s="1288"/>
      <c r="B91" s="1289">
        <f>B90-I84-I85-I87+C87-I89</f>
        <v>8.8448359747417271E-11</v>
      </c>
      <c r="C91" s="1289">
        <f>C90-'środki trwałe - amortyzacja '!F37</f>
        <v>0</v>
      </c>
      <c r="D91" s="1289">
        <f>D90-I86</f>
        <v>0</v>
      </c>
      <c r="E91" s="1289">
        <f>E90-I88</f>
        <v>0</v>
      </c>
      <c r="F91" s="1289">
        <f>F90-I90</f>
        <v>0</v>
      </c>
      <c r="G91" s="1796"/>
      <c r="H91" s="1796"/>
      <c r="I91" s="517"/>
      <c r="J91" s="409"/>
      <c r="K91" s="517"/>
      <c r="L91" s="517"/>
    </row>
    <row r="92" spans="1:12" ht="15" thickBot="1">
      <c r="A92" s="1290"/>
      <c r="B92" s="1290"/>
      <c r="C92" s="1290"/>
      <c r="D92" s="1290"/>
      <c r="E92" s="1290"/>
      <c r="F92" s="1290"/>
      <c r="G92" s="1797"/>
      <c r="H92" s="1797"/>
      <c r="I92" s="1"/>
    </row>
    <row r="93" spans="1:12" s="384" customFormat="1" ht="16.2" customHeight="1">
      <c r="A93" s="1341"/>
      <c r="B93" s="1788" t="s">
        <v>2564</v>
      </c>
      <c r="C93" s="1788"/>
      <c r="D93" s="1788"/>
      <c r="E93" s="1788"/>
      <c r="F93" s="1788"/>
      <c r="G93" s="507"/>
      <c r="H93" s="507"/>
      <c r="I93" s="507"/>
      <c r="J93" s="507"/>
      <c r="K93" s="507"/>
      <c r="L93" s="507"/>
    </row>
    <row r="94" spans="1:12" s="384" customFormat="1" ht="14.4" customHeight="1">
      <c r="A94" s="518"/>
      <c r="B94" s="1787" t="s">
        <v>3650</v>
      </c>
      <c r="C94" s="1787"/>
      <c r="D94" s="1787"/>
      <c r="E94" s="1787"/>
      <c r="F94" s="1787"/>
      <c r="G94" s="509"/>
      <c r="H94" s="509"/>
      <c r="I94" s="1691"/>
      <c r="J94" s="509"/>
      <c r="K94" s="509"/>
      <c r="L94" s="509"/>
    </row>
    <row r="95" spans="1:12" s="384" customFormat="1" ht="21" thickBot="1">
      <c r="A95" s="1292"/>
      <c r="B95" s="1174" t="s">
        <v>1452</v>
      </c>
      <c r="C95" s="1174" t="s">
        <v>3602</v>
      </c>
      <c r="D95" s="1174" t="s">
        <v>1454</v>
      </c>
      <c r="E95" s="1174" t="s">
        <v>1453</v>
      </c>
      <c r="F95" s="1174" t="s">
        <v>2565</v>
      </c>
      <c r="G95" s="509"/>
      <c r="H95" s="509"/>
      <c r="I95" s="409"/>
      <c r="J95" s="409"/>
      <c r="K95" s="509"/>
      <c r="L95" s="509"/>
    </row>
    <row r="96" spans="1:12" s="384" customFormat="1">
      <c r="A96" s="1293" t="s">
        <v>1421</v>
      </c>
      <c r="B96" s="1294">
        <v>2815560.8800000004</v>
      </c>
      <c r="C96" s="1294">
        <v>424915.81</v>
      </c>
      <c r="D96" s="1294">
        <v>12197.46</v>
      </c>
      <c r="E96" s="1294">
        <v>10254.4</v>
      </c>
      <c r="F96" s="1344">
        <v>3262928.5500000003</v>
      </c>
      <c r="G96" s="1621"/>
      <c r="H96" s="510"/>
      <c r="I96" s="510"/>
      <c r="J96" s="409"/>
      <c r="K96" s="511"/>
      <c r="L96" s="511"/>
    </row>
    <row r="97" spans="1:12" s="384" customFormat="1">
      <c r="A97" s="519" t="s">
        <v>1424</v>
      </c>
      <c r="B97" s="510"/>
      <c r="C97" s="510"/>
      <c r="D97" s="510"/>
      <c r="E97" s="511"/>
      <c r="F97" s="1282">
        <v>0</v>
      </c>
      <c r="G97" s="409"/>
      <c r="H97" s="514"/>
      <c r="I97" s="514"/>
      <c r="J97" s="409"/>
      <c r="K97" s="514"/>
      <c r="L97" s="514"/>
    </row>
    <row r="98" spans="1:12" s="384" customFormat="1">
      <c r="A98" s="519" t="s">
        <v>1425</v>
      </c>
      <c r="B98" s="510">
        <v>211883.74</v>
      </c>
      <c r="C98" s="510"/>
      <c r="D98" s="516">
        <v>8793.9</v>
      </c>
      <c r="E98" s="511"/>
      <c r="F98" s="1282">
        <v>220677.63999999998</v>
      </c>
      <c r="G98" s="409"/>
      <c r="H98" s="511"/>
      <c r="I98" s="511"/>
      <c r="J98" s="409"/>
      <c r="K98" s="511"/>
      <c r="L98" s="409"/>
    </row>
    <row r="99" spans="1:12" s="1258" customFormat="1" ht="15" thickBot="1">
      <c r="A99" s="1295" t="s">
        <v>2566</v>
      </c>
      <c r="B99" s="1296">
        <v>3027444.62</v>
      </c>
      <c r="C99" s="1296">
        <v>424915.81</v>
      </c>
      <c r="D99" s="1296">
        <v>20991.360000000001</v>
      </c>
      <c r="E99" s="1296">
        <v>10254.4</v>
      </c>
      <c r="F99" s="1296">
        <v>3483606.1900000004</v>
      </c>
      <c r="G99" s="1284">
        <f>F99-'RZiS, koszty rodz.'!C215</f>
        <v>0</v>
      </c>
      <c r="H99" s="1282"/>
      <c r="I99" s="1282"/>
      <c r="J99" s="1283"/>
      <c r="K99" s="1282"/>
      <c r="L99" s="1282"/>
    </row>
    <row r="100" spans="1:12">
      <c r="A100" s="520"/>
      <c r="B100" s="517"/>
      <c r="C100" s="517"/>
      <c r="D100" s="517"/>
      <c r="E100" s="517"/>
      <c r="F100" s="409"/>
      <c r="G100" s="409"/>
      <c r="H100" s="517"/>
      <c r="I100" s="517"/>
      <c r="J100" s="409"/>
      <c r="K100" s="517"/>
      <c r="L100" s="517"/>
    </row>
    <row r="102" spans="1:12" ht="16.2" thickBot="1">
      <c r="A102" s="1230" t="s">
        <v>3813</v>
      </c>
    </row>
    <row r="103" spans="1:12">
      <c r="A103" s="1780"/>
      <c r="B103" s="1238" t="s">
        <v>2009</v>
      </c>
      <c r="C103" s="1239" t="s">
        <v>2009</v>
      </c>
    </row>
    <row r="104" spans="1:12" ht="15" thickBot="1">
      <c r="A104" s="1781"/>
      <c r="B104" s="1240" t="s">
        <v>3859</v>
      </c>
      <c r="C104" s="1241" t="s">
        <v>3649</v>
      </c>
    </row>
    <row r="105" spans="1:12">
      <c r="A105" s="57" t="s">
        <v>2567</v>
      </c>
      <c r="B105" s="16">
        <f>SUM('RZiS, koszty rodz.'!B225:B243)</f>
        <v>17893803.469999984</v>
      </c>
      <c r="C105" s="146">
        <f>SUM('RZiS, koszty rodz.'!C225:C243)</f>
        <v>16335766.359999986</v>
      </c>
    </row>
    <row r="106" spans="1:12">
      <c r="A106" s="57" t="s">
        <v>2568</v>
      </c>
      <c r="B106" s="16">
        <f>SUM('RZiS, koszty rodz.'!B255:B257)</f>
        <v>2347906.4899999988</v>
      </c>
      <c r="C106" s="146">
        <f>SUM('RZiS, koszty rodz.'!C255:C257)</f>
        <v>3233577.98</v>
      </c>
    </row>
    <row r="107" spans="1:12">
      <c r="A107" s="57" t="s">
        <v>2023</v>
      </c>
      <c r="B107" s="16">
        <f>SUM('RZiS, koszty rodz.'!B244:B254)</f>
        <v>211708.23999999993</v>
      </c>
      <c r="C107" s="146">
        <f>SUM('RZiS, koszty rodz.'!C244:C254)</f>
        <v>859916.79999999865</v>
      </c>
    </row>
    <row r="108" spans="1:12" ht="15" thickBot="1">
      <c r="A108" s="1223" t="s">
        <v>2569</v>
      </c>
      <c r="B108" s="1181">
        <f>SUM(B105:B107)</f>
        <v>20453418.199999981</v>
      </c>
      <c r="C108" s="1182">
        <f>C107+C106+C105</f>
        <v>20429261.139999986</v>
      </c>
    </row>
    <row r="109" spans="1:12" ht="15" thickTop="1">
      <c r="B109" s="201">
        <f>B108-F48</f>
        <v>0</v>
      </c>
      <c r="C109" s="201">
        <f>C108-F67</f>
        <v>0</v>
      </c>
    </row>
    <row r="111" spans="1:12" ht="15.6" thickBot="1">
      <c r="A111" s="1297" t="s">
        <v>3814</v>
      </c>
    </row>
    <row r="112" spans="1:12">
      <c r="A112" s="1780"/>
      <c r="B112" s="1238" t="s">
        <v>2009</v>
      </c>
      <c r="C112" s="1239" t="s">
        <v>2009</v>
      </c>
    </row>
    <row r="113" spans="1:3" ht="15" thickBot="1">
      <c r="A113" s="1781"/>
      <c r="B113" s="1240" t="str">
        <f>B104</f>
        <v>31 grudnia 2025</v>
      </c>
      <c r="C113" s="1241" t="str">
        <f>C104</f>
        <v>31 grudnia 2024</v>
      </c>
    </row>
    <row r="114" spans="1:3">
      <c r="A114" s="57" t="s">
        <v>2570</v>
      </c>
      <c r="B114" s="31">
        <f>SUM('RZiS, koszty rodz.'!B264:B270)</f>
        <v>1932202.8699999989</v>
      </c>
      <c r="C114" s="52">
        <f>SUM('RZiS, koszty rodz.'!C264:C270)</f>
        <v>3108296.9699999988</v>
      </c>
    </row>
    <row r="115" spans="1:3">
      <c r="A115" s="57" t="s">
        <v>2571</v>
      </c>
      <c r="B115" s="31">
        <f>SUM('RZiS, koszty rodz.'!B271:B274)</f>
        <v>3797717.0399999912</v>
      </c>
      <c r="C115" s="52">
        <f>SUM('RZiS, koszty rodz.'!C271:C274)</f>
        <v>4116836.5799999903</v>
      </c>
    </row>
    <row r="116" spans="1:3">
      <c r="A116" s="57" t="s">
        <v>2572</v>
      </c>
      <c r="B116" s="31">
        <f>SUM('RZiS, koszty rodz.'!B281:B286)+'RZiS, koszty rodz.'!B320+'RZiS, koszty rodz.'!B329+'RZiS, koszty rodz.'!B280</f>
        <v>622052.1399999999</v>
      </c>
      <c r="C116" s="52">
        <f>SUM('RZiS, koszty rodz.'!C281:C286)+'RZiS, koszty rodz.'!C320+'RZiS, koszty rodz.'!C329+'RZiS, koszty rodz.'!C280</f>
        <v>862646.23</v>
      </c>
    </row>
    <row r="117" spans="1:3">
      <c r="A117" s="57" t="s">
        <v>2829</v>
      </c>
      <c r="B117" s="31">
        <f>SUM('RZiS, koszty rodz.'!B275:B279)</f>
        <v>59914.169999999904</v>
      </c>
      <c r="C117" s="52">
        <f>SUM('RZiS, koszty rodz.'!C275:C279)</f>
        <v>81829.84</v>
      </c>
    </row>
    <row r="118" spans="1:3">
      <c r="A118" s="57" t="s">
        <v>2573</v>
      </c>
      <c r="B118" s="31">
        <f>SUM('RZiS, koszty rodz.'!B299:B307)</f>
        <v>1248577.8199999989</v>
      </c>
      <c r="C118" s="52">
        <f>SUM('RZiS, koszty rodz.'!C299:C307)</f>
        <v>1441238.50999999</v>
      </c>
    </row>
    <row r="119" spans="1:3">
      <c r="A119" s="57" t="s">
        <v>2574</v>
      </c>
      <c r="B119" s="31">
        <f>SUM('RZiS, koszty rodz.'!B287:B298)</f>
        <v>317557.14</v>
      </c>
      <c r="C119" s="52">
        <f>SUM('RZiS, koszty rodz.'!C287:C298)</f>
        <v>538866.86999999895</v>
      </c>
    </row>
    <row r="120" spans="1:3">
      <c r="A120" s="57" t="s">
        <v>2023</v>
      </c>
      <c r="B120" s="31">
        <f>SUM('RZiS, koszty rodz.'!B308:B329)-'RZiS, koszty rodz.'!B329-'RZiS, koszty rodz.'!B320</f>
        <v>18150715.809999995</v>
      </c>
      <c r="C120" s="52">
        <f>SUM('RZiS, koszty rodz.'!C308:C329)-'RZiS, koszty rodz.'!C329-'RZiS, koszty rodz.'!C320</f>
        <v>31692710.549999896</v>
      </c>
    </row>
    <row r="121" spans="1:3" s="1177" customFormat="1" ht="15" thickBot="1">
      <c r="A121" s="1223" t="s">
        <v>2575</v>
      </c>
      <c r="B121" s="1181">
        <f>SUM(B114:B120)</f>
        <v>26128736.989999983</v>
      </c>
      <c r="C121" s="1182">
        <f>SUM(C114:C120)</f>
        <v>41842425.549999878</v>
      </c>
    </row>
    <row r="122" spans="1:3" ht="15" thickTop="1">
      <c r="B122" s="201">
        <f>B121-F49</f>
        <v>0</v>
      </c>
      <c r="C122" s="201">
        <f>C121-F68</f>
        <v>0</v>
      </c>
    </row>
    <row r="124" spans="1:3" s="1177" customFormat="1" ht="15.6" thickBot="1">
      <c r="A124" s="1297" t="s">
        <v>3815</v>
      </c>
    </row>
    <row r="125" spans="1:3">
      <c r="A125" s="1780"/>
      <c r="B125" s="1238" t="s">
        <v>2009</v>
      </c>
      <c r="C125" s="1239" t="s">
        <v>2009</v>
      </c>
    </row>
    <row r="126" spans="1:3" ht="15" thickBot="1">
      <c r="A126" s="1781"/>
      <c r="B126" s="1240" t="str">
        <f>B113</f>
        <v>31 grudnia 2025</v>
      </c>
      <c r="C126" s="1241" t="str">
        <f>C113</f>
        <v>31 grudnia 2024</v>
      </c>
    </row>
    <row r="127" spans="1:3">
      <c r="A127" s="521" t="s">
        <v>3071</v>
      </c>
      <c r="B127" s="16">
        <f>'RZiS, koszty rodz.'!B331+'RZiS, koszty rodz.'!B332</f>
        <v>527922</v>
      </c>
      <c r="C127" s="146">
        <f>'RZiS, koszty rodz.'!C331+'RZiS, koszty rodz.'!C332</f>
        <v>694224</v>
      </c>
    </row>
    <row r="128" spans="1:3">
      <c r="A128" s="521" t="s">
        <v>2576</v>
      </c>
      <c r="B128" s="16">
        <f>'RZiS, koszty rodz.'!B337</f>
        <v>730716</v>
      </c>
      <c r="C128" s="146">
        <f>'RZiS, koszty rodz.'!C337</f>
        <v>869755</v>
      </c>
    </row>
    <row r="129" spans="1:7">
      <c r="A129" s="521" t="s">
        <v>2023</v>
      </c>
      <c r="B129" s="16">
        <f>'RZiS, koszty rodz.'!B330-'noty do RZiS'!B127-'noty do RZiS'!B128</f>
        <v>91036.040000000037</v>
      </c>
      <c r="C129" s="146">
        <f>'RZiS, koszty rodz.'!C330-'noty do RZiS'!C127-'noty do RZiS'!C128</f>
        <v>107594.26000000001</v>
      </c>
    </row>
    <row r="130" spans="1:7" s="1177" customFormat="1" ht="15" thickBot="1">
      <c r="A130" s="1298" t="s">
        <v>2577</v>
      </c>
      <c r="B130" s="1299">
        <f>SUM(B127:B129)</f>
        <v>1349674.04</v>
      </c>
      <c r="C130" s="1300">
        <f>SUM(C127:C129)</f>
        <v>1671573.26</v>
      </c>
    </row>
    <row r="131" spans="1:7">
      <c r="A131" s="522"/>
      <c r="B131" s="584">
        <f>B130-F50</f>
        <v>0</v>
      </c>
      <c r="C131" s="201">
        <f>C130-F69</f>
        <v>0</v>
      </c>
    </row>
    <row r="133" spans="1:7" s="1177" customFormat="1" ht="15.6" thickBot="1">
      <c r="A133" s="1795" t="s">
        <v>3816</v>
      </c>
      <c r="B133" s="1795"/>
      <c r="C133" s="1795"/>
    </row>
    <row r="134" spans="1:7">
      <c r="A134" s="1793"/>
      <c r="B134" s="1238" t="s">
        <v>2009</v>
      </c>
      <c r="C134" s="1239" t="s">
        <v>2009</v>
      </c>
    </row>
    <row r="135" spans="1:7" ht="15" thickBot="1">
      <c r="A135" s="1794"/>
      <c r="B135" s="1240" t="str">
        <f>B126</f>
        <v>31 grudnia 2025</v>
      </c>
      <c r="C135" s="1241" t="str">
        <f>C126</f>
        <v>31 grudnia 2024</v>
      </c>
    </row>
    <row r="136" spans="1:7">
      <c r="A136" s="57" t="s">
        <v>2578</v>
      </c>
      <c r="B136" s="48">
        <f>'RZiS, koszty rodz.'!B345</f>
        <v>52788789.719999842</v>
      </c>
      <c r="C136" s="477">
        <f>'RZiS, koszty rodz.'!C345</f>
        <v>68315067.209999844</v>
      </c>
      <c r="E136" s="1789" t="s">
        <v>3824</v>
      </c>
      <c r="F136" s="1789"/>
      <c r="G136" s="1789"/>
    </row>
    <row r="137" spans="1:7">
      <c r="A137" s="57" t="s">
        <v>2579</v>
      </c>
      <c r="B137" s="48">
        <f>'RZiS, koszty rodz.'!B365</f>
        <v>10189327.169999991</v>
      </c>
      <c r="C137" s="477">
        <f>'RZiS, koszty rodz.'!C365</f>
        <v>13169551.299999988</v>
      </c>
      <c r="E137" s="1157" t="s">
        <v>3749</v>
      </c>
      <c r="F137" s="1022" t="s">
        <v>3611</v>
      </c>
      <c r="G137" s="1022" t="s">
        <v>3612</v>
      </c>
    </row>
    <row r="138" spans="1:7">
      <c r="A138" s="57" t="s">
        <v>2580</v>
      </c>
      <c r="B138" s="48">
        <f>'RZiS, koszty rodz.'!B377</f>
        <v>471355.75</v>
      </c>
      <c r="C138" s="477">
        <f>'RZiS, koszty rodz.'!C377</f>
        <v>496722.2</v>
      </c>
      <c r="E138" s="1008">
        <v>631.20000000000005</v>
      </c>
      <c r="F138" s="1022">
        <v>658.4</v>
      </c>
      <c r="G138" s="1008">
        <v>653.4</v>
      </c>
    </row>
    <row r="139" spans="1:7">
      <c r="A139" s="57" t="s">
        <v>1768</v>
      </c>
      <c r="B139" s="48">
        <f>'RZiS, koszty rodz.'!B380</f>
        <v>1111135</v>
      </c>
      <c r="C139" s="477">
        <f>'RZiS, koszty rodz.'!C380</f>
        <v>1614484</v>
      </c>
    </row>
    <row r="140" spans="1:7">
      <c r="A140" s="57" t="s">
        <v>2581</v>
      </c>
      <c r="B140" s="48">
        <f>'RZiS, koszty rodz.'!B382</f>
        <v>0</v>
      </c>
      <c r="C140" s="477">
        <f>'RZiS, koszty rodz.'!C382</f>
        <v>6332.4499999999898</v>
      </c>
    </row>
    <row r="141" spans="1:7">
      <c r="A141" s="57" t="s">
        <v>2582</v>
      </c>
      <c r="B141" s="48">
        <f>'RZiS, koszty rodz.'!B385</f>
        <v>-2019593.42</v>
      </c>
      <c r="C141" s="477">
        <f>'RZiS, koszty rodz.'!C385</f>
        <v>-2832355.6799999992</v>
      </c>
    </row>
    <row r="142" spans="1:7">
      <c r="A142" s="57" t="s">
        <v>2583</v>
      </c>
      <c r="B142" s="48">
        <f>'RZiS, koszty rodz.'!B398</f>
        <v>8383314.0399999991</v>
      </c>
      <c r="C142" s="477">
        <f>'RZiS, koszty rodz.'!C398</f>
        <v>10515405.839999998</v>
      </c>
      <c r="D142" s="1167"/>
    </row>
    <row r="143" spans="1:7" ht="15" thickBot="1">
      <c r="A143" s="1223" t="s">
        <v>2584</v>
      </c>
      <c r="B143" s="1192">
        <f>SUM(B136:B142)</f>
        <v>70924328.259999841</v>
      </c>
      <c r="C143" s="1193">
        <f>SUM(C136:C142)</f>
        <v>91285207.319999844</v>
      </c>
    </row>
    <row r="144" spans="1:7" ht="15" thickTop="1">
      <c r="A144" s="57" t="s">
        <v>2585</v>
      </c>
      <c r="B144" s="48">
        <v>60931156.469999999</v>
      </c>
      <c r="C144" s="477">
        <v>78916412.099999994</v>
      </c>
      <c r="D144" s="1790" t="s">
        <v>2830</v>
      </c>
      <c r="E144" s="1790"/>
    </row>
    <row r="145" spans="1:5">
      <c r="A145" s="57" t="s">
        <v>2586</v>
      </c>
      <c r="B145" s="485"/>
      <c r="C145" s="486"/>
      <c r="D145" s="1790"/>
      <c r="E145" s="1790"/>
    </row>
    <row r="146" spans="1:5">
      <c r="A146" s="57" t="s">
        <v>2587</v>
      </c>
      <c r="B146" s="48">
        <v>9948731.4199999999</v>
      </c>
      <c r="C146" s="477">
        <v>12343819.76</v>
      </c>
      <c r="D146" s="1790"/>
      <c r="E146" s="1790"/>
    </row>
    <row r="147" spans="1:5" ht="15" thickBot="1">
      <c r="A147" s="1301" t="s">
        <v>2561</v>
      </c>
      <c r="B147" s="1302">
        <v>44440.37</v>
      </c>
      <c r="C147" s="1303">
        <v>24975.46</v>
      </c>
      <c r="D147" s="1790"/>
      <c r="E147" s="1790"/>
    </row>
    <row r="148" spans="1:5" ht="15" thickTop="1">
      <c r="B148" s="201">
        <f>B143-F51</f>
        <v>0</v>
      </c>
      <c r="C148" s="201">
        <f>C143-F70</f>
        <v>0</v>
      </c>
      <c r="D148" s="1791"/>
      <c r="E148" s="1791"/>
    </row>
    <row r="149" spans="1:5">
      <c r="B149" s="201">
        <f>B143-SUM(B144:B147)</f>
        <v>-1.6391277313232422E-7</v>
      </c>
      <c r="C149" s="201">
        <f>C143-SUM(C144:C147)</f>
        <v>-1.4901161193847656E-7</v>
      </c>
    </row>
    <row r="150" spans="1:5" s="1177" customFormat="1" ht="15.6" thickBot="1">
      <c r="A150" s="1297" t="s">
        <v>3817</v>
      </c>
    </row>
    <row r="151" spans="1:5">
      <c r="A151" s="1780"/>
      <c r="B151" s="1238" t="s">
        <v>2009</v>
      </c>
      <c r="C151" s="1239" t="s">
        <v>2009</v>
      </c>
    </row>
    <row r="152" spans="1:5" ht="15" thickBot="1">
      <c r="A152" s="1781"/>
      <c r="B152" s="1240" t="str">
        <f>B135</f>
        <v>31 grudnia 2025</v>
      </c>
      <c r="C152" s="1241" t="str">
        <f>C135</f>
        <v>31 grudnia 2024</v>
      </c>
    </row>
    <row r="153" spans="1:5">
      <c r="A153" s="521" t="s">
        <v>3072</v>
      </c>
      <c r="B153" s="16">
        <f>'RZiS, koszty rodz.'!B438+'RZiS, koszty rodz.'!B439</f>
        <v>4040.2099999999891</v>
      </c>
      <c r="C153" s="146">
        <f>'RZiS, koszty rodz.'!C438+'RZiS, koszty rodz.'!C439</f>
        <v>36508.669999999896</v>
      </c>
    </row>
    <row r="154" spans="1:5">
      <c r="A154" s="521" t="s">
        <v>2588</v>
      </c>
      <c r="B154" s="16">
        <f>'RZiS, koszty rodz.'!B440+'RZiS, koszty rodz.'!B442+'RZiS, koszty rodz.'!B441+'RZiS, koszty rodz.'!B443</f>
        <v>381340.71000000101</v>
      </c>
      <c r="C154" s="146">
        <f>'RZiS, koszty rodz.'!C440+'RZiS, koszty rodz.'!C442+'RZiS, koszty rodz.'!C441+'RZiS, koszty rodz.'!C443</f>
        <v>543507.09</v>
      </c>
    </row>
    <row r="155" spans="1:5">
      <c r="A155" s="521" t="s">
        <v>2023</v>
      </c>
      <c r="B155" s="16">
        <f>'RZiS, koszty rodz.'!B413-'noty do RZiS'!B153-'noty do RZiS'!B154</f>
        <v>381720.75999999989</v>
      </c>
      <c r="C155" s="146">
        <f>'RZiS, koszty rodz.'!C413-'noty do RZiS'!C153-'noty do RZiS'!C154</f>
        <v>251203.41999999981</v>
      </c>
    </row>
    <row r="156" spans="1:5" s="1177" customFormat="1" ht="15" thickBot="1">
      <c r="A156" s="1237" t="s">
        <v>2589</v>
      </c>
      <c r="B156" s="1178">
        <f>B155+B154+B153</f>
        <v>767101.68000000087</v>
      </c>
      <c r="C156" s="1179">
        <f>C155+C154+C153</f>
        <v>831219.1799999997</v>
      </c>
    </row>
    <row r="157" spans="1:5" ht="15" thickTop="1">
      <c r="B157" s="201">
        <f>B156-F52</f>
        <v>0</v>
      </c>
      <c r="C157" s="201">
        <f>C156-F71</f>
        <v>0</v>
      </c>
    </row>
    <row r="159" spans="1:5" s="1177" customFormat="1" ht="16.2" thickBot="1">
      <c r="A159" s="1230" t="s">
        <v>3818</v>
      </c>
    </row>
    <row r="160" spans="1:5">
      <c r="A160" s="1793"/>
      <c r="B160" s="1238" t="s">
        <v>2009</v>
      </c>
      <c r="C160" s="1239" t="s">
        <v>2009</v>
      </c>
    </row>
    <row r="161" spans="1:5" ht="15" thickBot="1">
      <c r="A161" s="1794"/>
      <c r="B161" s="1240" t="str">
        <f>B152</f>
        <v>31 grudnia 2025</v>
      </c>
      <c r="C161" s="1241" t="str">
        <f>C152</f>
        <v>31 grudnia 2024</v>
      </c>
    </row>
    <row r="162" spans="1:5" s="1177" customFormat="1">
      <c r="A162" s="1231" t="s">
        <v>2590</v>
      </c>
      <c r="B162" s="1189"/>
      <c r="C162" s="1190"/>
    </row>
    <row r="163" spans="1:5">
      <c r="A163" s="57" t="s">
        <v>2011</v>
      </c>
      <c r="B163" s="48">
        <f>'RZiS, koszty rodz.'!B106</f>
        <v>160120.72999999998</v>
      </c>
      <c r="C163" s="477">
        <f>'RZiS, koszty rodz.'!C106</f>
        <v>18535.080000000002</v>
      </c>
    </row>
    <row r="164" spans="1:5">
      <c r="A164" s="57" t="s">
        <v>2591</v>
      </c>
      <c r="B164" s="48">
        <f>'RZiS, koszty rodz.'!B129+'RZiS, koszty rodz.'!B130+'RZiS, koszty rodz.'!B127+'RZiS, koszty rodz.'!B126+'RZiS, koszty rodz.'!B124+'RZiS, koszty rodz.'!B131+'RZiS, koszty rodz.'!B125</f>
        <v>7815.7699999999886</v>
      </c>
      <c r="C164" s="477">
        <f>'RZiS, koszty rodz.'!C129+'RZiS, koszty rodz.'!C130+'RZiS, koszty rodz.'!C127+'RZiS, koszty rodz.'!C126+'RZiS, koszty rodz.'!C124+'RZiS, koszty rodz.'!C131</f>
        <v>1982.8799999999899</v>
      </c>
    </row>
    <row r="165" spans="1:5" ht="15" thickBot="1">
      <c r="A165" s="1197" t="s">
        <v>2592</v>
      </c>
      <c r="B165" s="1217"/>
      <c r="C165" s="1304"/>
    </row>
    <row r="166" spans="1:5" s="1177" customFormat="1" ht="21.6" thickTop="1" thickBot="1">
      <c r="A166" s="1305" t="s">
        <v>2593</v>
      </c>
      <c r="B166" s="1306">
        <f>B165+B164+B163</f>
        <v>167936.49999999997</v>
      </c>
      <c r="C166" s="1307">
        <f>C165+C164+C163</f>
        <v>20517.959999999992</v>
      </c>
    </row>
    <row r="167" spans="1:5" ht="15" thickTop="1">
      <c r="A167" s="57" t="s">
        <v>2594</v>
      </c>
      <c r="B167" s="69">
        <f>'RZiS, koszty rodz.'!B122+'RZiS, koszty rodz.'!B132+'RZiS, koszty rodz.'!B133</f>
        <v>0</v>
      </c>
      <c r="C167" s="506">
        <f>'RZiS, koszty rodz.'!C122+'RZiS, koszty rodz.'!C132+'RZiS, koszty rodz.'!C133</f>
        <v>74</v>
      </c>
    </row>
    <row r="168" spans="1:5" s="1177" customFormat="1" ht="15" thickBot="1">
      <c r="A168" s="1223" t="s">
        <v>2595</v>
      </c>
      <c r="B168" s="1192">
        <f>B167+B166</f>
        <v>167936.49999999997</v>
      </c>
      <c r="C168" s="1193">
        <f>C167+C166</f>
        <v>20591.959999999992</v>
      </c>
      <c r="E168" s="1187"/>
    </row>
    <row r="169" spans="1:5" ht="15" thickTop="1">
      <c r="A169" s="1308"/>
      <c r="B169" s="1309">
        <f>B168-'RZiS, koszty rodz.'!B105</f>
        <v>0</v>
      </c>
      <c r="C169" s="1309">
        <f>C168-'RZiS, koszty rodz.'!C105</f>
        <v>0</v>
      </c>
    </row>
    <row r="170" spans="1:5" ht="15" thickBot="1">
      <c r="A170" s="1342"/>
      <c r="B170" s="347">
        <f>B168-'bilans, RZiS,przepływy,kapitały'!C13</f>
        <v>0</v>
      </c>
      <c r="C170" s="347">
        <f>C168-'bilans, RZiS,przepływy,kapitały'!D13</f>
        <v>0</v>
      </c>
    </row>
    <row r="171" spans="1:5">
      <c r="A171" s="1793"/>
      <c r="B171" s="1238" t="s">
        <v>2009</v>
      </c>
      <c r="C171" s="1239" t="s">
        <v>2009</v>
      </c>
    </row>
    <row r="172" spans="1:5" ht="15" thickBot="1">
      <c r="A172" s="1794"/>
      <c r="B172" s="1240" t="str">
        <f>B161</f>
        <v>31 grudnia 2025</v>
      </c>
      <c r="C172" s="1241" t="str">
        <f>C161</f>
        <v>31 grudnia 2024</v>
      </c>
    </row>
    <row r="173" spans="1:5" s="1177" customFormat="1">
      <c r="A173" s="1310" t="s">
        <v>2596</v>
      </c>
      <c r="B173" s="1311"/>
      <c r="C173" s="1312"/>
    </row>
    <row r="174" spans="1:5">
      <c r="A174" s="1197" t="s">
        <v>2011</v>
      </c>
      <c r="B174" s="1220">
        <f>'RZiS, koszty rodz.'!B136</f>
        <v>226807.63999999902</v>
      </c>
      <c r="C174" s="1209">
        <f>'RZiS, koszty rodz.'!C136</f>
        <v>594766.39999999898</v>
      </c>
    </row>
    <row r="175" spans="1:5">
      <c r="A175" s="1197" t="s">
        <v>2597</v>
      </c>
      <c r="B175" s="1220">
        <f>'RZiS, koszty rodz.'!B155+'RZiS, koszty rodz.'!B159+'RZiS, koszty rodz.'!B160+'RZiS, koszty rodz.'!B167+'RZiS, koszty rodz.'!B168+'RZiS, koszty rodz.'!B156+'RZiS, koszty rodz.'!B157</f>
        <v>36489.4</v>
      </c>
      <c r="C175" s="1209">
        <f>'RZiS, koszty rodz.'!C155+'RZiS, koszty rodz.'!C159+'RZiS, koszty rodz.'!C160+'RZiS, koszty rodz.'!C167+'RZiS, koszty rodz.'!C168+'RZiS, koszty rodz.'!C156+'RZiS, koszty rodz.'!C157</f>
        <v>7283.8799999999974</v>
      </c>
    </row>
    <row r="176" spans="1:5">
      <c r="A176" s="1197" t="s">
        <v>2023</v>
      </c>
      <c r="B176" s="1220">
        <f>'RZiS, koszty rodz.'!B162+'RZiS, koszty rodz.'!B161</f>
        <v>234.509999999999</v>
      </c>
      <c r="C176" s="1209">
        <f>'RZiS, koszty rodz.'!C162+'RZiS, koszty rodz.'!C161</f>
        <v>314.39999999999901</v>
      </c>
    </row>
    <row r="177" spans="1:4" s="1177" customFormat="1" ht="15" thickBot="1">
      <c r="A177" s="1196" t="s">
        <v>2596</v>
      </c>
      <c r="B177" s="1313">
        <f>B176+B175+B174</f>
        <v>263531.549999999</v>
      </c>
      <c r="C177" s="1314">
        <f>C176+C175+C174</f>
        <v>602364.679999999</v>
      </c>
    </row>
    <row r="178" spans="1:4" s="1177" customFormat="1">
      <c r="A178" s="1231" t="s">
        <v>2598</v>
      </c>
      <c r="B178" s="1189">
        <f>B179+B180</f>
        <v>624666.73</v>
      </c>
      <c r="C178" s="1190">
        <f>C179+C180</f>
        <v>804892.19</v>
      </c>
    </row>
    <row r="179" spans="1:4">
      <c r="A179" s="57" t="s">
        <v>2599</v>
      </c>
      <c r="B179" s="69">
        <f>'RZiS, koszty rodz.'!B163+'RZiS, koszty rodz.'!B164</f>
        <v>622111</v>
      </c>
      <c r="C179" s="506">
        <f>'RZiS, koszty rodz.'!C163+'RZiS, koszty rodz.'!C164</f>
        <v>801321</v>
      </c>
    </row>
    <row r="180" spans="1:4" ht="15" thickBot="1">
      <c r="A180" s="1197" t="s">
        <v>2023</v>
      </c>
      <c r="B180" s="1211">
        <f>'RZiS, koszty rodz.'!B165+'RZiS, koszty rodz.'!B166+'RZiS, koszty rodz.'!B169</f>
        <v>2555.73</v>
      </c>
      <c r="C180" s="1200">
        <f>'RZiS, koszty rodz.'!C165+'RZiS, koszty rodz.'!C166+'RZiS, koszty rodz.'!C169</f>
        <v>3571.1899999999887</v>
      </c>
      <c r="D180" s="228" t="s">
        <v>3609</v>
      </c>
    </row>
    <row r="181" spans="1:4" s="1177" customFormat="1" ht="15.6" thickTop="1" thickBot="1">
      <c r="A181" s="1305" t="s">
        <v>2600</v>
      </c>
      <c r="B181" s="1306">
        <f>B178+B177</f>
        <v>888198.27999999898</v>
      </c>
      <c r="C181" s="1307">
        <f>C178+C177</f>
        <v>1407256.8699999989</v>
      </c>
      <c r="D181" s="1234">
        <f>-B181+B168</f>
        <v>-720261.77999999898</v>
      </c>
    </row>
    <row r="182" spans="1:4" ht="15" thickTop="1">
      <c r="B182" s="201">
        <f>B181-'RZiS, koszty rodz.'!B135</f>
        <v>0</v>
      </c>
      <c r="C182" s="201">
        <f>C181-'RZiS, koszty rodz.'!C135</f>
        <v>0</v>
      </c>
    </row>
    <row r="183" spans="1:4">
      <c r="B183" s="201">
        <f>B181+'bilans, RZiS,przepływy,kapitały'!C14</f>
        <v>0</v>
      </c>
      <c r="C183" s="201">
        <f>C181+'bilans, RZiS,przepływy,kapitały'!D14</f>
        <v>0</v>
      </c>
    </row>
    <row r="184" spans="1:4" s="1177" customFormat="1" ht="16.2" thickBot="1">
      <c r="A184" s="1230" t="s">
        <v>3819</v>
      </c>
    </row>
    <row r="185" spans="1:4">
      <c r="A185" s="1793"/>
      <c r="B185" s="1238" t="s">
        <v>2009</v>
      </c>
      <c r="C185" s="1239" t="s">
        <v>2009</v>
      </c>
    </row>
    <row r="186" spans="1:4" ht="15" thickBot="1">
      <c r="A186" s="1794"/>
      <c r="B186" s="1240" t="str">
        <f>B172</f>
        <v>31 grudnia 2025</v>
      </c>
      <c r="C186" s="1241" t="str">
        <f>C172</f>
        <v>31 grudnia 2024</v>
      </c>
    </row>
    <row r="187" spans="1:4" s="1177" customFormat="1">
      <c r="A187" s="1231" t="s">
        <v>2601</v>
      </c>
      <c r="B187" s="1233"/>
      <c r="C187" s="1251"/>
    </row>
    <row r="188" spans="1:4">
      <c r="A188" s="57" t="s">
        <v>2831</v>
      </c>
      <c r="B188" s="48">
        <f>'RZiS, koszty rodz.'!B31</f>
        <v>0</v>
      </c>
      <c r="C188" s="477">
        <f>'RZiS, koszty rodz.'!C31</f>
        <v>0</v>
      </c>
    </row>
    <row r="189" spans="1:4">
      <c r="A189" s="57" t="s">
        <v>2602</v>
      </c>
      <c r="B189" s="48">
        <f>'RZiS, koszty rodz.'!B39+'RZiS, koszty rodz.'!B40</f>
        <v>358307.43</v>
      </c>
      <c r="C189" s="477">
        <f>'RZiS, koszty rodz.'!C39+'RZiS, koszty rodz.'!C40</f>
        <v>3419.03999999999</v>
      </c>
    </row>
    <row r="190" spans="1:4">
      <c r="A190" s="57" t="s">
        <v>2603</v>
      </c>
      <c r="B190" s="48">
        <f>'RZiS, koszty rodz.'!B47+'RZiS, koszty rodz.'!B48+'RZiS, koszty rodz.'!B44+'RZiS, koszty rodz.'!B45+'RZiS, koszty rodz.'!B46</f>
        <v>45550.45999999989</v>
      </c>
      <c r="C190" s="477">
        <f>'RZiS, koszty rodz.'!C47+'RZiS, koszty rodz.'!C48+'RZiS, koszty rodz.'!C44+'RZiS, koszty rodz.'!C45+'RZiS, koszty rodz.'!C46</f>
        <v>76368.849999999904</v>
      </c>
    </row>
    <row r="191" spans="1:4">
      <c r="A191" s="57" t="s">
        <v>2604</v>
      </c>
      <c r="B191" s="485"/>
      <c r="C191" s="486"/>
    </row>
    <row r="192" spans="1:4">
      <c r="A192" s="57" t="s">
        <v>2605</v>
      </c>
      <c r="B192" s="48">
        <f>'RZiS, koszty rodz.'!B58</f>
        <v>0</v>
      </c>
      <c r="C192" s="477">
        <f>'RZiS, koszty rodz.'!C58</f>
        <v>0</v>
      </c>
    </row>
    <row r="193" spans="1:4">
      <c r="A193" s="57" t="s">
        <v>2606</v>
      </c>
      <c r="B193" s="48">
        <f>'RZiS, koszty rodz.'!B55</f>
        <v>49646.599999999897</v>
      </c>
      <c r="C193" s="477">
        <f>'RZiS, koszty rodz.'!C55</f>
        <v>27668.2</v>
      </c>
    </row>
    <row r="194" spans="1:4" ht="15" thickBot="1">
      <c r="A194" s="1197" t="s">
        <v>2607</v>
      </c>
      <c r="B194" s="1220">
        <f>'RZiS, koszty rodz.'!B35-'noty do RZiS'!B189-'noty do RZiS'!B190-'noty do RZiS'!B191-'noty do RZiS'!B192-'noty do RZiS'!B193</f>
        <v>6871578.4899999993</v>
      </c>
      <c r="C194" s="1209">
        <f>'RZiS, koszty rodz.'!C35-'noty do RZiS'!C189-'noty do RZiS'!C190-'noty do RZiS'!C191-'noty do RZiS'!C192-'noty do RZiS'!C193</f>
        <v>169505.62999999989</v>
      </c>
      <c r="D194" s="228"/>
    </row>
    <row r="195" spans="1:4" s="1177" customFormat="1" ht="15.6" thickTop="1" thickBot="1">
      <c r="A195" s="1305" t="s">
        <v>2608</v>
      </c>
      <c r="B195" s="1306">
        <f>SUM(B188:B194)</f>
        <v>7325082.9799999995</v>
      </c>
      <c r="C195" s="1307">
        <f>SUM(C188:C194)</f>
        <v>276961.7199999998</v>
      </c>
      <c r="D195" s="1234">
        <f>B195-C195</f>
        <v>7048121.2599999998</v>
      </c>
    </row>
    <row r="196" spans="1:4" ht="15" thickTop="1">
      <c r="B196" s="201">
        <f>B195-'RZiS, koszty rodz.'!B30</f>
        <v>0</v>
      </c>
      <c r="C196" s="201">
        <f>C195-'RZiS, koszty rodz.'!C30</f>
        <v>0</v>
      </c>
    </row>
    <row r="197" spans="1:4" ht="15" thickBot="1">
      <c r="B197" s="201">
        <f>B195-'bilans, RZiS,przepływy,kapitały'!C10</f>
        <v>0</v>
      </c>
      <c r="C197" s="201">
        <f>C195-'bilans, RZiS,przepływy,kapitały'!D10</f>
        <v>0</v>
      </c>
    </row>
    <row r="198" spans="1:4">
      <c r="A198" s="1793"/>
      <c r="B198" s="1238" t="s">
        <v>2009</v>
      </c>
      <c r="C198" s="1239" t="s">
        <v>2009</v>
      </c>
    </row>
    <row r="199" spans="1:4" ht="15" thickBot="1">
      <c r="A199" s="1794"/>
      <c r="B199" s="1240" t="str">
        <f>B186</f>
        <v>31 grudnia 2025</v>
      </c>
      <c r="C199" s="1241" t="str">
        <f>C186</f>
        <v>31 grudnia 2024</v>
      </c>
    </row>
    <row r="200" spans="1:4" s="1177" customFormat="1">
      <c r="A200" s="1231" t="s">
        <v>2609</v>
      </c>
      <c r="B200" s="1233"/>
      <c r="C200" s="1251"/>
    </row>
    <row r="201" spans="1:4">
      <c r="A201" s="57" t="s">
        <v>2610</v>
      </c>
      <c r="B201" s="48">
        <f>'RZiS, koszty rodz.'!B67</f>
        <v>0</v>
      </c>
      <c r="C201" s="477">
        <f>'RZiS, koszty rodz.'!C67</f>
        <v>0</v>
      </c>
    </row>
    <row r="202" spans="1:4">
      <c r="A202" s="57" t="s">
        <v>2611</v>
      </c>
      <c r="B202" s="48">
        <f>'RZiS, koszty rodz.'!B71+'RZiS, koszty rodz.'!B75+'RZiS, koszty rodz.'!B72+'RZiS, koszty rodz.'!B73</f>
        <v>48713.089999999902</v>
      </c>
      <c r="C202" s="477">
        <f>'RZiS, koszty rodz.'!C71+'RZiS, koszty rodz.'!C75+'RZiS, koszty rodz.'!C72+'RZiS, koszty rodz.'!C73</f>
        <v>12026.45</v>
      </c>
      <c r="D202" s="1"/>
    </row>
    <row r="203" spans="1:4">
      <c r="A203" s="57" t="s">
        <v>2612</v>
      </c>
      <c r="B203" s="48">
        <f>'RZiS, koszty rodz.'!B77+'RZiS, koszty rodz.'!B78+'RZiS, koszty rodz.'!B79</f>
        <v>6074.6799999999803</v>
      </c>
      <c r="C203" s="477">
        <f>'RZiS, koszty rodz.'!C77+'RZiS, koszty rodz.'!C78+'RZiS, koszty rodz.'!C79</f>
        <v>5143.3599999999997</v>
      </c>
    </row>
    <row r="204" spans="1:4" ht="15" thickBot="1">
      <c r="A204" s="1197" t="s">
        <v>2607</v>
      </c>
      <c r="B204" s="1220">
        <f>'RZiS, koszty rodz.'!B66-'noty do RZiS'!B201-'noty do RZiS'!B202-'noty do RZiS'!B203</f>
        <v>276332.58999999886</v>
      </c>
      <c r="C204" s="1209">
        <f>'RZiS, koszty rodz.'!C66-'noty do RZiS'!C201-'noty do RZiS'!C202-'noty do RZiS'!C203</f>
        <v>1155931.4199999997</v>
      </c>
    </row>
    <row r="205" spans="1:4" s="1177" customFormat="1" ht="15.6" thickTop="1" thickBot="1">
      <c r="A205" s="1305" t="s">
        <v>2613</v>
      </c>
      <c r="B205" s="1306">
        <f>SUM(B201:B204)</f>
        <v>331120.35999999876</v>
      </c>
      <c r="C205" s="1307">
        <f>SUM(C201:C204)</f>
        <v>1173101.2299999997</v>
      </c>
      <c r="D205" s="1187">
        <f>B205-C205</f>
        <v>-841980.87000000104</v>
      </c>
    </row>
    <row r="206" spans="1:4" ht="15" thickTop="1">
      <c r="B206" s="201">
        <f>B205-'RZiS, koszty rodz.'!B66</f>
        <v>0</v>
      </c>
      <c r="C206" s="201">
        <f>C205-'RZiS, koszty rodz.'!C66</f>
        <v>0</v>
      </c>
    </row>
    <row r="207" spans="1:4">
      <c r="B207" s="201">
        <f>B205+'bilans, RZiS,przepływy,kapitały'!C11</f>
        <v>0</v>
      </c>
      <c r="C207" s="201">
        <f>C205+'bilans, RZiS,przepływy,kapitały'!D11</f>
        <v>0</v>
      </c>
    </row>
    <row r="210" spans="1:5" s="1177" customFormat="1" ht="16.2" thickBot="1">
      <c r="A210" s="1809" t="s">
        <v>3029</v>
      </c>
      <c r="B210" s="1809"/>
      <c r="C210" s="1809"/>
    </row>
    <row r="211" spans="1:5">
      <c r="A211" s="1793"/>
      <c r="B211" s="1316" t="s">
        <v>2009</v>
      </c>
      <c r="C211" s="1317" t="s">
        <v>2009</v>
      </c>
    </row>
    <row r="212" spans="1:5" ht="15" thickBot="1">
      <c r="A212" s="1794"/>
      <c r="B212" s="1318" t="str">
        <f>B199</f>
        <v>31 grudnia 2025</v>
      </c>
      <c r="C212" s="1319" t="str">
        <f>C199</f>
        <v>31 grudnia 2024</v>
      </c>
    </row>
    <row r="213" spans="1:5" s="1177" customFormat="1">
      <c r="A213" s="1231" t="s">
        <v>3030</v>
      </c>
      <c r="B213" s="1315"/>
      <c r="C213" s="1231"/>
    </row>
    <row r="214" spans="1:5">
      <c r="A214" s="57" t="s">
        <v>3031</v>
      </c>
      <c r="B214" s="48">
        <f>-'RZiS, koszty rodz.'!B178-'RZiS, koszty rodz.'!B179</f>
        <v>-485661</v>
      </c>
      <c r="C214" s="26">
        <f>-'RZiS, koszty rodz.'!C178-'RZiS, koszty rodz.'!C179</f>
        <v>-1000738</v>
      </c>
    </row>
    <row r="215" spans="1:5">
      <c r="A215" s="642" t="s">
        <v>3032</v>
      </c>
      <c r="B215" s="71">
        <f>B214</f>
        <v>-485661</v>
      </c>
      <c r="C215" s="643">
        <f>C214</f>
        <v>-1000738</v>
      </c>
    </row>
    <row r="216" spans="1:5">
      <c r="A216" s="57" t="s">
        <v>1436</v>
      </c>
      <c r="B216" s="48">
        <f>-'RZiS, koszty rodz.'!B180-'RZiS, koszty rodz.'!B181</f>
        <v>-1422800.01</v>
      </c>
      <c r="C216" s="26">
        <f>-'RZiS, koszty rodz.'!C180-'RZiS, koszty rodz.'!C181</f>
        <v>-3969596.39</v>
      </c>
    </row>
    <row r="217" spans="1:5" s="1177" customFormat="1" ht="15" thickBot="1">
      <c r="A217" s="1223" t="s">
        <v>3033</v>
      </c>
      <c r="B217" s="1192">
        <f>B216+B215</f>
        <v>-1908461.01</v>
      </c>
      <c r="C217" s="1224">
        <f>C216+C215</f>
        <v>-4970334.3900000006</v>
      </c>
    </row>
    <row r="218" spans="1:5" s="1177" customFormat="1" ht="21" thickTop="1">
      <c r="A218" s="1231" t="s">
        <v>3034</v>
      </c>
      <c r="B218" s="1233"/>
      <c r="C218" s="1320"/>
    </row>
    <row r="219" spans="1:5">
      <c r="A219" s="165" t="s">
        <v>3035</v>
      </c>
      <c r="B219" s="69">
        <f>'bilans, RZiS,przepływy,kapitały'!C26</f>
        <v>0</v>
      </c>
      <c r="C219" s="74">
        <f>'bilans, RZiS,przepływy,kapitały'!D26</f>
        <v>-34328.21</v>
      </c>
    </row>
    <row r="220" spans="1:5" s="1177" customFormat="1" ht="21" thickBot="1">
      <c r="A220" s="1246" t="s">
        <v>3036</v>
      </c>
      <c r="B220" s="1214">
        <f>B219</f>
        <v>0</v>
      </c>
      <c r="C220" s="1323">
        <f>C219</f>
        <v>-34328.21</v>
      </c>
    </row>
    <row r="221" spans="1:5" ht="15.6" thickTop="1" thickBot="1">
      <c r="A221" s="1324"/>
      <c r="B221" s="1325">
        <f>B220+B217-'bilans, RZiS,przepływy,kapitały'!F26</f>
        <v>0</v>
      </c>
      <c r="C221" s="1325">
        <f>C220+C217-'bilans, RZiS,przepływy,kapitały'!G26</f>
        <v>0</v>
      </c>
    </row>
    <row r="222" spans="1:5" s="1177" customFormat="1" ht="16.8" thickTop="1" thickBot="1">
      <c r="A222" s="1326" t="s">
        <v>3037</v>
      </c>
      <c r="B222" s="1327"/>
      <c r="C222" s="1327"/>
    </row>
    <row r="223" spans="1:5" ht="15.6" thickTop="1" thickBot="1">
      <c r="A223" s="1802"/>
      <c r="B223" s="1328" t="s">
        <v>2009</v>
      </c>
      <c r="C223" s="1329" t="s">
        <v>2009</v>
      </c>
      <c r="E223" s="384"/>
    </row>
    <row r="224" spans="1:5" ht="15.6" thickTop="1" thickBot="1">
      <c r="A224" s="1802"/>
      <c r="B224" s="1330" t="str">
        <f>B212</f>
        <v>31 grudnia 2025</v>
      </c>
      <c r="C224" s="1331" t="str">
        <f>C212</f>
        <v>31 grudnia 2024</v>
      </c>
      <c r="E224" s="384"/>
    </row>
    <row r="225" spans="1:7" s="1177" customFormat="1" ht="15" thickTop="1">
      <c r="A225" s="1231" t="s">
        <v>3038</v>
      </c>
      <c r="B225" s="1189">
        <f>'bilans, RZiS,przepływy,kapitały'!C15</f>
        <v>9827693.7999999989</v>
      </c>
      <c r="C225" s="1320">
        <v>5209476.4500009669</v>
      </c>
      <c r="D225" s="1730" t="s">
        <v>3783</v>
      </c>
      <c r="E225" s="1258"/>
    </row>
    <row r="226" spans="1:7" ht="20.399999999999999">
      <c r="A226" s="165" t="s">
        <v>3039</v>
      </c>
      <c r="B226" s="69">
        <f>ROUND(B225*19%,0)</f>
        <v>1867262</v>
      </c>
      <c r="C226" s="26">
        <v>989801</v>
      </c>
      <c r="D226" s="1730"/>
      <c r="E226" s="384"/>
    </row>
    <row r="227" spans="1:7" s="1177" customFormat="1">
      <c r="A227" s="1231" t="s">
        <v>3040</v>
      </c>
      <c r="B227" s="1195"/>
      <c r="C227" s="1321"/>
      <c r="D227" s="1730"/>
      <c r="E227" s="1258"/>
      <c r="G227" s="1187"/>
    </row>
    <row r="228" spans="1:7">
      <c r="A228" s="165" t="s">
        <v>3041</v>
      </c>
      <c r="B228" s="69">
        <v>-47774</v>
      </c>
      <c r="C228" s="26">
        <v>-29850</v>
      </c>
      <c r="D228" s="1730"/>
      <c r="E228" s="384"/>
    </row>
    <row r="229" spans="1:7">
      <c r="A229" s="165" t="s">
        <v>3042</v>
      </c>
      <c r="B229" s="69">
        <v>-11380.8</v>
      </c>
      <c r="C229" s="26">
        <v>0</v>
      </c>
      <c r="D229" s="1730"/>
      <c r="E229" s="384"/>
      <c r="F229" s="1167"/>
    </row>
    <row r="230" spans="1:7">
      <c r="A230" s="165" t="s">
        <v>3043</v>
      </c>
      <c r="B230" s="69">
        <v>261028.71</v>
      </c>
      <c r="C230" s="26">
        <v>264387.11</v>
      </c>
      <c r="D230" s="1730"/>
      <c r="E230" s="384"/>
    </row>
    <row r="231" spans="1:7" ht="13.8" customHeight="1">
      <c r="A231" s="165" t="s">
        <v>2023</v>
      </c>
      <c r="B231" s="69">
        <v>-160674.9</v>
      </c>
      <c r="C231" s="26">
        <v>3745996.28</v>
      </c>
      <c r="D231" s="1730"/>
      <c r="E231" s="384"/>
    </row>
    <row r="232" spans="1:7" s="1177" customFormat="1">
      <c r="A232" s="1231" t="s">
        <v>3044</v>
      </c>
      <c r="B232" s="1810">
        <f>SUM(B226:B231)</f>
        <v>1908461.01</v>
      </c>
      <c r="C232" s="1811">
        <f>SUM(C226:C231)</f>
        <v>4970334.3899999997</v>
      </c>
      <c r="D232" s="1730"/>
      <c r="E232" s="1258"/>
    </row>
    <row r="233" spans="1:7" s="1177" customFormat="1">
      <c r="A233" s="1231" t="s">
        <v>3045</v>
      </c>
      <c r="B233" s="1810"/>
      <c r="C233" s="1811"/>
      <c r="D233" s="1730"/>
      <c r="E233" s="1258"/>
    </row>
    <row r="234" spans="1:7" s="1177" customFormat="1" ht="15" thickBot="1">
      <c r="A234" s="1223" t="s">
        <v>3046</v>
      </c>
      <c r="B234" s="1332">
        <f>B232/B225</f>
        <v>0.19419215218121674</v>
      </c>
      <c r="C234" s="1333">
        <f>C232/C225</f>
        <v>0.95409479967974076</v>
      </c>
      <c r="D234" s="1730"/>
      <c r="E234" s="1322">
        <f>(IFERROR(VLOOKUP(G234,obrotówka!$A$3:$J$1600,10,0),0))</f>
        <v>623065.75</v>
      </c>
      <c r="F234" s="1322">
        <f>(IFERROR(VLOOKUP(G234,obrotówka!$A$3:$J$1600,3,0),0))</f>
        <v>613207.68999999901</v>
      </c>
      <c r="G234" s="1252" t="s">
        <v>687</v>
      </c>
    </row>
    <row r="235" spans="1:7" ht="15" thickTop="1">
      <c r="A235" s="481"/>
      <c r="B235" s="644">
        <f>B232+'bilans, RZiS,przepływy,kapitały'!C17+'bilans, RZiS,przepływy,kapitały'!C16</f>
        <v>0</v>
      </c>
      <c r="C235" s="644">
        <f>C232+'bilans, RZiS,przepływy,kapitały'!D17+'bilans, RZiS,przepływy,kapitały'!D16</f>
        <v>0</v>
      </c>
      <c r="E235" s="210">
        <f>(IFERROR(VLOOKUP(G235,obrotówka!$A$3:$J$1600,10,0),0))</f>
        <v>522089.91999999899</v>
      </c>
      <c r="F235" s="210">
        <f>(IFERROR(VLOOKUP(G235,obrotówka!$A$3:$J$1600,3,0),0))</f>
        <v>303701.25</v>
      </c>
      <c r="G235" s="228" t="s">
        <v>689</v>
      </c>
    </row>
    <row r="236" spans="1:7" s="1177" customFormat="1" ht="15.6" thickBot="1">
      <c r="A236" s="1297" t="s">
        <v>3820</v>
      </c>
      <c r="E236" s="1322">
        <f>(IFERROR(VLOOKUP(G236,obrotówka!$A$3:$J$1600,10,0),0))</f>
        <v>169453.269999999</v>
      </c>
      <c r="F236" s="1322">
        <f>(IFERROR(VLOOKUP(G236,obrotówka!$A$3:$J$1600,3,0),0))</f>
        <v>220508.739999999</v>
      </c>
      <c r="G236" s="1252" t="s">
        <v>691</v>
      </c>
    </row>
    <row r="237" spans="1:7">
      <c r="A237" s="1793"/>
      <c r="B237" s="1316" t="s">
        <v>1449</v>
      </c>
      <c r="C237" s="1317" t="s">
        <v>1449</v>
      </c>
      <c r="E237" s="210">
        <f>(IFERROR(VLOOKUP(G237,obrotówka!$A$3:$J$1600,10,0),0))</f>
        <v>2078019.3799999901</v>
      </c>
      <c r="F237" s="210">
        <f>(IFERROR(VLOOKUP(G237,obrotówka!$A$3:$J$1600,3,0),0))</f>
        <v>2126232.83</v>
      </c>
      <c r="G237" s="228" t="s">
        <v>693</v>
      </c>
    </row>
    <row r="238" spans="1:7" ht="15" thickBot="1">
      <c r="A238" s="1794"/>
      <c r="B238" s="1318" t="str">
        <f>B224</f>
        <v>31 grudnia 2025</v>
      </c>
      <c r="C238" s="1319" t="str">
        <f>C224</f>
        <v>31 grudnia 2024</v>
      </c>
      <c r="E238" s="210">
        <f>(IFERROR(VLOOKUP(G238,obrotówka!$A$3:$J$1600,10,0),0))</f>
        <v>607588.34999999905</v>
      </c>
      <c r="F238" s="210">
        <f>(IFERROR(VLOOKUP(G238,obrotówka!$A$3:$J$1600,3,0),0))</f>
        <v>770200.98999999894</v>
      </c>
      <c r="G238" s="228" t="s">
        <v>695</v>
      </c>
    </row>
    <row r="239" spans="1:7" ht="20.399999999999999">
      <c r="A239" s="57" t="s">
        <v>3047</v>
      </c>
      <c r="B239" s="69">
        <f>E234</f>
        <v>623065.75</v>
      </c>
      <c r="C239" s="26">
        <v>613207.68999999901</v>
      </c>
      <c r="D239" s="863"/>
      <c r="E239" s="210">
        <f>(IFERROR(VLOOKUP(G239,obrotówka!$A$3:$J$1600,10,0),0))</f>
        <v>429457.53999999899</v>
      </c>
      <c r="F239" s="210">
        <f>(IFERROR(VLOOKUP(G239,obrotówka!$A$3:$J$1600,3,0),0))</f>
        <v>429457.53999999899</v>
      </c>
      <c r="G239" s="228" t="s">
        <v>697</v>
      </c>
    </row>
    <row r="240" spans="1:7">
      <c r="A240" s="57" t="s">
        <v>3048</v>
      </c>
      <c r="B240" s="69">
        <f>E242</f>
        <v>19181.32</v>
      </c>
      <c r="C240" s="26">
        <v>28555.18</v>
      </c>
      <c r="D240" s="863"/>
      <c r="E240" s="210">
        <f>(IFERROR(VLOOKUP(G240,obrotówka!$A$3:$J$1600,10,0),0))</f>
        <v>80853.419999999896</v>
      </c>
      <c r="F240" s="210">
        <f>(IFERROR(VLOOKUP(G240,obrotówka!$A$3:$J$1600,3,0),0))</f>
        <v>80853.419999999896</v>
      </c>
      <c r="G240" s="228" t="s">
        <v>707</v>
      </c>
    </row>
    <row r="241" spans="1:7" ht="20.399999999999999">
      <c r="A241" s="57" t="s">
        <v>3049</v>
      </c>
      <c r="B241" s="69">
        <f>E241</f>
        <v>3372752.43</v>
      </c>
      <c r="C241" s="26">
        <v>3383597.79</v>
      </c>
      <c r="D241" s="863"/>
      <c r="E241" s="210">
        <f>(IFERROR(VLOOKUP(G241,obrotówka!$A$3:$J$1600,10,0),0))</f>
        <v>3372752.43</v>
      </c>
      <c r="F241" s="210">
        <f>(IFERROR(VLOOKUP(G241,obrotówka!$A$3:$J$1600,3,0),0))</f>
        <v>3383597.79</v>
      </c>
      <c r="G241" s="228" t="s">
        <v>699</v>
      </c>
    </row>
    <row r="242" spans="1:7">
      <c r="A242" s="57" t="s">
        <v>3050</v>
      </c>
      <c r="B242" s="69">
        <f>E243</f>
        <v>185309.97</v>
      </c>
      <c r="C242" s="26">
        <v>240788.7</v>
      </c>
      <c r="D242" s="863"/>
      <c r="E242" s="210">
        <f>(IFERROR(VLOOKUP(G242,obrotówka!$A$3:$J$1600,10,0),0))</f>
        <v>19181.32</v>
      </c>
      <c r="F242" s="210">
        <f>(IFERROR(VLOOKUP(G242,obrotówka!$A$3:$J$1600,3,0),0))</f>
        <v>28555.18</v>
      </c>
      <c r="G242" s="228" t="s">
        <v>700</v>
      </c>
    </row>
    <row r="243" spans="1:7">
      <c r="A243" s="57" t="s">
        <v>3051</v>
      </c>
      <c r="B243" s="69">
        <f>E236+E249+E250+E237+E238+E239+E244</f>
        <v>3667020.9999999865</v>
      </c>
      <c r="C243" s="26">
        <v>5180725.4799999958</v>
      </c>
      <c r="D243" s="863"/>
      <c r="E243" s="210">
        <f>(IFERROR(VLOOKUP(G243,obrotówka!$A$3:$J$1600,10,0),0))</f>
        <v>185309.97</v>
      </c>
      <c r="F243" s="210">
        <f>(IFERROR(VLOOKUP(G243,obrotówka!$A$3:$J$1600,3,0),0))</f>
        <v>240788.7</v>
      </c>
      <c r="G243" s="228" t="s">
        <v>702</v>
      </c>
    </row>
    <row r="244" spans="1:7">
      <c r="A244" s="57" t="s">
        <v>2689</v>
      </c>
      <c r="B244" s="69">
        <f>E246</f>
        <v>626987.56000000006</v>
      </c>
      <c r="C244" s="26">
        <v>668904.46999999904</v>
      </c>
      <c r="D244" s="863"/>
      <c r="E244" s="210">
        <f>(IFERROR(VLOOKUP(G244,obrotówka!$A$3:$J$1600,10,0),0))</f>
        <v>13675.08</v>
      </c>
      <c r="F244" s="210">
        <f>(IFERROR(VLOOKUP(G244,obrotówka!$A$3:$J$1600,3,0),0))</f>
        <v>1265498</v>
      </c>
      <c r="G244" s="228" t="s">
        <v>703</v>
      </c>
    </row>
    <row r="245" spans="1:7">
      <c r="A245" s="57" t="s">
        <v>3052</v>
      </c>
      <c r="B245" s="69">
        <f>E235+E240</f>
        <v>602943.33999999892</v>
      </c>
      <c r="C245" s="26">
        <v>384554.66999999993</v>
      </c>
      <c r="D245" s="863"/>
      <c r="E245" s="210">
        <f>(IFERROR(VLOOKUP(G245,obrotówka!$A$3:$J$1600,10,0),0))</f>
        <v>0</v>
      </c>
      <c r="F245" s="210">
        <f>(IFERROR(VLOOKUP(G245,obrotówka!$A$3:$J$1600,3,0),0))</f>
        <v>0</v>
      </c>
      <c r="G245" s="228" t="s">
        <v>3359</v>
      </c>
    </row>
    <row r="246" spans="1:7">
      <c r="A246" s="57" t="s">
        <v>3053</v>
      </c>
      <c r="B246" s="69">
        <f>E248</f>
        <v>1340486.77</v>
      </c>
      <c r="C246" s="26">
        <v>1385112.9199999899</v>
      </c>
      <c r="D246" s="863"/>
      <c r="E246" s="210">
        <f>(IFERROR(VLOOKUP(G246,obrotówka!$A$3:$J$1600,10,0),0))</f>
        <v>626987.56000000006</v>
      </c>
      <c r="F246" s="210">
        <f>(IFERROR(VLOOKUP(G246,obrotówka!$A$3:$J$1600,3,0),0))</f>
        <v>668904.46999999904</v>
      </c>
      <c r="G246" s="228" t="s">
        <v>705</v>
      </c>
    </row>
    <row r="247" spans="1:7">
      <c r="A247" s="57" t="s">
        <v>3458</v>
      </c>
      <c r="B247" s="69">
        <f>E245</f>
        <v>0</v>
      </c>
      <c r="C247" s="26">
        <v>0</v>
      </c>
      <c r="D247" s="863"/>
      <c r="E247" s="210">
        <f>(IFERROR(VLOOKUP(G247,obrotówka!$A$3:$J$1600,10,0),0))</f>
        <v>0</v>
      </c>
      <c r="F247" s="210">
        <f>(IFERROR(VLOOKUP(G247,obrotówka!$A$3:$J$1600,3,0),0))</f>
        <v>0</v>
      </c>
      <c r="G247" s="228" t="s">
        <v>708</v>
      </c>
    </row>
    <row r="248" spans="1:7">
      <c r="A248" s="57" t="s">
        <v>2023</v>
      </c>
      <c r="B248" s="69">
        <f>E247</f>
        <v>0</v>
      </c>
      <c r="C248" s="26">
        <v>0</v>
      </c>
      <c r="D248" s="863"/>
      <c r="E248" s="210">
        <f>(IFERROR(VLOOKUP(G248,obrotówka!$A$3:$J$1600,10,0),0))</f>
        <v>1340486.77</v>
      </c>
      <c r="F248" s="210">
        <f>(IFERROR(VLOOKUP(G248,obrotówka!$A$3:$J$1600,3,0),0))</f>
        <v>1385112.9199999899</v>
      </c>
      <c r="G248" s="228" t="s">
        <v>709</v>
      </c>
    </row>
    <row r="249" spans="1:7" s="1177" customFormat="1" ht="15" thickBot="1">
      <c r="A249" s="1223" t="s">
        <v>3054</v>
      </c>
      <c r="B249" s="1192">
        <f>SUM(B239:B248)</f>
        <v>10437748.139999986</v>
      </c>
      <c r="C249" s="1224">
        <v>11885446.899999985</v>
      </c>
      <c r="D249" s="1334"/>
      <c r="E249" s="1322">
        <f>(IFERROR(VLOOKUP(G249,obrotówka!$A$3:$J$1600,10,0),0))</f>
        <v>78513.149999999907</v>
      </c>
      <c r="F249" s="1322">
        <f>(IFERROR(VLOOKUP(G249,obrotówka!$A$3:$J$1600,3,0),0))</f>
        <v>78513.149999999907</v>
      </c>
      <c r="G249" s="1252" t="s">
        <v>711</v>
      </c>
    </row>
    <row r="250" spans="1:7" ht="15" thickTop="1">
      <c r="B250" s="201">
        <f>B249-SUM(E234:E250)</f>
        <v>0</v>
      </c>
      <c r="C250" s="201">
        <f>C249-SUM(F234:F250)</f>
        <v>0</v>
      </c>
      <c r="E250" s="210">
        <f>(IFERROR(VLOOKUP(G250,obrotówka!$A$3:$J$1600,10,0),0))</f>
        <v>290314.22999999899</v>
      </c>
      <c r="F250" s="210">
        <f>(IFERROR(VLOOKUP(G250,obrotówka!$A$3:$J$1600,3,0),0))</f>
        <v>290314.22999999899</v>
      </c>
      <c r="G250" s="228" t="s">
        <v>713</v>
      </c>
    </row>
    <row r="251" spans="1:7">
      <c r="E251" s="384"/>
    </row>
    <row r="252" spans="1:7" s="1177" customFormat="1" ht="31.2" thickBot="1">
      <c r="A252" s="1297" t="s">
        <v>3821</v>
      </c>
      <c r="E252" s="1258"/>
    </row>
    <row r="253" spans="1:7">
      <c r="A253" s="1793"/>
      <c r="B253" s="1316" t="s">
        <v>1449</v>
      </c>
      <c r="C253" s="1317" t="s">
        <v>1449</v>
      </c>
      <c r="D253" s="863"/>
      <c r="E253" s="863"/>
    </row>
    <row r="254" spans="1:7" ht="15" thickBot="1">
      <c r="A254" s="1794"/>
      <c r="B254" s="1318" t="str">
        <f>B238</f>
        <v>31 grudnia 2025</v>
      </c>
      <c r="C254" s="1319" t="str">
        <f>C238</f>
        <v>31 grudnia 2024</v>
      </c>
      <c r="D254" s="863"/>
      <c r="E254" s="863"/>
    </row>
    <row r="255" spans="1:7" ht="20.399999999999999">
      <c r="A255" s="57" t="s">
        <v>3055</v>
      </c>
      <c r="B255" s="69">
        <f>-E258</f>
        <v>1365278.97</v>
      </c>
      <c r="C255" s="26">
        <v>1404017.09</v>
      </c>
      <c r="D255" s="863"/>
      <c r="E255" s="863"/>
    </row>
    <row r="256" spans="1:7" ht="20.399999999999999">
      <c r="A256" s="57" t="s">
        <v>3056</v>
      </c>
      <c r="B256" s="69"/>
      <c r="C256" s="26"/>
      <c r="D256" s="863"/>
      <c r="E256" s="863"/>
    </row>
    <row r="257" spans="1:7" ht="20.399999999999999">
      <c r="A257" s="57" t="s">
        <v>3057</v>
      </c>
      <c r="B257" s="69"/>
      <c r="C257" s="26"/>
      <c r="D257" s="863"/>
      <c r="E257" s="863"/>
    </row>
    <row r="258" spans="1:7">
      <c r="A258" s="57" t="s">
        <v>3058</v>
      </c>
      <c r="B258" s="69">
        <f>-E262</f>
        <v>2410214.6699999901</v>
      </c>
      <c r="C258" s="26">
        <v>2357723.5899999901</v>
      </c>
      <c r="D258" s="863"/>
      <c r="E258" s="210">
        <f>(IFERROR(VLOOKUP(G258,obrotówka!$A$3:$J$1600,10,0),0))</f>
        <v>-1365278.97</v>
      </c>
      <c r="F258" s="210">
        <f>(IFERROR(VLOOKUP(G258,obrotówka!$A$3:$J$1600,3,0),0))</f>
        <v>-1404017.09</v>
      </c>
      <c r="G258" s="228" t="s">
        <v>868</v>
      </c>
    </row>
    <row r="259" spans="1:7">
      <c r="A259" s="57" t="s">
        <v>3059</v>
      </c>
      <c r="B259" s="69">
        <f>-E260</f>
        <v>299889.609999999</v>
      </c>
      <c r="C259" s="26">
        <v>286853.83</v>
      </c>
      <c r="D259" s="863"/>
      <c r="E259" s="210">
        <f>(IFERROR(VLOOKUP(G259,obrotówka!$A$3:$J$1600,10,0),0))</f>
        <v>-5545.7799999999897</v>
      </c>
      <c r="F259" s="210">
        <f>(IFERROR(VLOOKUP(G259,obrotówka!$A$3:$J$1600,3,0),0))</f>
        <v>-712.42999999999904</v>
      </c>
      <c r="G259" s="228" t="s">
        <v>870</v>
      </c>
    </row>
    <row r="260" spans="1:7">
      <c r="A260" s="57" t="s">
        <v>3053</v>
      </c>
      <c r="B260" s="69">
        <f>-E261</f>
        <v>1186631.3500000001</v>
      </c>
      <c r="C260" s="26">
        <v>1243152.1899999899</v>
      </c>
      <c r="D260" s="863"/>
      <c r="E260" s="210">
        <f>(IFERROR(VLOOKUP(G260,obrotówka!$A$3:$J$1600,10,0),0))</f>
        <v>-299889.609999999</v>
      </c>
      <c r="F260" s="210">
        <f>(IFERROR(VLOOKUP(G260,obrotówka!$A$3:$J$1600,3,0),0))</f>
        <v>-286853.83</v>
      </c>
      <c r="G260" s="228" t="s">
        <v>872</v>
      </c>
    </row>
    <row r="261" spans="1:7">
      <c r="A261" s="57" t="s">
        <v>2607</v>
      </c>
      <c r="B261" s="69">
        <f>-E259</f>
        <v>5545.7799999999897</v>
      </c>
      <c r="C261" s="26">
        <v>712.42999999999904</v>
      </c>
      <c r="D261" s="863"/>
      <c r="E261" s="210">
        <f>(IFERROR(VLOOKUP(G261,obrotówka!$A$3:$J$1600,10,0),0))</f>
        <v>-1186631.3500000001</v>
      </c>
      <c r="F261" s="210">
        <f>(IFERROR(VLOOKUP(G261,obrotówka!$A$3:$J$1600,3,0),0))</f>
        <v>-1243152.1899999899</v>
      </c>
      <c r="G261" s="228" t="s">
        <v>874</v>
      </c>
    </row>
    <row r="262" spans="1:7" ht="15" thickBot="1">
      <c r="A262" s="1223" t="s">
        <v>3060</v>
      </c>
      <c r="B262" s="1192">
        <f>SUM(B255:B261)</f>
        <v>5267560.3799999896</v>
      </c>
      <c r="C262" s="1224">
        <v>5292459.1299999803</v>
      </c>
      <c r="D262" s="863"/>
      <c r="E262" s="210">
        <f>(IFERROR(VLOOKUP(G262,obrotówka!$A$3:$J$1600,10,0),0))</f>
        <v>-2410214.6699999901</v>
      </c>
      <c r="F262" s="210">
        <f>(IFERROR(VLOOKUP(G262,obrotówka!$A$3:$J$1600,3,0),0))</f>
        <v>-2357723.5899999901</v>
      </c>
      <c r="G262" s="228" t="s">
        <v>876</v>
      </c>
    </row>
    <row r="263" spans="1:7" ht="15" thickTop="1">
      <c r="B263" s="201">
        <f>B262+SUM(E258:E262)</f>
        <v>0</v>
      </c>
      <c r="C263" s="201">
        <f>C262+SUM(F258:F262)</f>
        <v>0</v>
      </c>
      <c r="E263" s="384"/>
    </row>
    <row r="264" spans="1:7" ht="15" thickBot="1">
      <c r="E264" s="384"/>
    </row>
    <row r="265" spans="1:7" s="1177" customFormat="1">
      <c r="A265" s="1808" t="s">
        <v>3061</v>
      </c>
      <c r="B265" s="1808"/>
      <c r="C265" s="1808"/>
      <c r="E265" s="1258"/>
    </row>
    <row r="266" spans="1:7">
      <c r="A266" s="1197" t="s">
        <v>3062</v>
      </c>
      <c r="B266" s="1211">
        <f>IF(B249-B262&gt;0,B249-B262,"")</f>
        <v>5170187.7599999961</v>
      </c>
      <c r="C266" s="1206">
        <f>IF(C249-C262&gt;0,C249-C262,"")</f>
        <v>6592987.7700000051</v>
      </c>
      <c r="E266" s="384"/>
    </row>
    <row r="267" spans="1:7" ht="15" thickBot="1">
      <c r="A267" s="1335" t="s">
        <v>3063</v>
      </c>
      <c r="B267" s="1336"/>
      <c r="C267" s="1337"/>
      <c r="E267" s="384"/>
    </row>
    <row r="268" spans="1:7">
      <c r="B268" s="201">
        <f>B266-'bilans, RZiS,przepływy,kapitały'!C47</f>
        <v>0</v>
      </c>
      <c r="C268" s="201">
        <f>C266-'bilans, RZiS,przepływy,kapitały'!D47</f>
        <v>0</v>
      </c>
    </row>
    <row r="269" spans="1:7">
      <c r="B269" s="201">
        <f>B267-'bilans, RZiS,przepływy,kapitały'!C68</f>
        <v>0</v>
      </c>
      <c r="C269" s="201">
        <f>C267-'bilans, RZiS,przepływy,kapitały'!D68</f>
        <v>0</v>
      </c>
    </row>
  </sheetData>
  <mergeCells count="62">
    <mergeCell ref="A37:E37"/>
    <mergeCell ref="A41:E41"/>
    <mergeCell ref="E44:E45"/>
    <mergeCell ref="A40:E40"/>
    <mergeCell ref="B85:F85"/>
    <mergeCell ref="B84:F84"/>
    <mergeCell ref="A43:B43"/>
    <mergeCell ref="A44:A45"/>
    <mergeCell ref="B44:B45"/>
    <mergeCell ref="C44:C45"/>
    <mergeCell ref="D44:D45"/>
    <mergeCell ref="E63:E64"/>
    <mergeCell ref="A265:C265"/>
    <mergeCell ref="A210:C210"/>
    <mergeCell ref="A211:A212"/>
    <mergeCell ref="A223:A224"/>
    <mergeCell ref="B232:B233"/>
    <mergeCell ref="C232:C233"/>
    <mergeCell ref="A237:A238"/>
    <mergeCell ref="A253:A254"/>
    <mergeCell ref="A2:C2"/>
    <mergeCell ref="A3:A4"/>
    <mergeCell ref="A8:A10"/>
    <mergeCell ref="A11:A13"/>
    <mergeCell ref="A17:A18"/>
    <mergeCell ref="B17:B18"/>
    <mergeCell ref="C17:C18"/>
    <mergeCell ref="D5:E12"/>
    <mergeCell ref="D13:E13"/>
    <mergeCell ref="E27:E28"/>
    <mergeCell ref="D17:D18"/>
    <mergeCell ref="E17:E18"/>
    <mergeCell ref="A26:F26"/>
    <mergeCell ref="A27:A28"/>
    <mergeCell ref="B27:B28"/>
    <mergeCell ref="C27:C28"/>
    <mergeCell ref="D27:D28"/>
    <mergeCell ref="E136:G136"/>
    <mergeCell ref="D144:E147"/>
    <mergeCell ref="D225:D234"/>
    <mergeCell ref="D148:E148"/>
    <mergeCell ref="A38:E38"/>
    <mergeCell ref="A39:E39"/>
    <mergeCell ref="A185:A186"/>
    <mergeCell ref="A198:A199"/>
    <mergeCell ref="A125:A126"/>
    <mergeCell ref="A133:C133"/>
    <mergeCell ref="A134:A135"/>
    <mergeCell ref="A151:A152"/>
    <mergeCell ref="A160:A161"/>
    <mergeCell ref="A171:A172"/>
    <mergeCell ref="G84:H91"/>
    <mergeCell ref="G92:H92"/>
    <mergeCell ref="A112:A113"/>
    <mergeCell ref="A63:A64"/>
    <mergeCell ref="B63:B64"/>
    <mergeCell ref="C63:C64"/>
    <mergeCell ref="D63:D64"/>
    <mergeCell ref="A103:A104"/>
    <mergeCell ref="A83:B83"/>
    <mergeCell ref="B94:F94"/>
    <mergeCell ref="B93:F9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278"/>
  <sheetViews>
    <sheetView zoomScale="120" zoomScaleNormal="120" workbookViewId="0">
      <pane xSplit="1" ySplit="3" topLeftCell="B241" activePane="bottomRight" state="frozen"/>
      <selection activeCell="D187" sqref="D187"/>
      <selection pane="topRight" activeCell="D187" sqref="D187"/>
      <selection pane="bottomLeft" activeCell="D187" sqref="D187"/>
      <selection pane="bottomRight" activeCell="I144" sqref="I144"/>
    </sheetView>
  </sheetViews>
  <sheetFormatPr defaultColWidth="9.109375" defaultRowHeight="10.199999999999999"/>
  <cols>
    <col min="1" max="1" width="64.109375" style="256" customWidth="1"/>
    <col min="2" max="5" width="15.109375" style="137" customWidth="1"/>
    <col min="6" max="6" width="15.109375" style="141" customWidth="1"/>
    <col min="7" max="7" width="15.109375" style="137" hidden="1" customWidth="1"/>
    <col min="8" max="8" width="15.109375" style="141" hidden="1" customWidth="1"/>
    <col min="9" max="9" width="20.21875" style="141" customWidth="1"/>
    <col min="10" max="10" width="13.33203125" style="141" customWidth="1"/>
    <col min="11" max="16384" width="9.109375" style="135"/>
  </cols>
  <sheetData>
    <row r="1" spans="1:10">
      <c r="A1" s="444">
        <f>'RZiS, koszty rodz.'!A1</f>
        <v>45930</v>
      </c>
      <c r="B1" s="279">
        <f>B278</f>
        <v>-1.1192169040441513E-6</v>
      </c>
      <c r="C1" s="671">
        <f>B167</f>
        <v>-1.1725351214408875E-6</v>
      </c>
      <c r="D1" s="671" t="s">
        <v>3087</v>
      </c>
      <c r="E1" s="279">
        <f>C1-B1</f>
        <v>-5.3318217396736145E-8</v>
      </c>
      <c r="F1" s="674">
        <f>B1+'bilans '!D3</f>
        <v>-1.1192169040441513E-6</v>
      </c>
      <c r="G1" s="444">
        <v>45291</v>
      </c>
      <c r="H1" s="674" t="s">
        <v>3087</v>
      </c>
      <c r="I1" s="337"/>
      <c r="J1" s="337"/>
    </row>
    <row r="3" spans="1:10" ht="44.25" customHeight="1">
      <c r="A3" s="445" t="s">
        <v>1567</v>
      </c>
      <c r="B3" s="281" t="s">
        <v>1797</v>
      </c>
      <c r="C3" s="281" t="s">
        <v>1798</v>
      </c>
      <c r="D3" s="281" t="s">
        <v>1799</v>
      </c>
      <c r="E3" s="281" t="s">
        <v>1800</v>
      </c>
      <c r="F3" s="343" t="s">
        <v>2114</v>
      </c>
      <c r="G3" s="281" t="s">
        <v>1797</v>
      </c>
      <c r="H3" s="343" t="s">
        <v>1799</v>
      </c>
      <c r="I3" s="338"/>
      <c r="J3" s="338"/>
    </row>
    <row r="4" spans="1:10">
      <c r="A4" s="446"/>
      <c r="B4" s="309"/>
      <c r="C4" s="309"/>
      <c r="D4" s="309"/>
      <c r="E4" s="309"/>
      <c r="F4" s="339"/>
      <c r="G4" s="309"/>
      <c r="H4" s="339"/>
      <c r="I4" s="339"/>
      <c r="J4" s="339"/>
    </row>
    <row r="5" spans="1:10">
      <c r="A5" s="447" t="s">
        <v>1568</v>
      </c>
      <c r="B5" s="328">
        <f>E5</f>
        <v>9827693.799999997</v>
      </c>
      <c r="C5" s="284">
        <f>'RZiS, koszty rodz.'!B175</f>
        <v>9827693.799999997</v>
      </c>
      <c r="D5" s="136"/>
      <c r="E5" s="266">
        <f>D5+C5</f>
        <v>9827693.799999997</v>
      </c>
      <c r="F5" s="340"/>
      <c r="G5" s="328">
        <v>2084343.0400001286</v>
      </c>
      <c r="H5" s="340"/>
      <c r="I5" s="340"/>
      <c r="J5" s="340"/>
    </row>
    <row r="6" spans="1:10">
      <c r="A6" s="448" t="s">
        <v>1569</v>
      </c>
      <c r="B6" s="288">
        <f>E6</f>
        <v>0</v>
      </c>
      <c r="C6" s="282"/>
      <c r="D6" s="282"/>
      <c r="E6" s="266">
        <f>D6+C6</f>
        <v>0</v>
      </c>
      <c r="F6" s="340"/>
      <c r="G6" s="288">
        <v>0</v>
      </c>
      <c r="H6" s="340"/>
      <c r="I6" s="340"/>
      <c r="J6" s="340"/>
    </row>
    <row r="7" spans="1:10" ht="20.399999999999999">
      <c r="A7" s="448" t="s">
        <v>1570</v>
      </c>
      <c r="B7" s="288">
        <f>E7</f>
        <v>0</v>
      </c>
      <c r="C7" s="282"/>
      <c r="D7" s="282"/>
      <c r="E7" s="266">
        <f>D7+C7</f>
        <v>0</v>
      </c>
      <c r="F7" s="340"/>
      <c r="G7" s="288">
        <v>0</v>
      </c>
      <c r="H7" s="340"/>
      <c r="I7" s="340"/>
      <c r="J7" s="340"/>
    </row>
    <row r="8" spans="1:10">
      <c r="A8" s="449" t="s">
        <v>1571</v>
      </c>
      <c r="B8" s="345">
        <f>E8</f>
        <v>2197321.12</v>
      </c>
      <c r="C8" s="282"/>
      <c r="D8" s="284">
        <f>'RZiS, koszty rodz.'!B215</f>
        <v>2197321.12</v>
      </c>
      <c r="E8" s="266">
        <f t="shared" ref="E8:E62" si="0">D8+C8</f>
        <v>2197321.12</v>
      </c>
      <c r="F8" s="340"/>
      <c r="G8" s="345">
        <v>2904002.6999999899</v>
      </c>
      <c r="H8" s="340">
        <v>2904002.6999999899</v>
      </c>
      <c r="I8" s="340"/>
      <c r="J8" s="340"/>
    </row>
    <row r="9" spans="1:10">
      <c r="A9" s="450" t="s">
        <v>1572</v>
      </c>
      <c r="B9" s="329">
        <f>E9</f>
        <v>100906.8999999989</v>
      </c>
      <c r="C9" s="285"/>
      <c r="D9" s="285">
        <f>D10+D11+D12+D13+D14+D15+D16+D18+D20+D23+D26+D28+D32+D33+D34+D35+D36+D39+D42+D43+D44+D45+D46</f>
        <v>100906.8999999989</v>
      </c>
      <c r="E9" s="285">
        <f>D9+C9</f>
        <v>100906.8999999989</v>
      </c>
      <c r="F9" s="136"/>
      <c r="G9" s="329">
        <v>1255521.559999998</v>
      </c>
      <c r="H9" s="136">
        <v>1255521.559999998</v>
      </c>
      <c r="I9" s="136"/>
      <c r="J9" s="136"/>
    </row>
    <row r="10" spans="1:10">
      <c r="A10" s="270" t="s">
        <v>1632</v>
      </c>
      <c r="B10" s="268">
        <f t="shared" ref="B10:B18" si="1">E10</f>
        <v>0</v>
      </c>
      <c r="E10" s="266">
        <f t="shared" si="0"/>
        <v>0</v>
      </c>
      <c r="F10" s="340"/>
      <c r="G10" s="268">
        <v>0</v>
      </c>
      <c r="H10" s="340"/>
      <c r="I10" s="340"/>
      <c r="J10" s="340"/>
    </row>
    <row r="11" spans="1:10">
      <c r="A11" s="270" t="s">
        <v>1633</v>
      </c>
      <c r="B11" s="268">
        <f t="shared" si="1"/>
        <v>0</v>
      </c>
      <c r="E11" s="266">
        <f t="shared" si="0"/>
        <v>0</v>
      </c>
      <c r="F11" s="340"/>
      <c r="G11" s="268">
        <v>0</v>
      </c>
      <c r="H11" s="340"/>
      <c r="I11" s="340"/>
      <c r="J11" s="340"/>
    </row>
    <row r="12" spans="1:10">
      <c r="A12" s="270" t="s">
        <v>1634</v>
      </c>
      <c r="B12" s="268">
        <f t="shared" si="1"/>
        <v>0</v>
      </c>
      <c r="E12" s="266">
        <f t="shared" si="0"/>
        <v>0</v>
      </c>
      <c r="F12" s="340"/>
      <c r="G12" s="268">
        <v>0</v>
      </c>
      <c r="H12" s="340"/>
      <c r="I12" s="340"/>
      <c r="J12" s="340"/>
    </row>
    <row r="13" spans="1:10">
      <c r="A13" s="270" t="s">
        <v>1635</v>
      </c>
      <c r="B13" s="268">
        <f t="shared" si="1"/>
        <v>0</v>
      </c>
      <c r="E13" s="266">
        <f t="shared" si="0"/>
        <v>0</v>
      </c>
      <c r="F13" s="340"/>
      <c r="G13" s="268">
        <v>0</v>
      </c>
      <c r="H13" s="340"/>
      <c r="I13" s="340"/>
      <c r="J13" s="340"/>
    </row>
    <row r="14" spans="1:10">
      <c r="A14" s="270" t="s">
        <v>1636</v>
      </c>
      <c r="B14" s="268">
        <f t="shared" si="1"/>
        <v>0</v>
      </c>
      <c r="E14" s="266">
        <f t="shared" si="0"/>
        <v>0</v>
      </c>
      <c r="F14" s="340"/>
      <c r="G14" s="268">
        <v>0</v>
      </c>
      <c r="H14" s="340"/>
      <c r="I14" s="340"/>
      <c r="J14" s="340"/>
    </row>
    <row r="15" spans="1:10">
      <c r="A15" s="270" t="s">
        <v>1637</v>
      </c>
      <c r="B15" s="268">
        <f t="shared" si="1"/>
        <v>0</v>
      </c>
      <c r="E15" s="266">
        <f t="shared" si="0"/>
        <v>0</v>
      </c>
      <c r="F15" s="340"/>
      <c r="G15" s="268">
        <v>0</v>
      </c>
      <c r="H15" s="340"/>
      <c r="I15" s="340"/>
      <c r="J15" s="340"/>
    </row>
    <row r="16" spans="1:10">
      <c r="A16" s="274" t="s">
        <v>1638</v>
      </c>
      <c r="B16" s="266">
        <f t="shared" si="1"/>
        <v>0</v>
      </c>
      <c r="C16" s="304"/>
      <c r="D16" s="304">
        <f>D17</f>
        <v>0</v>
      </c>
      <c r="E16" s="266">
        <f t="shared" si="0"/>
        <v>0</v>
      </c>
      <c r="F16" s="340"/>
      <c r="G16" s="266">
        <v>-14827.969999999899</v>
      </c>
      <c r="H16" s="340">
        <v>-14827.969999999899</v>
      </c>
      <c r="I16" s="340"/>
      <c r="J16" s="340"/>
    </row>
    <row r="17" spans="1:11">
      <c r="A17" s="270"/>
      <c r="B17" s="268"/>
      <c r="D17" s="426">
        <f>-(IFERROR(VLOOKUP(F17,obrotówka!$A$3:$J$1600,10,0),0))-J19</f>
        <v>0</v>
      </c>
      <c r="E17" s="266"/>
      <c r="F17" s="678" t="s">
        <v>2475</v>
      </c>
      <c r="G17" s="268"/>
      <c r="H17" s="678">
        <v>-14827.969999999899</v>
      </c>
      <c r="I17" s="340"/>
      <c r="J17" s="340"/>
    </row>
    <row r="18" spans="1:11">
      <c r="A18" s="274" t="s">
        <v>1639</v>
      </c>
      <c r="B18" s="266">
        <f t="shared" si="1"/>
        <v>0</v>
      </c>
      <c r="C18" s="304"/>
      <c r="D18" s="304">
        <f>D19</f>
        <v>0</v>
      </c>
      <c r="E18" s="266">
        <f t="shared" si="0"/>
        <v>0</v>
      </c>
      <c r="F18" s="340"/>
      <c r="G18" s="266">
        <v>677738.16999999888</v>
      </c>
      <c r="H18" s="340">
        <v>677738.16999999888</v>
      </c>
      <c r="I18" s="340"/>
      <c r="J18" s="340"/>
    </row>
    <row r="19" spans="1:11">
      <c r="A19" s="270" t="s">
        <v>2498</v>
      </c>
      <c r="B19" s="268"/>
      <c r="D19" s="134">
        <f>(IFERROR(VLOOKUP(F19,obrotówka!$A$3:$J$1600,10,0),0))+(IFERROR(VLOOKUP(I19,obrotówka!$A$3:$J$1600,10,0),0))-D17</f>
        <v>0</v>
      </c>
      <c r="E19" s="266"/>
      <c r="F19" s="290" t="s">
        <v>2493</v>
      </c>
      <c r="G19" s="268"/>
      <c r="H19" s="290">
        <v>677738.16999999888</v>
      </c>
      <c r="I19" s="340" t="s">
        <v>2477</v>
      </c>
      <c r="J19" s="426">
        <f>-(IFERROR(VLOOKUP(F17,obrotówka!$A$3:$J$1600,3,0),0))</f>
        <v>0</v>
      </c>
      <c r="K19" s="340" t="s">
        <v>3440</v>
      </c>
    </row>
    <row r="20" spans="1:11">
      <c r="A20" s="451" t="s">
        <v>1640</v>
      </c>
      <c r="B20" s="326">
        <f>E20</f>
        <v>-13323.119999999981</v>
      </c>
      <c r="C20" s="307"/>
      <c r="D20" s="307">
        <f>D21+D22</f>
        <v>-13323.119999999981</v>
      </c>
      <c r="E20" s="266">
        <f t="shared" si="0"/>
        <v>-13323.119999999981</v>
      </c>
      <c r="F20" s="340"/>
      <c r="G20" s="326">
        <v>-57913.989999999896</v>
      </c>
      <c r="H20" s="340">
        <v>-57913.989999999896</v>
      </c>
      <c r="I20" s="340"/>
      <c r="J20" s="340"/>
    </row>
    <row r="21" spans="1:11">
      <c r="A21" s="452" t="s">
        <v>1801</v>
      </c>
      <c r="B21" s="327"/>
      <c r="C21" s="136"/>
      <c r="D21" s="134">
        <f>(IFERROR(VLOOKUP(F21,obrotówka!$A$3:$J$1600,10,0),0))</f>
        <v>-8838.1399999999903</v>
      </c>
      <c r="E21" s="266">
        <f t="shared" si="0"/>
        <v>-8838.1399999999903</v>
      </c>
      <c r="F21" s="290" t="s">
        <v>777</v>
      </c>
      <c r="G21" s="327"/>
      <c r="H21" s="290">
        <v>-69967.919999999896</v>
      </c>
      <c r="I21" s="290"/>
      <c r="J21" s="290"/>
    </row>
    <row r="22" spans="1:11">
      <c r="A22" s="452" t="s">
        <v>1802</v>
      </c>
      <c r="B22" s="327"/>
      <c r="C22" s="136"/>
      <c r="D22" s="134">
        <f>(IFERROR(VLOOKUP(F22,obrotówka!$A$3:$J$1600,10,0),0))</f>
        <v>-4484.9799999999896</v>
      </c>
      <c r="E22" s="266">
        <f t="shared" si="0"/>
        <v>-4484.9799999999896</v>
      </c>
      <c r="F22" s="290" t="s">
        <v>781</v>
      </c>
      <c r="G22" s="327"/>
      <c r="H22" s="290">
        <v>12053.93</v>
      </c>
      <c r="I22" s="290"/>
      <c r="J22" s="290"/>
    </row>
    <row r="23" spans="1:11">
      <c r="A23" s="451" t="s">
        <v>1641</v>
      </c>
      <c r="B23" s="326">
        <f>E23</f>
        <v>17455.79</v>
      </c>
      <c r="C23" s="307"/>
      <c r="D23" s="307">
        <f>D24+D25</f>
        <v>17455.79</v>
      </c>
      <c r="E23" s="266">
        <f t="shared" si="0"/>
        <v>17455.79</v>
      </c>
      <c r="F23" s="340"/>
      <c r="G23" s="326">
        <v>328213.54999999888</v>
      </c>
      <c r="H23" s="340">
        <v>328213.54999999888</v>
      </c>
      <c r="I23" s="340"/>
      <c r="J23" s="340"/>
    </row>
    <row r="24" spans="1:11">
      <c r="A24" s="452" t="s">
        <v>1784</v>
      </c>
      <c r="B24" s="327"/>
      <c r="C24" s="136"/>
      <c r="D24" s="134">
        <f>(IFERROR(VLOOKUP(F24,obrotówka!$A$3:$J$1600,10,0),0))</f>
        <v>12630.82</v>
      </c>
      <c r="E24" s="266">
        <f>D24+C24</f>
        <v>12630.82</v>
      </c>
      <c r="F24" s="290" t="s">
        <v>775</v>
      </c>
      <c r="G24" s="327"/>
      <c r="H24" s="290">
        <v>254911.709999999</v>
      </c>
      <c r="I24" s="290"/>
      <c r="J24" s="290"/>
    </row>
    <row r="25" spans="1:11">
      <c r="A25" s="452" t="s">
        <v>1785</v>
      </c>
      <c r="B25" s="327"/>
      <c r="C25" s="136"/>
      <c r="D25" s="134">
        <f>(IFERROR(VLOOKUP(F25,obrotówka!$A$3:$J$1600,10,0),0))</f>
        <v>4824.97</v>
      </c>
      <c r="E25" s="266">
        <f>D25+C25</f>
        <v>4824.97</v>
      </c>
      <c r="F25" s="290" t="s">
        <v>779</v>
      </c>
      <c r="G25" s="327"/>
      <c r="H25" s="290">
        <v>73301.839999999895</v>
      </c>
      <c r="I25" s="290"/>
      <c r="J25" s="290"/>
    </row>
    <row r="26" spans="1:11">
      <c r="A26" s="451" t="s">
        <v>1987</v>
      </c>
      <c r="B26" s="326">
        <f>E26</f>
        <v>0</v>
      </c>
      <c r="C26" s="307"/>
      <c r="D26" s="307">
        <f>D27</f>
        <v>0</v>
      </c>
      <c r="E26" s="266">
        <f t="shared" si="0"/>
        <v>0</v>
      </c>
      <c r="F26" s="340"/>
      <c r="G26" s="326">
        <v>0</v>
      </c>
      <c r="H26" s="340">
        <v>0</v>
      </c>
      <c r="I26" s="340"/>
      <c r="J26" s="340"/>
    </row>
    <row r="27" spans="1:11">
      <c r="A27" s="452" t="s">
        <v>2108</v>
      </c>
      <c r="B27" s="327"/>
      <c r="C27" s="136"/>
      <c r="D27" s="134">
        <f>IF(F27&gt;=0,(IFERROR(VLOOKUP(J29,obrotówka!$A$3:$J$1600,10,0),0)),0)</f>
        <v>0</v>
      </c>
      <c r="E27" s="266">
        <f t="shared" si="0"/>
        <v>0</v>
      </c>
      <c r="F27" s="304">
        <f>I27+I28</f>
        <v>-17648.750000000102</v>
      </c>
      <c r="G27" s="327"/>
      <c r="H27" s="304">
        <v>0</v>
      </c>
      <c r="I27" s="78">
        <f>(IFERROR(VLOOKUP(J27,obrotówka!$A$3:$J$1600,10,0),0))</f>
        <v>13206.469999999899</v>
      </c>
      <c r="J27" s="129" t="s">
        <v>774</v>
      </c>
    </row>
    <row r="28" spans="1:11">
      <c r="A28" s="451" t="s">
        <v>1642</v>
      </c>
      <c r="B28" s="326">
        <f>E28</f>
        <v>237426.53999999887</v>
      </c>
      <c r="C28" s="307"/>
      <c r="D28" s="307">
        <f>SUM(D29:D31)</f>
        <v>237426.53999999887</v>
      </c>
      <c r="E28" s="266">
        <f t="shared" si="0"/>
        <v>237426.53999999887</v>
      </c>
      <c r="G28" s="326">
        <v>333595.91000000003</v>
      </c>
      <c r="H28" s="141">
        <v>333595.91000000003</v>
      </c>
      <c r="I28" s="78">
        <f>IF((-(IFERROR(VLOOKUP(J28,obrotówka!$A$3:$K$1600,6,0),0)))&lt;0,(-(IFERROR(VLOOKUP(J28,obrotówka!$A$3:$K$1600,10,0),0))),0)</f>
        <v>-30855.22</v>
      </c>
      <c r="J28" s="129" t="s">
        <v>919</v>
      </c>
    </row>
    <row r="29" spans="1:11">
      <c r="A29" s="452" t="s">
        <v>1786</v>
      </c>
      <c r="B29" s="327"/>
      <c r="C29" s="136"/>
      <c r="D29" s="134">
        <f>(IFERROR(VLOOKUP(F29,obrotówka!$A$3:$J$1600,10,0),0))</f>
        <v>223978.959999999</v>
      </c>
      <c r="E29" s="266">
        <f t="shared" si="0"/>
        <v>223978.959999999</v>
      </c>
      <c r="F29" s="290" t="s">
        <v>773</v>
      </c>
      <c r="G29" s="327"/>
      <c r="H29" s="290">
        <v>312598.83</v>
      </c>
      <c r="J29" s="129" t="s">
        <v>774</v>
      </c>
    </row>
    <row r="30" spans="1:11">
      <c r="A30" s="452" t="s">
        <v>2107</v>
      </c>
      <c r="B30" s="327"/>
      <c r="C30" s="136"/>
      <c r="D30" s="134">
        <f>IF(F27&lt;0,(IFERROR(VLOOKUP(F30,obrotówka!$A$3:$J$1600,10,0),0)),0)</f>
        <v>13206.469999999899</v>
      </c>
      <c r="E30" s="266">
        <f t="shared" si="0"/>
        <v>13206.469999999899</v>
      </c>
      <c r="F30" s="290" t="s">
        <v>774</v>
      </c>
      <c r="G30" s="327"/>
      <c r="H30" s="290">
        <v>18722.57</v>
      </c>
      <c r="I30" s="1162" t="s">
        <v>3791</v>
      </c>
      <c r="J30" s="340"/>
    </row>
    <row r="31" spans="1:11">
      <c r="A31" s="452" t="s">
        <v>1787</v>
      </c>
      <c r="B31" s="327"/>
      <c r="C31" s="136"/>
      <c r="D31" s="134">
        <f>(IFERROR(VLOOKUP(F31,obrotówka!$A$3:$J$1600,10,0),0))</f>
        <v>241.11</v>
      </c>
      <c r="E31" s="266">
        <f t="shared" si="0"/>
        <v>241.11</v>
      </c>
      <c r="F31" s="290" t="s">
        <v>771</v>
      </c>
      <c r="G31" s="327"/>
      <c r="H31" s="290">
        <v>2274.5100000000002</v>
      </c>
      <c r="I31" s="1162">
        <f>D29+D30</f>
        <v>237185.42999999889</v>
      </c>
      <c r="J31" s="340"/>
    </row>
    <row r="32" spans="1:11">
      <c r="A32" s="453" t="s">
        <v>1643</v>
      </c>
      <c r="B32" s="268">
        <f>E32</f>
        <v>0</v>
      </c>
      <c r="E32" s="266">
        <f t="shared" si="0"/>
        <v>0</v>
      </c>
      <c r="F32" s="340"/>
      <c r="G32" s="268">
        <v>0</v>
      </c>
      <c r="H32" s="340"/>
      <c r="I32" s="340"/>
      <c r="J32" s="340"/>
    </row>
    <row r="33" spans="1:10">
      <c r="A33" s="270" t="s">
        <v>1644</v>
      </c>
      <c r="B33" s="268">
        <f>E33</f>
        <v>0</v>
      </c>
      <c r="E33" s="266">
        <f t="shared" si="0"/>
        <v>0</v>
      </c>
      <c r="F33" s="340"/>
      <c r="G33" s="268">
        <v>0</v>
      </c>
      <c r="H33" s="340"/>
      <c r="I33" s="340"/>
      <c r="J33" s="340"/>
    </row>
    <row r="34" spans="1:10">
      <c r="A34" s="270" t="s">
        <v>1645</v>
      </c>
      <c r="B34" s="268">
        <f>E34</f>
        <v>0</v>
      </c>
      <c r="E34" s="266">
        <f t="shared" si="0"/>
        <v>0</v>
      </c>
      <c r="F34" s="340"/>
      <c r="G34" s="268">
        <v>0</v>
      </c>
      <c r="H34" s="340"/>
      <c r="I34" s="340"/>
      <c r="J34" s="340"/>
    </row>
    <row r="35" spans="1:10">
      <c r="A35" s="270" t="s">
        <v>1646</v>
      </c>
      <c r="B35" s="268">
        <f>E35</f>
        <v>0</v>
      </c>
      <c r="E35" s="266">
        <f t="shared" si="0"/>
        <v>0</v>
      </c>
      <c r="F35" s="340"/>
      <c r="G35" s="268">
        <v>0</v>
      </c>
      <c r="H35" s="340"/>
      <c r="I35" s="340"/>
      <c r="J35" s="340"/>
    </row>
    <row r="36" spans="1:10">
      <c r="A36" s="451" t="s">
        <v>1647</v>
      </c>
      <c r="B36" s="326">
        <f>E36</f>
        <v>-23386.09</v>
      </c>
      <c r="C36" s="307"/>
      <c r="D36" s="307">
        <f>D37+D38</f>
        <v>-23386.09</v>
      </c>
      <c r="E36" s="266">
        <f t="shared" si="0"/>
        <v>-23386.09</v>
      </c>
      <c r="F36" s="340"/>
      <c r="G36" s="326">
        <v>235.99</v>
      </c>
      <c r="H36" s="340">
        <v>235.99</v>
      </c>
      <c r="I36" s="340"/>
      <c r="J36" s="340"/>
    </row>
    <row r="37" spans="1:10">
      <c r="A37" s="452" t="s">
        <v>1801</v>
      </c>
      <c r="B37" s="327"/>
      <c r="C37" s="136"/>
      <c r="D37" s="134">
        <f>(IFERROR(VLOOKUP(F37,obrotówka!$A$3:$J$1600,10,0),0))</f>
        <v>-14883.42</v>
      </c>
      <c r="E37" s="266">
        <f t="shared" si="0"/>
        <v>-14883.42</v>
      </c>
      <c r="F37" s="290" t="s">
        <v>764</v>
      </c>
      <c r="G37" s="327"/>
      <c r="H37" s="290">
        <v>198.28</v>
      </c>
      <c r="I37" s="340"/>
      <c r="J37" s="340"/>
    </row>
    <row r="38" spans="1:10">
      <c r="A38" s="452" t="s">
        <v>1803</v>
      </c>
      <c r="B38" s="327"/>
      <c r="C38" s="136"/>
      <c r="D38" s="134">
        <f>(IFERROR(VLOOKUP(F38,obrotówka!$A$3:$J$1600,10,0),0))</f>
        <v>-8502.67</v>
      </c>
      <c r="E38" s="266">
        <f t="shared" si="0"/>
        <v>-8502.67</v>
      </c>
      <c r="F38" s="290" t="s">
        <v>765</v>
      </c>
      <c r="G38" s="327"/>
      <c r="H38" s="290">
        <v>37.71</v>
      </c>
      <c r="I38" s="340"/>
      <c r="J38" s="340"/>
    </row>
    <row r="39" spans="1:10">
      <c r="A39" s="451" t="s">
        <v>1648</v>
      </c>
      <c r="B39" s="326">
        <f>E39</f>
        <v>-117266.21999999999</v>
      </c>
      <c r="C39" s="307"/>
      <c r="D39" s="307">
        <f>D40+D41</f>
        <v>-117266.21999999999</v>
      </c>
      <c r="E39" s="266">
        <f t="shared" si="0"/>
        <v>-117266.21999999999</v>
      </c>
      <c r="F39" s="340"/>
      <c r="G39" s="326">
        <v>-11520.1</v>
      </c>
      <c r="H39" s="340">
        <v>-11520.1</v>
      </c>
      <c r="I39" s="340"/>
      <c r="J39" s="340"/>
    </row>
    <row r="40" spans="1:10">
      <c r="A40" s="452" t="s">
        <v>1784</v>
      </c>
      <c r="B40" s="327"/>
      <c r="C40" s="136"/>
      <c r="D40" s="134">
        <f>(IFERROR(VLOOKUP(F40,obrotówka!$A$3:$J$1600,10,0),0))</f>
        <v>-108968.42</v>
      </c>
      <c r="E40" s="266">
        <f t="shared" si="0"/>
        <v>-108968.42</v>
      </c>
      <c r="F40" s="290" t="s">
        <v>762</v>
      </c>
      <c r="G40" s="327"/>
      <c r="H40" s="290">
        <v>-11315.16</v>
      </c>
      <c r="I40" s="340"/>
      <c r="J40" s="340"/>
    </row>
    <row r="41" spans="1:10">
      <c r="A41" s="452" t="s">
        <v>1788</v>
      </c>
      <c r="B41" s="327"/>
      <c r="C41" s="136"/>
      <c r="D41" s="134">
        <f>(IFERROR(VLOOKUP(F41,obrotówka!$A$3:$J$1600,10,0),0))</f>
        <v>-8297.7999999999902</v>
      </c>
      <c r="E41" s="266">
        <f t="shared" si="0"/>
        <v>-8297.7999999999902</v>
      </c>
      <c r="F41" s="222" t="s">
        <v>1795</v>
      </c>
      <c r="G41" s="327"/>
      <c r="H41" s="222">
        <v>-204.94</v>
      </c>
      <c r="I41" s="340"/>
      <c r="J41" s="340"/>
    </row>
    <row r="42" spans="1:10">
      <c r="A42" s="453" t="s">
        <v>1650</v>
      </c>
      <c r="B42" s="268">
        <f t="shared" ref="B42:B62" si="2">E42</f>
        <v>0</v>
      </c>
      <c r="E42" s="266">
        <f t="shared" si="0"/>
        <v>0</v>
      </c>
      <c r="F42" s="340"/>
      <c r="G42" s="268">
        <v>0</v>
      </c>
      <c r="H42" s="340"/>
      <c r="I42" s="340"/>
      <c r="J42" s="340"/>
    </row>
    <row r="43" spans="1:10">
      <c r="A43" s="270" t="s">
        <v>1651</v>
      </c>
      <c r="B43" s="268">
        <f t="shared" si="2"/>
        <v>0</v>
      </c>
      <c r="E43" s="266">
        <f t="shared" si="0"/>
        <v>0</v>
      </c>
      <c r="F43" s="340"/>
      <c r="G43" s="268">
        <v>0</v>
      </c>
      <c r="H43" s="340"/>
      <c r="I43" s="340"/>
      <c r="J43" s="340"/>
    </row>
    <row r="44" spans="1:10" ht="20.399999999999999">
      <c r="A44" s="270" t="s">
        <v>1652</v>
      </c>
      <c r="B44" s="268">
        <f t="shared" si="2"/>
        <v>0</v>
      </c>
      <c r="E44" s="266">
        <f t="shared" si="0"/>
        <v>0</v>
      </c>
      <c r="F44" s="340"/>
      <c r="G44" s="268">
        <v>0</v>
      </c>
      <c r="H44" s="340"/>
      <c r="I44" s="340"/>
      <c r="J44" s="340"/>
    </row>
    <row r="45" spans="1:10">
      <c r="A45" s="270" t="s">
        <v>1649</v>
      </c>
      <c r="B45" s="268">
        <f t="shared" si="2"/>
        <v>0</v>
      </c>
      <c r="E45" s="266">
        <f t="shared" si="0"/>
        <v>0</v>
      </c>
      <c r="F45" s="340"/>
      <c r="G45" s="268">
        <v>0</v>
      </c>
      <c r="H45" s="340"/>
      <c r="I45" s="340"/>
      <c r="J45" s="340"/>
    </row>
    <row r="46" spans="1:10">
      <c r="A46" s="270" t="s">
        <v>1653</v>
      </c>
      <c r="B46" s="268">
        <f t="shared" si="2"/>
        <v>0</v>
      </c>
      <c r="E46" s="266">
        <f t="shared" si="0"/>
        <v>0</v>
      </c>
      <c r="F46" s="340"/>
      <c r="G46" s="268">
        <v>0</v>
      </c>
      <c r="H46" s="340"/>
      <c r="I46" s="340"/>
      <c r="J46" s="340"/>
    </row>
    <row r="47" spans="1:10">
      <c r="A47" s="450" t="s">
        <v>1573</v>
      </c>
      <c r="B47" s="285">
        <f t="shared" si="2"/>
        <v>0</v>
      </c>
      <c r="C47" s="285"/>
      <c r="D47" s="285">
        <f>D50+D51+D52+D53+D54+D55+D56+D57+D58+D59+D60+D61+D62+D48+D49</f>
        <v>0</v>
      </c>
      <c r="E47" s="285">
        <f t="shared" si="0"/>
        <v>0</v>
      </c>
      <c r="F47" s="136"/>
      <c r="G47" s="285">
        <v>5863.9400000000005</v>
      </c>
      <c r="H47" s="136">
        <v>5863.9400000000005</v>
      </c>
      <c r="I47" s="136"/>
      <c r="J47" s="136"/>
    </row>
    <row r="48" spans="1:10" s="140" customFormat="1">
      <c r="A48" s="270" t="s">
        <v>1655</v>
      </c>
      <c r="B48" s="268">
        <f t="shared" si="2"/>
        <v>0</v>
      </c>
      <c r="C48" s="310"/>
      <c r="D48" s="136">
        <f>'RZiS, koszty rodz.'!B68-'RZiS, koszty rodz.'!B31</f>
        <v>0</v>
      </c>
      <c r="E48" s="318">
        <f t="shared" si="0"/>
        <v>0</v>
      </c>
      <c r="F48" s="310"/>
      <c r="G48" s="268">
        <v>0</v>
      </c>
      <c r="H48" s="310">
        <v>0</v>
      </c>
      <c r="I48" s="310"/>
      <c r="J48" s="310"/>
    </row>
    <row r="49" spans="1:10" s="140" customFormat="1">
      <c r="A49" s="270" t="s">
        <v>1656</v>
      </c>
      <c r="B49" s="319">
        <f t="shared" si="2"/>
        <v>0</v>
      </c>
      <c r="C49" s="310"/>
      <c r="D49" s="136">
        <f>'RZiS, koszty rodz.'!B71</f>
        <v>0</v>
      </c>
      <c r="E49" s="318">
        <f t="shared" si="0"/>
        <v>0</v>
      </c>
      <c r="F49" s="1072"/>
      <c r="G49" s="319">
        <v>2445.65</v>
      </c>
      <c r="H49" s="310">
        <v>2445.65</v>
      </c>
      <c r="I49" s="310"/>
      <c r="J49" s="310"/>
    </row>
    <row r="50" spans="1:10" s="140" customFormat="1">
      <c r="A50" s="270" t="s">
        <v>1657</v>
      </c>
      <c r="B50" s="319">
        <f t="shared" si="2"/>
        <v>0</v>
      </c>
      <c r="C50" s="310"/>
      <c r="D50" s="310"/>
      <c r="E50" s="318">
        <f t="shared" si="0"/>
        <v>0</v>
      </c>
      <c r="F50" s="310"/>
      <c r="G50" s="319">
        <v>0</v>
      </c>
      <c r="H50" s="310"/>
      <c r="I50" s="310"/>
      <c r="J50" s="310"/>
    </row>
    <row r="51" spans="1:10" s="140" customFormat="1">
      <c r="A51" s="270" t="s">
        <v>1658</v>
      </c>
      <c r="B51" s="319">
        <f t="shared" si="2"/>
        <v>0</v>
      </c>
      <c r="C51" s="310"/>
      <c r="D51" s="310"/>
      <c r="E51" s="318">
        <f t="shared" si="0"/>
        <v>0</v>
      </c>
      <c r="F51" s="310"/>
      <c r="G51" s="319">
        <v>0</v>
      </c>
      <c r="H51" s="310"/>
      <c r="I51" s="310"/>
      <c r="J51" s="310"/>
    </row>
    <row r="52" spans="1:10" s="140" customFormat="1">
      <c r="A52" s="270" t="s">
        <v>1659</v>
      </c>
      <c r="B52" s="319">
        <f t="shared" si="2"/>
        <v>0</v>
      </c>
      <c r="C52" s="310"/>
      <c r="D52" s="134">
        <f>(IFERROR(VLOOKUP(F52,obrotówka!$A$3:$J$1600,10,0),0))</f>
        <v>0</v>
      </c>
      <c r="E52" s="318">
        <f t="shared" si="0"/>
        <v>0</v>
      </c>
      <c r="F52" s="310" t="s">
        <v>3287</v>
      </c>
      <c r="G52" s="319">
        <v>3418.29</v>
      </c>
      <c r="H52" s="310">
        <v>3418.29</v>
      </c>
      <c r="I52" s="310"/>
      <c r="J52" s="310"/>
    </row>
    <row r="53" spans="1:10" s="140" customFormat="1">
      <c r="A53" s="270" t="s">
        <v>1660</v>
      </c>
      <c r="B53" s="319">
        <f t="shared" si="2"/>
        <v>0</v>
      </c>
      <c r="C53" s="310"/>
      <c r="D53" s="310"/>
      <c r="E53" s="318">
        <f t="shared" si="0"/>
        <v>0</v>
      </c>
      <c r="F53" s="310"/>
      <c r="G53" s="319">
        <v>0</v>
      </c>
      <c r="H53" s="310"/>
      <c r="I53" s="310"/>
      <c r="J53" s="310"/>
    </row>
    <row r="54" spans="1:10" s="140" customFormat="1">
      <c r="A54" s="270" t="s">
        <v>1661</v>
      </c>
      <c r="B54" s="319">
        <f t="shared" si="2"/>
        <v>0</v>
      </c>
      <c r="C54" s="310"/>
      <c r="D54" s="310"/>
      <c r="E54" s="318">
        <f t="shared" si="0"/>
        <v>0</v>
      </c>
      <c r="F54" s="310"/>
      <c r="G54" s="319">
        <v>0</v>
      </c>
      <c r="H54" s="310"/>
      <c r="I54" s="310"/>
      <c r="J54" s="310"/>
    </row>
    <row r="55" spans="1:10" s="140" customFormat="1">
      <c r="A55" s="270" t="s">
        <v>1662</v>
      </c>
      <c r="B55" s="319">
        <f t="shared" si="2"/>
        <v>0</v>
      </c>
      <c r="C55" s="310"/>
      <c r="D55" s="310"/>
      <c r="E55" s="318">
        <f t="shared" si="0"/>
        <v>0</v>
      </c>
      <c r="F55" s="310"/>
      <c r="G55" s="319">
        <v>0</v>
      </c>
      <c r="H55" s="310"/>
      <c r="I55" s="310"/>
      <c r="J55" s="310"/>
    </row>
    <row r="56" spans="1:10" s="140" customFormat="1">
      <c r="A56" s="270" t="s">
        <v>1663</v>
      </c>
      <c r="B56" s="319">
        <f t="shared" si="2"/>
        <v>0</v>
      </c>
      <c r="C56" s="310"/>
      <c r="D56" s="310"/>
      <c r="E56" s="318">
        <f t="shared" si="0"/>
        <v>0</v>
      </c>
      <c r="F56" s="310"/>
      <c r="G56" s="319">
        <v>0</v>
      </c>
      <c r="H56" s="310"/>
      <c r="I56" s="310"/>
      <c r="J56" s="310"/>
    </row>
    <row r="57" spans="1:10" s="140" customFormat="1">
      <c r="A57" s="270" t="s">
        <v>1664</v>
      </c>
      <c r="B57" s="319">
        <f t="shared" si="2"/>
        <v>0</v>
      </c>
      <c r="C57" s="310"/>
      <c r="D57" s="310"/>
      <c r="E57" s="318">
        <f t="shared" si="0"/>
        <v>0</v>
      </c>
      <c r="F57" s="310"/>
      <c r="G57" s="319">
        <v>0</v>
      </c>
      <c r="H57" s="310"/>
      <c r="I57" s="310"/>
      <c r="J57" s="310"/>
    </row>
    <row r="58" spans="1:10" s="140" customFormat="1">
      <c r="A58" s="270" t="s">
        <v>1665</v>
      </c>
      <c r="B58" s="319">
        <f t="shared" si="2"/>
        <v>0</v>
      </c>
      <c r="C58" s="310"/>
      <c r="D58" s="310"/>
      <c r="E58" s="318">
        <f t="shared" si="0"/>
        <v>0</v>
      </c>
      <c r="F58" s="310"/>
      <c r="G58" s="319">
        <v>0</v>
      </c>
      <c r="H58" s="310"/>
      <c r="I58" s="310"/>
      <c r="J58" s="310"/>
    </row>
    <row r="59" spans="1:10" s="140" customFormat="1">
      <c r="A59" s="270" t="s">
        <v>1666</v>
      </c>
      <c r="B59" s="319">
        <f t="shared" si="2"/>
        <v>0</v>
      </c>
      <c r="C59" s="310"/>
      <c r="D59" s="310"/>
      <c r="E59" s="318">
        <f t="shared" si="0"/>
        <v>0</v>
      </c>
      <c r="F59" s="310"/>
      <c r="G59" s="319">
        <v>0</v>
      </c>
      <c r="H59" s="310"/>
      <c r="I59" s="310"/>
      <c r="J59" s="310"/>
    </row>
    <row r="60" spans="1:10" s="140" customFormat="1">
      <c r="A60" s="270" t="s">
        <v>1667</v>
      </c>
      <c r="B60" s="319">
        <f t="shared" si="2"/>
        <v>0</v>
      </c>
      <c r="C60" s="310"/>
      <c r="D60" s="310"/>
      <c r="E60" s="318">
        <f t="shared" si="0"/>
        <v>0</v>
      </c>
      <c r="F60" s="310" t="s">
        <v>3939</v>
      </c>
      <c r="G60" s="319">
        <v>0</v>
      </c>
      <c r="H60" s="310"/>
      <c r="I60" s="310"/>
      <c r="J60" s="310"/>
    </row>
    <row r="61" spans="1:10" s="140" customFormat="1">
      <c r="A61" s="270" t="s">
        <v>1668</v>
      </c>
      <c r="B61" s="319">
        <f t="shared" si="2"/>
        <v>0</v>
      </c>
      <c r="C61" s="310"/>
      <c r="D61" s="310"/>
      <c r="E61" s="318">
        <f t="shared" si="0"/>
        <v>0</v>
      </c>
      <c r="F61" s="310"/>
      <c r="G61" s="319">
        <v>0</v>
      </c>
      <c r="H61" s="310"/>
      <c r="I61" s="310"/>
      <c r="J61" s="310"/>
    </row>
    <row r="62" spans="1:10" s="140" customFormat="1">
      <c r="A62" s="270" t="s">
        <v>1669</v>
      </c>
      <c r="B62" s="319">
        <f t="shared" si="2"/>
        <v>0</v>
      </c>
      <c r="C62" s="310"/>
      <c r="D62" s="310"/>
      <c r="E62" s="318">
        <f t="shared" si="0"/>
        <v>0</v>
      </c>
      <c r="F62" s="310"/>
      <c r="G62" s="319">
        <v>0</v>
      </c>
      <c r="H62" s="310"/>
      <c r="I62" s="310"/>
      <c r="J62" s="310"/>
    </row>
    <row r="63" spans="1:10">
      <c r="A63" s="454" t="s">
        <v>1670</v>
      </c>
      <c r="B63" s="317">
        <f t="shared" ref="B63:B95" si="3">E63</f>
        <v>1167300.3800000106</v>
      </c>
      <c r="C63" s="317">
        <f>SUM(C64:C78)</f>
        <v>2029161.1400000206</v>
      </c>
      <c r="D63" s="317">
        <f>D64+D65+D66+D67+D68+D69+D70+D71+D72+D73+D74+D75+D76+D77+D78</f>
        <v>-861860.76000001002</v>
      </c>
      <c r="E63" s="317">
        <f>D63+C63</f>
        <v>1167300.3800000106</v>
      </c>
      <c r="F63" s="340"/>
      <c r="G63" s="317">
        <v>6843608.8900000975</v>
      </c>
      <c r="H63" s="340">
        <v>-518791.08</v>
      </c>
      <c r="I63" s="340"/>
      <c r="J63" s="340"/>
    </row>
    <row r="64" spans="1:10" ht="20.399999999999999">
      <c r="A64" s="324" t="s">
        <v>1671</v>
      </c>
      <c r="B64" s="315">
        <f t="shared" si="3"/>
        <v>578122.89000000898</v>
      </c>
      <c r="C64" s="316">
        <f>-'FC Spr.z syt.finans.'!D25</f>
        <v>578122.89000000898</v>
      </c>
      <c r="E64" s="266">
        <f t="shared" ref="E64:E78" si="4">D64+C64</f>
        <v>578122.89000000898</v>
      </c>
      <c r="F64" s="340"/>
      <c r="G64" s="315">
        <v>628915.42000000004</v>
      </c>
      <c r="H64" s="340"/>
      <c r="I64" s="340"/>
      <c r="J64" s="340"/>
    </row>
    <row r="65" spans="1:10">
      <c r="A65" s="270" t="s">
        <v>1672</v>
      </c>
      <c r="B65" s="268">
        <f t="shared" si="3"/>
        <v>0</v>
      </c>
      <c r="E65" s="266">
        <f t="shared" si="4"/>
        <v>0</v>
      </c>
      <c r="F65" s="340"/>
      <c r="G65" s="268">
        <v>0</v>
      </c>
      <c r="H65" s="340"/>
      <c r="I65" s="340"/>
      <c r="J65" s="340"/>
    </row>
    <row r="66" spans="1:10">
      <c r="A66" s="270" t="s">
        <v>1673</v>
      </c>
      <c r="B66" s="268">
        <f t="shared" si="3"/>
        <v>0</v>
      </c>
      <c r="E66" s="266">
        <f t="shared" si="4"/>
        <v>0</v>
      </c>
      <c r="F66" s="340"/>
      <c r="G66" s="268">
        <v>0</v>
      </c>
      <c r="H66" s="340"/>
      <c r="I66" s="340"/>
      <c r="J66" s="340"/>
    </row>
    <row r="67" spans="1:10" ht="20.399999999999999">
      <c r="A67" s="270" t="s">
        <v>1674</v>
      </c>
      <c r="B67" s="268">
        <f t="shared" si="3"/>
        <v>0</v>
      </c>
      <c r="E67" s="266">
        <f t="shared" si="4"/>
        <v>0</v>
      </c>
      <c r="F67" s="340"/>
      <c r="G67" s="268">
        <v>0</v>
      </c>
      <c r="H67" s="340"/>
      <c r="I67" s="340"/>
      <c r="J67" s="340"/>
    </row>
    <row r="68" spans="1:10">
      <c r="A68" s="324" t="s">
        <v>1675</v>
      </c>
      <c r="B68" s="315">
        <f t="shared" si="3"/>
        <v>388324.52</v>
      </c>
      <c r="C68" s="316">
        <f>-'FC Spr.z syt.finans.'!D9</f>
        <v>388324.52</v>
      </c>
      <c r="E68" s="266">
        <f t="shared" si="4"/>
        <v>388324.52</v>
      </c>
      <c r="F68" s="340"/>
      <c r="G68" s="315">
        <v>28768.510000001057</v>
      </c>
      <c r="H68" s="340"/>
      <c r="I68" s="340"/>
      <c r="J68" s="340"/>
    </row>
    <row r="69" spans="1:10">
      <c r="A69" s="270" t="s">
        <v>1676</v>
      </c>
      <c r="B69" s="268">
        <f t="shared" si="3"/>
        <v>0</v>
      </c>
      <c r="E69" s="266">
        <f t="shared" si="4"/>
        <v>0</v>
      </c>
      <c r="F69" s="340"/>
      <c r="G69" s="268">
        <v>0</v>
      </c>
      <c r="H69" s="340"/>
      <c r="I69" s="340"/>
      <c r="J69" s="340"/>
    </row>
    <row r="70" spans="1:10">
      <c r="A70" s="270" t="s">
        <v>1677</v>
      </c>
      <c r="B70" s="268">
        <f t="shared" si="3"/>
        <v>0</v>
      </c>
      <c r="E70" s="266">
        <f t="shared" si="4"/>
        <v>0</v>
      </c>
      <c r="F70" s="340"/>
      <c r="G70" s="268">
        <v>0</v>
      </c>
      <c r="H70" s="340"/>
      <c r="I70" s="340"/>
      <c r="J70" s="340"/>
    </row>
    <row r="71" spans="1:10" ht="20.399999999999999">
      <c r="A71" s="270" t="s">
        <v>1678</v>
      </c>
      <c r="B71" s="268">
        <f t="shared" si="3"/>
        <v>0</v>
      </c>
      <c r="E71" s="266">
        <f t="shared" si="4"/>
        <v>0</v>
      </c>
      <c r="F71" s="340"/>
      <c r="G71" s="268">
        <v>0</v>
      </c>
      <c r="H71" s="340"/>
      <c r="I71" s="340"/>
      <c r="J71" s="340"/>
    </row>
    <row r="72" spans="1:10">
      <c r="A72" s="324" t="s">
        <v>1679</v>
      </c>
      <c r="B72" s="315">
        <f t="shared" si="3"/>
        <v>1062713.7300000116</v>
      </c>
      <c r="C72" s="316">
        <f>-'FC Spr.z syt.finans.'!D24</f>
        <v>1062713.7300000116</v>
      </c>
      <c r="E72" s="266">
        <f t="shared" si="4"/>
        <v>1062713.7300000116</v>
      </c>
      <c r="G72" s="315">
        <v>6704716.040000096</v>
      </c>
      <c r="H72" s="347"/>
      <c r="J72" s="340"/>
    </row>
    <row r="73" spans="1:10">
      <c r="A73" s="270" t="s">
        <v>1680</v>
      </c>
      <c r="B73" s="268">
        <f t="shared" si="3"/>
        <v>0</v>
      </c>
      <c r="E73" s="266">
        <f t="shared" si="4"/>
        <v>0</v>
      </c>
      <c r="F73" s="340"/>
      <c r="G73" s="268">
        <v>0</v>
      </c>
      <c r="H73" s="340"/>
      <c r="I73" s="340"/>
      <c r="J73" s="340"/>
    </row>
    <row r="74" spans="1:10" ht="20.399999999999999">
      <c r="A74" s="452" t="s">
        <v>1681</v>
      </c>
      <c r="B74" s="268">
        <f t="shared" si="3"/>
        <v>0</v>
      </c>
      <c r="C74" s="136"/>
      <c r="D74" s="136"/>
      <c r="E74" s="266">
        <f t="shared" si="4"/>
        <v>0</v>
      </c>
      <c r="F74" s="340"/>
      <c r="G74" s="268">
        <v>0</v>
      </c>
      <c r="H74" s="340"/>
      <c r="I74" s="340"/>
      <c r="J74" s="340"/>
    </row>
    <row r="75" spans="1:10" ht="20.399999999999999">
      <c r="A75" s="270" t="s">
        <v>1682</v>
      </c>
      <c r="B75" s="268">
        <f t="shared" si="3"/>
        <v>0</v>
      </c>
      <c r="E75" s="266">
        <f t="shared" si="4"/>
        <v>0</v>
      </c>
      <c r="F75" s="340"/>
      <c r="G75" s="268">
        <v>0</v>
      </c>
      <c r="H75" s="340"/>
      <c r="I75" s="340"/>
      <c r="J75" s="340"/>
    </row>
    <row r="76" spans="1:10">
      <c r="A76" s="270" t="s">
        <v>1990</v>
      </c>
      <c r="B76" s="268">
        <f t="shared" si="3"/>
        <v>0</v>
      </c>
      <c r="E76" s="266">
        <f t="shared" si="4"/>
        <v>0</v>
      </c>
      <c r="F76" s="340"/>
      <c r="G76" s="268">
        <v>0</v>
      </c>
      <c r="H76" s="340"/>
      <c r="I76" s="340"/>
      <c r="J76" s="340"/>
    </row>
    <row r="77" spans="1:10">
      <c r="A77" s="452" t="s">
        <v>1684</v>
      </c>
      <c r="B77" s="268">
        <f t="shared" si="3"/>
        <v>-861860.76000001002</v>
      </c>
      <c r="C77" s="136"/>
      <c r="D77" s="134">
        <f>'FC Spr.z syt.finans.'!D26</f>
        <v>-861860.76000001002</v>
      </c>
      <c r="E77" s="266">
        <f>D77+C77</f>
        <v>-861860.76000001002</v>
      </c>
      <c r="F77" s="290" t="s">
        <v>169</v>
      </c>
      <c r="G77" s="268">
        <v>-518791.08</v>
      </c>
      <c r="H77" s="290">
        <v>-518791.08</v>
      </c>
      <c r="I77" s="340"/>
      <c r="J77" s="340"/>
    </row>
    <row r="78" spans="1:10">
      <c r="A78" s="270" t="s">
        <v>1683</v>
      </c>
      <c r="B78" s="268">
        <f t="shared" si="3"/>
        <v>0</v>
      </c>
      <c r="E78" s="266">
        <f t="shared" si="4"/>
        <v>0</v>
      </c>
      <c r="F78" s="347"/>
      <c r="G78" s="268">
        <v>0</v>
      </c>
      <c r="H78" s="340"/>
      <c r="I78" s="347" t="s">
        <v>3116</v>
      </c>
      <c r="J78" s="340"/>
    </row>
    <row r="79" spans="1:10">
      <c r="A79" s="454" t="s">
        <v>1685</v>
      </c>
      <c r="B79" s="317">
        <f t="shared" si="3"/>
        <v>-5997169.7699999912</v>
      </c>
      <c r="C79" s="317">
        <f>SUM(C80:C86)</f>
        <v>-5997169.7699999912</v>
      </c>
      <c r="D79" s="317">
        <f>D80+D81+D82+D83+D84+D85+D86</f>
        <v>0</v>
      </c>
      <c r="E79" s="317">
        <f>D79+C79</f>
        <v>-5997169.7699999912</v>
      </c>
      <c r="F79" s="340"/>
      <c r="G79" s="317">
        <v>322629.85000002058</v>
      </c>
      <c r="H79" s="340">
        <v>0</v>
      </c>
      <c r="I79" s="340"/>
      <c r="J79" s="340"/>
    </row>
    <row r="80" spans="1:10">
      <c r="A80" s="324" t="s">
        <v>1686</v>
      </c>
      <c r="B80" s="315">
        <f t="shared" si="3"/>
        <v>-5997169.7699999912</v>
      </c>
      <c r="C80" s="316">
        <f>-'FC Spr.z syt.finans.'!D20</f>
        <v>-5997169.7699999912</v>
      </c>
      <c r="E80" s="266">
        <f t="shared" ref="E80:E86" si="5">D80+C80</f>
        <v>-5997169.7699999912</v>
      </c>
      <c r="F80" s="340"/>
      <c r="G80" s="315">
        <v>322629.85000002058</v>
      </c>
      <c r="H80" s="340"/>
      <c r="I80" s="340"/>
      <c r="J80" s="340"/>
    </row>
    <row r="81" spans="1:10">
      <c r="A81" s="270" t="s">
        <v>1687</v>
      </c>
      <c r="B81" s="268">
        <f t="shared" si="3"/>
        <v>0</v>
      </c>
      <c r="E81" s="266">
        <f t="shared" si="5"/>
        <v>0</v>
      </c>
      <c r="F81" s="340"/>
      <c r="G81" s="268">
        <v>0</v>
      </c>
      <c r="H81" s="340"/>
      <c r="I81" s="340"/>
      <c r="J81" s="340"/>
    </row>
    <row r="82" spans="1:10" ht="20.399999999999999">
      <c r="A82" s="270" t="s">
        <v>1688</v>
      </c>
      <c r="B82" s="268">
        <f t="shared" si="3"/>
        <v>0</v>
      </c>
      <c r="E82" s="266">
        <f t="shared" si="5"/>
        <v>0</v>
      </c>
      <c r="F82" s="340"/>
      <c r="G82" s="268">
        <v>0</v>
      </c>
      <c r="H82" s="340"/>
      <c r="I82" s="340"/>
      <c r="J82" s="340"/>
    </row>
    <row r="83" spans="1:10" ht="20.399999999999999">
      <c r="A83" s="270" t="s">
        <v>1992</v>
      </c>
      <c r="B83" s="268">
        <f t="shared" si="3"/>
        <v>0</v>
      </c>
      <c r="E83" s="266">
        <f t="shared" si="5"/>
        <v>0</v>
      </c>
      <c r="F83" s="340"/>
      <c r="G83" s="268">
        <v>0</v>
      </c>
      <c r="H83" s="340"/>
      <c r="I83" s="340"/>
      <c r="J83" s="340"/>
    </row>
    <row r="84" spans="1:10">
      <c r="A84" s="270" t="s">
        <v>1689</v>
      </c>
      <c r="B84" s="268">
        <f t="shared" si="3"/>
        <v>0</v>
      </c>
      <c r="E84" s="266">
        <f t="shared" si="5"/>
        <v>0</v>
      </c>
      <c r="F84" s="340"/>
      <c r="G84" s="268">
        <v>0</v>
      </c>
      <c r="H84" s="340"/>
      <c r="I84" s="340"/>
      <c r="J84" s="340"/>
    </row>
    <row r="85" spans="1:10">
      <c r="A85" s="270" t="s">
        <v>1690</v>
      </c>
      <c r="B85" s="268">
        <f t="shared" si="3"/>
        <v>0</v>
      </c>
      <c r="E85" s="266">
        <f t="shared" si="5"/>
        <v>0</v>
      </c>
      <c r="F85" s="340"/>
      <c r="G85" s="268">
        <v>0</v>
      </c>
      <c r="H85" s="340"/>
      <c r="I85" s="340"/>
      <c r="J85" s="340"/>
    </row>
    <row r="86" spans="1:10">
      <c r="A86" s="270" t="s">
        <v>1691</v>
      </c>
      <c r="B86" s="268">
        <f t="shared" si="3"/>
        <v>0</v>
      </c>
      <c r="E86" s="266">
        <f t="shared" si="5"/>
        <v>0</v>
      </c>
      <c r="F86" s="347"/>
      <c r="G86" s="268">
        <v>0</v>
      </c>
      <c r="H86" s="340"/>
      <c r="I86" s="347" t="s">
        <v>3116</v>
      </c>
      <c r="J86" s="340"/>
    </row>
    <row r="87" spans="1:10">
      <c r="A87" s="455" t="s">
        <v>1692</v>
      </c>
      <c r="B87" s="321">
        <f t="shared" si="3"/>
        <v>-5994706.2299999828</v>
      </c>
      <c r="C87" s="321">
        <f>C88+C89+C90+C91+C92+C93+C94+C95+C103+C105+C106+C107+C109+C104+C108</f>
        <v>-5892838.2799999826</v>
      </c>
      <c r="D87" s="321">
        <f>D88+D89+D90+D91+D92+D93+D94+D95+D103+D105+D106+D107+D109+D104+D108</f>
        <v>-101867.95000000007</v>
      </c>
      <c r="E87" s="321">
        <f>D87+C87</f>
        <v>-5994706.2299999828</v>
      </c>
      <c r="F87" s="340"/>
      <c r="G87" s="321">
        <v>1021523.8600000666</v>
      </c>
      <c r="H87" s="340">
        <v>92067.420000000973</v>
      </c>
      <c r="I87" s="340"/>
      <c r="J87" s="340"/>
    </row>
    <row r="88" spans="1:10">
      <c r="A88" s="324" t="s">
        <v>1693</v>
      </c>
      <c r="B88" s="315">
        <f t="shared" si="3"/>
        <v>-295095.55999999994</v>
      </c>
      <c r="C88" s="316">
        <f>'FC Spr.z syt.finans.'!D56</f>
        <v>-295095.55999999994</v>
      </c>
      <c r="E88" s="266">
        <f t="shared" ref="E88:E102" si="6">D88+C88</f>
        <v>-295095.55999999994</v>
      </c>
      <c r="F88" s="340"/>
      <c r="G88" s="315">
        <v>212922.64</v>
      </c>
      <c r="H88" s="340"/>
      <c r="I88" s="340"/>
      <c r="J88" s="340"/>
    </row>
    <row r="89" spans="1:10">
      <c r="A89" s="324" t="s">
        <v>1694</v>
      </c>
      <c r="B89" s="315">
        <f t="shared" si="3"/>
        <v>3827468.7900000084</v>
      </c>
      <c r="C89" s="316">
        <f>'FC Spr.z syt.finans.'!D65</f>
        <v>3827468.7900000084</v>
      </c>
      <c r="E89" s="266">
        <f t="shared" si="6"/>
        <v>3827468.7900000084</v>
      </c>
      <c r="G89" s="315">
        <v>2077503.1700000912</v>
      </c>
      <c r="H89" s="347"/>
      <c r="J89" s="340"/>
    </row>
    <row r="90" spans="1:10">
      <c r="A90" s="324" t="s">
        <v>1695</v>
      </c>
      <c r="B90" s="315">
        <f t="shared" si="3"/>
        <v>94582.350000008708</v>
      </c>
      <c r="C90" s="316">
        <f>'FC Spr.z syt.finans.'!D71</f>
        <v>94582.350000008708</v>
      </c>
      <c r="E90" s="266">
        <f t="shared" si="6"/>
        <v>94582.350000008708</v>
      </c>
      <c r="F90" s="340"/>
      <c r="G90" s="315">
        <v>-832305.8199999989</v>
      </c>
      <c r="H90" s="340"/>
      <c r="I90" s="340"/>
      <c r="J90" s="340"/>
    </row>
    <row r="91" spans="1:10">
      <c r="A91" s="324" t="s">
        <v>1696</v>
      </c>
      <c r="B91" s="315">
        <f t="shared" si="3"/>
        <v>-9519793.8599999994</v>
      </c>
      <c r="C91" s="316">
        <f>'FC Spr.z syt.finans.'!D72</f>
        <v>-9519793.8599999994</v>
      </c>
      <c r="E91" s="266">
        <f t="shared" si="6"/>
        <v>-9519793.8599999994</v>
      </c>
      <c r="F91" s="340"/>
      <c r="G91" s="315">
        <v>-528663.55000002682</v>
      </c>
      <c r="H91" s="340"/>
      <c r="I91" s="340"/>
      <c r="J91" s="340"/>
    </row>
    <row r="92" spans="1:10">
      <c r="A92" s="324" t="s">
        <v>1993</v>
      </c>
      <c r="B92" s="315">
        <f t="shared" si="3"/>
        <v>0</v>
      </c>
      <c r="C92" s="316">
        <f>'FC Spr.z syt.finans.'!D61</f>
        <v>0</v>
      </c>
      <c r="E92" s="266">
        <f t="shared" si="6"/>
        <v>0</v>
      </c>
      <c r="F92" s="340"/>
      <c r="G92" s="315">
        <v>0</v>
      </c>
      <c r="H92" s="340"/>
      <c r="I92" s="340"/>
      <c r="J92" s="340"/>
    </row>
    <row r="93" spans="1:10" ht="20.399999999999999">
      <c r="A93" s="456" t="s">
        <v>1697</v>
      </c>
      <c r="B93" s="322">
        <f t="shared" si="3"/>
        <v>0</v>
      </c>
      <c r="C93" s="141"/>
      <c r="E93" s="266">
        <f t="shared" si="6"/>
        <v>0</v>
      </c>
      <c r="F93" s="340"/>
      <c r="G93" s="322">
        <v>0</v>
      </c>
      <c r="H93" s="340"/>
      <c r="I93" s="340"/>
      <c r="J93" s="340"/>
    </row>
    <row r="94" spans="1:10">
      <c r="A94" s="270" t="s">
        <v>1698</v>
      </c>
      <c r="B94" s="268">
        <f t="shared" si="3"/>
        <v>0</v>
      </c>
      <c r="E94" s="266">
        <f t="shared" si="6"/>
        <v>0</v>
      </c>
      <c r="F94" s="340"/>
      <c r="G94" s="268">
        <v>0</v>
      </c>
      <c r="H94" s="340"/>
      <c r="I94" s="340"/>
      <c r="J94" s="340"/>
    </row>
    <row r="95" spans="1:10">
      <c r="A95" s="270" t="s">
        <v>1699</v>
      </c>
      <c r="B95" s="268">
        <f t="shared" si="3"/>
        <v>130.42999999994117</v>
      </c>
      <c r="D95" s="137">
        <f>SUM(D96:D102)</f>
        <v>130.42999999994117</v>
      </c>
      <c r="E95" s="266">
        <f t="shared" si="6"/>
        <v>130.42999999994117</v>
      </c>
      <c r="F95" s="340"/>
      <c r="G95" s="268">
        <v>-16704.879999999026</v>
      </c>
      <c r="H95" s="340">
        <v>-16704.879999999026</v>
      </c>
      <c r="I95" s="340"/>
      <c r="J95" s="340"/>
    </row>
    <row r="96" spans="1:10">
      <c r="A96" s="332" t="s">
        <v>2109</v>
      </c>
      <c r="B96" s="322"/>
      <c r="C96" s="141"/>
      <c r="D96" s="139">
        <f>'FC Spr.z syt.finans.'!D55+'FC Spr.z syt.finans.'!D70</f>
        <v>-238781.70999998954</v>
      </c>
      <c r="E96" s="266">
        <f t="shared" si="6"/>
        <v>-238781.70999998954</v>
      </c>
      <c r="F96" s="340"/>
      <c r="G96" s="322"/>
      <c r="H96" s="340">
        <v>-304564.75000000763</v>
      </c>
      <c r="I96" s="340"/>
      <c r="J96" s="340"/>
    </row>
    <row r="97" spans="1:10">
      <c r="A97" s="332" t="s">
        <v>2110</v>
      </c>
      <c r="B97" s="322"/>
      <c r="C97" s="141"/>
      <c r="D97" s="134">
        <f>(IFERROR(VLOOKUP(F97,obrotówka!$A$3:$KJ$1600,11,0),0))</f>
        <v>217225.71999998949</v>
      </c>
      <c r="E97" s="266">
        <f t="shared" si="6"/>
        <v>217225.71999998949</v>
      </c>
      <c r="F97" s="81" t="s">
        <v>177</v>
      </c>
      <c r="G97" s="322"/>
      <c r="H97" s="81">
        <v>260035.94000000972</v>
      </c>
      <c r="I97" s="340"/>
      <c r="J97" s="340"/>
    </row>
    <row r="98" spans="1:10">
      <c r="A98" s="332" t="s">
        <v>2110</v>
      </c>
      <c r="B98" s="322"/>
      <c r="C98" s="141"/>
      <c r="D98" s="134">
        <f>(IFERROR(VLOOKUP(F98,obrotówka!$A$3:$KJ$1600,11,0),0))</f>
        <v>17648.75</v>
      </c>
      <c r="E98" s="266">
        <f t="shared" si="6"/>
        <v>17648.75</v>
      </c>
      <c r="F98" s="81" t="s">
        <v>213</v>
      </c>
      <c r="G98" s="322"/>
      <c r="H98" s="81">
        <v>12132.649999998976</v>
      </c>
      <c r="I98" s="340"/>
      <c r="J98" s="340"/>
    </row>
    <row r="99" spans="1:10">
      <c r="A99" s="332" t="s">
        <v>2504</v>
      </c>
      <c r="B99" s="322"/>
      <c r="C99" s="141"/>
      <c r="D99" s="134">
        <f>(IFERROR(VLOOKUP(F99,obrotówka!$A$3:$KJ$1600,11,0),0))</f>
        <v>0</v>
      </c>
      <c r="E99" s="266">
        <f t="shared" si="6"/>
        <v>0</v>
      </c>
      <c r="F99" s="340" t="s">
        <v>207</v>
      </c>
      <c r="G99" s="322"/>
      <c r="H99" s="340">
        <v>0</v>
      </c>
      <c r="I99" s="340"/>
      <c r="J99" s="340"/>
    </row>
    <row r="100" spans="1:10">
      <c r="A100" s="332" t="s">
        <v>2118</v>
      </c>
      <c r="B100" s="322"/>
      <c r="C100" s="141"/>
      <c r="D100" s="346"/>
      <c r="E100" s="266">
        <f t="shared" si="6"/>
        <v>0</v>
      </c>
      <c r="F100" s="340"/>
      <c r="G100" s="322"/>
      <c r="H100" s="340"/>
      <c r="I100" s="340"/>
      <c r="J100" s="340"/>
    </row>
    <row r="101" spans="1:10">
      <c r="A101" s="332" t="s">
        <v>2117</v>
      </c>
      <c r="B101" s="322"/>
      <c r="C101" s="141"/>
      <c r="D101" s="134">
        <f>(IFERROR(VLOOKUP(F101,obrotówka!$A$3:$KJ$1600,11,0),0))</f>
        <v>4037.6699999999901</v>
      </c>
      <c r="E101" s="266">
        <f t="shared" si="6"/>
        <v>4037.6699999999901</v>
      </c>
      <c r="F101" s="81" t="s">
        <v>165</v>
      </c>
      <c r="G101" s="322"/>
      <c r="H101" s="81">
        <v>15691.279999999901</v>
      </c>
      <c r="I101" s="340"/>
      <c r="J101" s="340"/>
    </row>
    <row r="102" spans="1:10">
      <c r="A102" s="332" t="s">
        <v>2108</v>
      </c>
      <c r="B102" s="322"/>
      <c r="C102" s="141"/>
      <c r="D102" s="437">
        <f>IF(D26&gt;0,0,-D26)</f>
        <v>0</v>
      </c>
      <c r="E102" s="266">
        <f t="shared" si="6"/>
        <v>0</v>
      </c>
      <c r="F102" s="340"/>
      <c r="G102" s="322"/>
      <c r="H102" s="340">
        <v>0</v>
      </c>
      <c r="I102" s="340"/>
      <c r="J102" s="340"/>
    </row>
    <row r="103" spans="1:10">
      <c r="A103" s="270" t="s">
        <v>1700</v>
      </c>
      <c r="B103" s="268">
        <f t="shared" ref="B103:B109" si="7">E103</f>
        <v>0</v>
      </c>
      <c r="D103" s="135"/>
      <c r="E103" s="266">
        <f t="shared" ref="E103:E109" si="8">D103+C103</f>
        <v>0</v>
      </c>
      <c r="F103" s="340"/>
      <c r="G103" s="268">
        <v>0</v>
      </c>
      <c r="H103" s="340"/>
      <c r="I103" s="340"/>
      <c r="J103" s="340"/>
    </row>
    <row r="104" spans="1:10">
      <c r="A104" s="270" t="s">
        <v>1701</v>
      </c>
      <c r="B104" s="268">
        <f t="shared" si="7"/>
        <v>-101998.38</v>
      </c>
      <c r="C104" s="284"/>
      <c r="D104" s="284">
        <f>-D199</f>
        <v>-101998.38</v>
      </c>
      <c r="E104" s="266">
        <f t="shared" si="8"/>
        <v>-101998.38</v>
      </c>
      <c r="F104" s="340"/>
      <c r="G104" s="268">
        <v>108772.3</v>
      </c>
      <c r="H104" s="340">
        <v>108772.3</v>
      </c>
      <c r="I104" s="340"/>
      <c r="J104" s="340"/>
    </row>
    <row r="105" spans="1:10">
      <c r="A105" s="270" t="s">
        <v>1702</v>
      </c>
      <c r="B105" s="268">
        <f t="shared" si="7"/>
        <v>0</v>
      </c>
      <c r="E105" s="266">
        <f t="shared" si="8"/>
        <v>0</v>
      </c>
      <c r="F105" s="340"/>
      <c r="G105" s="268">
        <v>0</v>
      </c>
      <c r="H105" s="340"/>
      <c r="I105" s="340"/>
      <c r="J105" s="340"/>
    </row>
    <row r="106" spans="1:10" ht="20.399999999999999">
      <c r="A106" s="270" t="s">
        <v>1703</v>
      </c>
      <c r="B106" s="268">
        <f t="shared" si="7"/>
        <v>0</v>
      </c>
      <c r="E106" s="266">
        <f t="shared" si="8"/>
        <v>0</v>
      </c>
      <c r="F106" s="340"/>
      <c r="G106" s="268">
        <v>0</v>
      </c>
      <c r="H106" s="340"/>
      <c r="I106" s="340"/>
      <c r="J106" s="340"/>
    </row>
    <row r="107" spans="1:10" ht="20.399999999999999">
      <c r="A107" s="270" t="s">
        <v>1704</v>
      </c>
      <c r="B107" s="268">
        <f t="shared" si="7"/>
        <v>0</v>
      </c>
      <c r="E107" s="266">
        <f t="shared" si="8"/>
        <v>0</v>
      </c>
      <c r="F107" s="340"/>
      <c r="G107" s="268">
        <v>0</v>
      </c>
      <c r="H107" s="340"/>
      <c r="I107" s="340"/>
      <c r="J107" s="340"/>
    </row>
    <row r="108" spans="1:10">
      <c r="A108" s="676" t="s">
        <v>1705</v>
      </c>
      <c r="B108" s="268">
        <f t="shared" si="7"/>
        <v>0</v>
      </c>
      <c r="C108" s="136"/>
      <c r="D108" s="677"/>
      <c r="E108" s="266">
        <f t="shared" si="8"/>
        <v>0</v>
      </c>
      <c r="F108" s="340"/>
      <c r="G108" s="268">
        <v>0</v>
      </c>
      <c r="H108" s="340"/>
      <c r="I108" s="340"/>
      <c r="J108" s="340"/>
    </row>
    <row r="109" spans="1:10">
      <c r="A109" s="456" t="s">
        <v>2000</v>
      </c>
      <c r="B109" s="268">
        <f t="shared" si="7"/>
        <v>0</v>
      </c>
      <c r="D109" s="137">
        <f>D110+D111</f>
        <v>0</v>
      </c>
      <c r="E109" s="266">
        <f t="shared" si="8"/>
        <v>0</v>
      </c>
      <c r="F109" s="340"/>
      <c r="G109" s="268">
        <v>0</v>
      </c>
      <c r="H109" s="340">
        <v>0</v>
      </c>
      <c r="I109" s="340"/>
      <c r="J109" s="340"/>
    </row>
    <row r="110" spans="1:10">
      <c r="A110" s="332" t="s">
        <v>2502</v>
      </c>
      <c r="B110" s="268"/>
      <c r="E110" s="266"/>
      <c r="F110" s="340"/>
      <c r="G110" s="268"/>
      <c r="H110" s="340"/>
      <c r="I110" s="340"/>
      <c r="J110" s="340"/>
    </row>
    <row r="111" spans="1:10">
      <c r="A111" s="332" t="s">
        <v>2504</v>
      </c>
      <c r="B111" s="268"/>
      <c r="D111" s="139">
        <f>-D99</f>
        <v>0</v>
      </c>
      <c r="E111" s="266"/>
      <c r="F111" s="347"/>
      <c r="G111" s="268"/>
      <c r="H111" s="340">
        <v>0</v>
      </c>
      <c r="I111" s="347" t="s">
        <v>3116</v>
      </c>
      <c r="J111" s="340"/>
    </row>
    <row r="112" spans="1:10">
      <c r="A112" s="454" t="s">
        <v>1706</v>
      </c>
      <c r="B112" s="317">
        <f>E112</f>
        <v>-830108.7499999986</v>
      </c>
      <c r="C112" s="317">
        <f>C113+C114+C115+C116+C117+C118+C119+C120+C121</f>
        <v>-821578.19999999856</v>
      </c>
      <c r="D112" s="317">
        <f>D113+D114+D115+D116+D117+D118+D119+D120+D121</f>
        <v>-8530.5499999999902</v>
      </c>
      <c r="E112" s="317">
        <f>D112+C112</f>
        <v>-830108.7499999986</v>
      </c>
      <c r="F112" s="340"/>
      <c r="G112" s="317">
        <v>-510338.70000000298</v>
      </c>
      <c r="H112" s="340">
        <v>0</v>
      </c>
      <c r="I112" s="340"/>
      <c r="J112" s="340"/>
    </row>
    <row r="113" spans="1:10">
      <c r="A113" s="324" t="s">
        <v>1707</v>
      </c>
      <c r="B113" s="315">
        <f t="shared" ref="B113:B121" si="9">E113</f>
        <v>8530.5499999999902</v>
      </c>
      <c r="C113" s="316">
        <f>-'FC Spr.z syt.finans.'!D13</f>
        <v>8530.5499999999902</v>
      </c>
      <c r="E113" s="266">
        <f t="shared" ref="E113:E122" si="10">D113+C113</f>
        <v>8530.5499999999902</v>
      </c>
      <c r="F113" s="340"/>
      <c r="G113" s="315">
        <v>0</v>
      </c>
      <c r="H113" s="340"/>
      <c r="I113" s="340"/>
      <c r="J113" s="340"/>
    </row>
    <row r="114" spans="1:10">
      <c r="A114" s="270" t="s">
        <v>1708</v>
      </c>
      <c r="B114" s="268">
        <f t="shared" si="9"/>
        <v>-8530.5499999999902</v>
      </c>
      <c r="D114" s="134">
        <f>(IFERROR(VLOOKUP(F114,obrotówka!$A$3:$KJ$1600,11,0),0))</f>
        <v>-8530.5499999999902</v>
      </c>
      <c r="E114" s="266">
        <f t="shared" si="10"/>
        <v>-8530.5499999999902</v>
      </c>
      <c r="F114" s="681" t="s">
        <v>2512</v>
      </c>
      <c r="G114" s="268">
        <v>0</v>
      </c>
      <c r="H114" s="340"/>
      <c r="I114" s="340"/>
      <c r="J114" s="340"/>
    </row>
    <row r="115" spans="1:10">
      <c r="A115" s="270" t="s">
        <v>1709</v>
      </c>
      <c r="B115" s="268">
        <f t="shared" si="9"/>
        <v>0</v>
      </c>
      <c r="E115" s="266">
        <f t="shared" si="10"/>
        <v>0</v>
      </c>
      <c r="F115" s="340"/>
      <c r="G115" s="268">
        <v>0</v>
      </c>
      <c r="H115" s="340"/>
      <c r="I115" s="340"/>
      <c r="J115" s="340"/>
    </row>
    <row r="116" spans="1:10">
      <c r="A116" s="324" t="s">
        <v>1710</v>
      </c>
      <c r="B116" s="315">
        <f t="shared" si="9"/>
        <v>-830108.7499999986</v>
      </c>
      <c r="C116" s="316">
        <f>-'FC Spr.z syt.finans.'!D28</f>
        <v>-830108.7499999986</v>
      </c>
      <c r="E116" s="266">
        <f t="shared" si="10"/>
        <v>-830108.7499999986</v>
      </c>
      <c r="G116" s="315">
        <v>-510338.70000000298</v>
      </c>
      <c r="H116" s="347"/>
      <c r="J116" s="340"/>
    </row>
    <row r="117" spans="1:10">
      <c r="A117" s="270" t="s">
        <v>1711</v>
      </c>
      <c r="B117" s="268">
        <f t="shared" si="9"/>
        <v>0</v>
      </c>
      <c r="E117" s="266">
        <f t="shared" si="10"/>
        <v>0</v>
      </c>
      <c r="F117" s="340"/>
      <c r="G117" s="268">
        <v>0</v>
      </c>
      <c r="H117" s="340"/>
      <c r="I117" s="340"/>
      <c r="J117" s="340"/>
    </row>
    <row r="118" spans="1:10" ht="20.399999999999999">
      <c r="A118" s="270" t="s">
        <v>1712</v>
      </c>
      <c r="B118" s="268">
        <f t="shared" si="9"/>
        <v>0</v>
      </c>
      <c r="E118" s="266">
        <f t="shared" si="10"/>
        <v>0</v>
      </c>
      <c r="F118" s="340"/>
      <c r="G118" s="268">
        <v>0</v>
      </c>
      <c r="H118" s="340"/>
      <c r="I118" s="340"/>
      <c r="J118" s="340"/>
    </row>
    <row r="119" spans="1:10" ht="20.399999999999999">
      <c r="A119" s="270" t="s">
        <v>1713</v>
      </c>
      <c r="B119" s="268">
        <f t="shared" si="9"/>
        <v>0</v>
      </c>
      <c r="E119" s="266">
        <f t="shared" si="10"/>
        <v>0</v>
      </c>
      <c r="F119" s="340"/>
      <c r="G119" s="268">
        <v>0</v>
      </c>
      <c r="H119" s="340"/>
      <c r="I119" s="340"/>
      <c r="J119" s="340"/>
    </row>
    <row r="120" spans="1:10">
      <c r="A120" s="675" t="s">
        <v>1995</v>
      </c>
      <c r="B120" s="268">
        <f t="shared" si="9"/>
        <v>0</v>
      </c>
      <c r="D120" s="306"/>
      <c r="E120" s="266">
        <f t="shared" si="10"/>
        <v>0</v>
      </c>
      <c r="F120" s="340"/>
      <c r="G120" s="268">
        <v>0</v>
      </c>
      <c r="H120" s="340"/>
      <c r="J120" s="340"/>
    </row>
    <row r="121" spans="1:10">
      <c r="A121" s="270" t="s">
        <v>1714</v>
      </c>
      <c r="B121" s="268">
        <f t="shared" si="9"/>
        <v>0</v>
      </c>
      <c r="C121" s="137">
        <f>C122</f>
        <v>0</v>
      </c>
      <c r="D121" s="137">
        <f>D122</f>
        <v>0</v>
      </c>
      <c r="E121" s="137">
        <f>E122</f>
        <v>0</v>
      </c>
      <c r="F121" s="347"/>
      <c r="G121" s="268">
        <v>0</v>
      </c>
      <c r="H121" s="340">
        <v>0</v>
      </c>
      <c r="I121" s="347" t="s">
        <v>3116</v>
      </c>
      <c r="J121" s="340"/>
    </row>
    <row r="122" spans="1:10">
      <c r="A122" s="332" t="s">
        <v>2501</v>
      </c>
      <c r="B122" s="268"/>
      <c r="C122" s="139">
        <f>'bilans '!B284</f>
        <v>0</v>
      </c>
      <c r="E122" s="266">
        <f t="shared" si="10"/>
        <v>0</v>
      </c>
      <c r="F122" s="340"/>
      <c r="G122" s="277"/>
      <c r="H122" s="340"/>
      <c r="I122" s="340"/>
      <c r="J122" s="340"/>
    </row>
    <row r="123" spans="1:10">
      <c r="A123" s="447" t="s">
        <v>1578</v>
      </c>
      <c r="B123" s="317">
        <f t="shared" ref="B123:B169" si="11">E123</f>
        <v>0</v>
      </c>
      <c r="C123" s="283"/>
      <c r="D123" s="283"/>
      <c r="E123" s="317">
        <f t="shared" ref="E123:E172" si="12">D123+C123</f>
        <v>0</v>
      </c>
      <c r="F123" s="340"/>
      <c r="G123" s="317">
        <v>0</v>
      </c>
      <c r="H123" s="340"/>
      <c r="I123" s="340"/>
      <c r="J123" s="340"/>
    </row>
    <row r="124" spans="1:10">
      <c r="A124" s="454" t="s">
        <v>1716</v>
      </c>
      <c r="B124" s="317">
        <f t="shared" si="11"/>
        <v>-106435.2</v>
      </c>
      <c r="C124" s="317">
        <f>C125+C126+C127+C128+C129+C130+C131+C132</f>
        <v>-106435.2</v>
      </c>
      <c r="D124" s="317">
        <f>D125+D126+D127+D128+D129+D130+D131+D132</f>
        <v>0</v>
      </c>
      <c r="E124" s="317">
        <f t="shared" si="12"/>
        <v>-106435.2</v>
      </c>
      <c r="F124" s="340"/>
      <c r="G124" s="317">
        <v>-1321452.04</v>
      </c>
      <c r="H124" s="340">
        <v>0</v>
      </c>
      <c r="I124" s="340"/>
      <c r="J124" s="340"/>
    </row>
    <row r="125" spans="1:10" ht="20.399999999999999">
      <c r="A125" s="324" t="s">
        <v>1717</v>
      </c>
      <c r="B125" s="315">
        <f t="shared" si="11"/>
        <v>0</v>
      </c>
      <c r="C125" s="316">
        <f>'FC Spr.z syt.finans.'!D60</f>
        <v>0</v>
      </c>
      <c r="E125" s="266">
        <f t="shared" si="12"/>
        <v>0</v>
      </c>
      <c r="F125" s="340"/>
      <c r="G125" s="315">
        <v>0</v>
      </c>
      <c r="H125" s="340"/>
      <c r="I125" s="340"/>
      <c r="J125" s="340"/>
    </row>
    <row r="126" spans="1:10" ht="20.399999999999999">
      <c r="A126" s="270" t="s">
        <v>1718</v>
      </c>
      <c r="B126" s="268">
        <f t="shared" si="11"/>
        <v>0</v>
      </c>
      <c r="E126" s="266">
        <f t="shared" si="12"/>
        <v>0</v>
      </c>
      <c r="F126" s="340"/>
      <c r="G126" s="268">
        <v>0</v>
      </c>
      <c r="H126" s="340"/>
      <c r="I126" s="340"/>
      <c r="J126" s="340"/>
    </row>
    <row r="127" spans="1:10">
      <c r="A127" s="324" t="s">
        <v>1719</v>
      </c>
      <c r="B127" s="315">
        <f t="shared" si="11"/>
        <v>-106435.2</v>
      </c>
      <c r="C127" s="316">
        <f>'FC Spr.z syt.finans.'!D74</f>
        <v>-106435.2</v>
      </c>
      <c r="E127" s="266">
        <f t="shared" si="12"/>
        <v>-106435.2</v>
      </c>
      <c r="G127" s="315">
        <v>-1321452.04</v>
      </c>
      <c r="H127" s="347"/>
      <c r="J127" s="340"/>
    </row>
    <row r="128" spans="1:10" ht="20.399999999999999">
      <c r="A128" s="270" t="s">
        <v>1720</v>
      </c>
      <c r="B128" s="268">
        <f t="shared" si="11"/>
        <v>0</v>
      </c>
      <c r="E128" s="266">
        <f t="shared" si="12"/>
        <v>0</v>
      </c>
      <c r="F128" s="340"/>
      <c r="G128" s="268">
        <v>0</v>
      </c>
      <c r="H128" s="340"/>
      <c r="I128" s="340"/>
      <c r="J128" s="340"/>
    </row>
    <row r="129" spans="1:12">
      <c r="A129" s="270" t="s">
        <v>1721</v>
      </c>
      <c r="B129" s="268">
        <f t="shared" si="11"/>
        <v>0</v>
      </c>
      <c r="E129" s="266">
        <f t="shared" si="12"/>
        <v>0</v>
      </c>
      <c r="F129" s="340"/>
      <c r="G129" s="268">
        <v>0</v>
      </c>
      <c r="H129" s="340"/>
      <c r="I129" s="340"/>
      <c r="J129" s="340"/>
    </row>
    <row r="130" spans="1:12">
      <c r="A130" s="270" t="s">
        <v>1722</v>
      </c>
      <c r="B130" s="268">
        <f t="shared" si="11"/>
        <v>0</v>
      </c>
      <c r="E130" s="266">
        <f t="shared" si="12"/>
        <v>0</v>
      </c>
      <c r="F130" s="340"/>
      <c r="G130" s="268">
        <v>0</v>
      </c>
      <c r="H130" s="340"/>
      <c r="I130" s="340"/>
      <c r="J130" s="340"/>
    </row>
    <row r="131" spans="1:12">
      <c r="A131" s="270" t="s">
        <v>1996</v>
      </c>
      <c r="B131" s="268">
        <f t="shared" si="11"/>
        <v>0</v>
      </c>
      <c r="E131" s="266">
        <f t="shared" si="12"/>
        <v>0</v>
      </c>
      <c r="F131" s="340"/>
      <c r="G131" s="268">
        <v>0</v>
      </c>
      <c r="H131" s="340"/>
      <c r="I131" s="340"/>
      <c r="J131" s="340"/>
    </row>
    <row r="132" spans="1:12">
      <c r="A132" s="270" t="s">
        <v>1723</v>
      </c>
      <c r="B132" s="268">
        <f t="shared" si="11"/>
        <v>0</v>
      </c>
      <c r="E132" s="266">
        <f t="shared" si="12"/>
        <v>0</v>
      </c>
      <c r="F132" s="347"/>
      <c r="G132" s="268">
        <v>0</v>
      </c>
      <c r="H132" s="340"/>
      <c r="I132" s="347" t="s">
        <v>3116</v>
      </c>
      <c r="J132" s="340"/>
    </row>
    <row r="133" spans="1:12">
      <c r="A133" s="454" t="s">
        <v>1724</v>
      </c>
      <c r="B133" s="317">
        <f t="shared" si="11"/>
        <v>-587726.39000000106</v>
      </c>
      <c r="C133" s="317">
        <f>C134+C135+C136+C137+C138+C139+C140+C141</f>
        <v>-587726.39000000106</v>
      </c>
      <c r="D133" s="317">
        <f>D134+D135+D136+D137+D138+D139+D140+D141</f>
        <v>0</v>
      </c>
      <c r="E133" s="317">
        <f t="shared" si="12"/>
        <v>-587726.39000000106</v>
      </c>
      <c r="F133" s="340"/>
      <c r="G133" s="317">
        <v>-1268363.44</v>
      </c>
      <c r="H133" s="340">
        <v>-950183.77</v>
      </c>
      <c r="I133" s="340"/>
      <c r="J133" s="340"/>
    </row>
    <row r="134" spans="1:12">
      <c r="A134" s="324" t="s">
        <v>1725</v>
      </c>
      <c r="B134" s="315">
        <f t="shared" si="11"/>
        <v>-615977</v>
      </c>
      <c r="C134" s="316">
        <f>'FC Spr.z syt.finans.'!D58</f>
        <v>-615977</v>
      </c>
      <c r="E134" s="266">
        <f t="shared" si="12"/>
        <v>-615977</v>
      </c>
      <c r="F134" s="340"/>
      <c r="G134" s="315">
        <v>5972267.2999999896</v>
      </c>
      <c r="H134" s="340"/>
      <c r="I134" s="340"/>
      <c r="J134" s="340"/>
    </row>
    <row r="135" spans="1:12">
      <c r="A135" s="270" t="s">
        <v>1726</v>
      </c>
      <c r="B135" s="268">
        <f t="shared" si="11"/>
        <v>0</v>
      </c>
      <c r="E135" s="266">
        <f t="shared" si="12"/>
        <v>0</v>
      </c>
      <c r="F135" s="340"/>
      <c r="G135" s="268">
        <v>0</v>
      </c>
      <c r="H135" s="340"/>
      <c r="I135" s="340"/>
      <c r="J135" s="340"/>
    </row>
    <row r="136" spans="1:12">
      <c r="A136" s="324" t="s">
        <v>1727</v>
      </c>
      <c r="B136" s="315">
        <f t="shared" si="11"/>
        <v>28250.609999998938</v>
      </c>
      <c r="C136" s="316">
        <f>'FC Spr.z syt.finans.'!D75</f>
        <v>28250.609999998938</v>
      </c>
      <c r="E136" s="266">
        <f t="shared" si="12"/>
        <v>28250.609999998938</v>
      </c>
      <c r="G136" s="315">
        <v>-6290446.9699999895</v>
      </c>
      <c r="H136" s="347"/>
      <c r="J136" s="340"/>
    </row>
    <row r="137" spans="1:12">
      <c r="A137" s="270" t="s">
        <v>1728</v>
      </c>
      <c r="B137" s="268">
        <f t="shared" si="11"/>
        <v>0</v>
      </c>
      <c r="E137" s="266">
        <f t="shared" si="12"/>
        <v>0</v>
      </c>
      <c r="F137" s="340"/>
      <c r="G137" s="268">
        <v>0</v>
      </c>
      <c r="H137" s="340"/>
      <c r="I137" s="340"/>
      <c r="J137" s="340"/>
    </row>
    <row r="138" spans="1:12" s="140" customFormat="1">
      <c r="A138" s="452" t="s">
        <v>1729</v>
      </c>
      <c r="B138" s="268">
        <f t="shared" si="11"/>
        <v>0</v>
      </c>
      <c r="C138" s="136"/>
      <c r="D138" s="136"/>
      <c r="E138" s="266">
        <f t="shared" si="12"/>
        <v>0</v>
      </c>
      <c r="F138" s="340"/>
      <c r="G138" s="268">
        <v>-950183.77</v>
      </c>
      <c r="H138" s="340">
        <v>-950183.77</v>
      </c>
      <c r="I138" s="340"/>
      <c r="J138" s="340"/>
    </row>
    <row r="139" spans="1:12" ht="19.2" customHeight="1">
      <c r="A139" s="270" t="s">
        <v>1730</v>
      </c>
      <c r="B139" s="268">
        <f t="shared" si="11"/>
        <v>0</v>
      </c>
      <c r="D139" s="284">
        <f>-'wycena rezerw aktuarialnych'!D17</f>
        <v>0</v>
      </c>
      <c r="E139" s="266">
        <f t="shared" si="12"/>
        <v>0</v>
      </c>
      <c r="F139" s="1023" t="s">
        <v>3772</v>
      </c>
      <c r="G139" s="1024">
        <v>0</v>
      </c>
      <c r="H139" s="1024"/>
      <c r="I139" s="1024"/>
      <c r="J139" s="1024"/>
      <c r="K139" s="1024"/>
      <c r="L139" s="1024"/>
    </row>
    <row r="140" spans="1:12">
      <c r="A140" s="270" t="s">
        <v>1731</v>
      </c>
      <c r="B140" s="268">
        <f t="shared" si="11"/>
        <v>0</v>
      </c>
      <c r="E140" s="266">
        <f t="shared" si="12"/>
        <v>0</v>
      </c>
      <c r="F140" s="340"/>
      <c r="G140" s="268">
        <v>0</v>
      </c>
      <c r="H140" s="340"/>
      <c r="I140" s="340"/>
      <c r="J140" s="340"/>
    </row>
    <row r="141" spans="1:12">
      <c r="A141" s="270" t="s">
        <v>1732</v>
      </c>
      <c r="B141" s="268">
        <f t="shared" si="11"/>
        <v>0</v>
      </c>
      <c r="E141" s="266">
        <f t="shared" si="12"/>
        <v>0</v>
      </c>
      <c r="F141" s="340"/>
      <c r="G141" s="268">
        <v>0</v>
      </c>
      <c r="H141" s="340"/>
      <c r="I141" s="340"/>
      <c r="J141" s="340"/>
    </row>
    <row r="142" spans="1:12">
      <c r="A142" s="442" t="s">
        <v>1733</v>
      </c>
      <c r="B142" s="320">
        <f t="shared" si="11"/>
        <v>-400923.99999999092</v>
      </c>
      <c r="C142" s="320">
        <f>C143+C144+C145+C146+C147+C148+C149+C150+C151+C152+C153+C154+C155+C156+C157+C162</f>
        <v>-400923.99999999092</v>
      </c>
      <c r="D142" s="320">
        <f>D143+D144+D145+D146+D147+D148+D149+D150+D151+D152+D153+D154+D155+D156+D157+D162</f>
        <v>0</v>
      </c>
      <c r="E142" s="320">
        <f t="shared" si="12"/>
        <v>-400923.99999999092</v>
      </c>
      <c r="F142" s="340"/>
      <c r="G142" s="320">
        <v>-1535476.999999987</v>
      </c>
      <c r="H142" s="340">
        <v>180534.92</v>
      </c>
      <c r="I142" s="340" t="s">
        <v>2503</v>
      </c>
      <c r="J142" s="340"/>
      <c r="L142" s="137"/>
    </row>
    <row r="143" spans="1:12" s="140" customFormat="1">
      <c r="A143" s="452" t="s">
        <v>1734</v>
      </c>
      <c r="B143" s="136">
        <f t="shared" si="11"/>
        <v>-1908461.01</v>
      </c>
      <c r="C143" s="284">
        <f>-'RZiS, koszty rodz.'!B177</f>
        <v>-1908461.01</v>
      </c>
      <c r="D143" s="136"/>
      <c r="E143" s="266">
        <f t="shared" si="12"/>
        <v>-1908461.01</v>
      </c>
      <c r="F143" s="340"/>
      <c r="G143" s="136">
        <v>-1398781.9900000002</v>
      </c>
      <c r="H143" s="340"/>
      <c r="I143" s="340">
        <v>-501922</v>
      </c>
      <c r="J143" s="340" t="s">
        <v>3959</v>
      </c>
      <c r="L143" s="141"/>
    </row>
    <row r="144" spans="1:12" s="140" customFormat="1">
      <c r="A144" s="324" t="s">
        <v>1736</v>
      </c>
      <c r="B144" s="315">
        <f t="shared" si="11"/>
        <v>1422800.0100000091</v>
      </c>
      <c r="C144" s="316">
        <f>-'FC Spr.z syt.finans.'!D15</f>
        <v>1422800.0100000091</v>
      </c>
      <c r="D144" s="137"/>
      <c r="E144" s="266">
        <f t="shared" si="12"/>
        <v>1422800.0100000091</v>
      </c>
      <c r="F144" s="340"/>
      <c r="G144" s="315">
        <v>416201.07000001334</v>
      </c>
      <c r="H144" s="347"/>
      <c r="I144" s="340">
        <v>100998</v>
      </c>
      <c r="J144" s="340" t="s">
        <v>3958</v>
      </c>
    </row>
    <row r="145" spans="1:12">
      <c r="A145" s="270" t="s">
        <v>1737</v>
      </c>
      <c r="B145" s="268">
        <f t="shared" si="11"/>
        <v>0</v>
      </c>
      <c r="E145" s="266">
        <f t="shared" si="12"/>
        <v>0</v>
      </c>
      <c r="F145" s="340"/>
      <c r="G145" s="268">
        <v>0</v>
      </c>
      <c r="H145" s="340"/>
      <c r="J145" s="141" t="s">
        <v>3555</v>
      </c>
    </row>
    <row r="146" spans="1:12">
      <c r="A146" s="324" t="s">
        <v>1738</v>
      </c>
      <c r="B146" s="315">
        <f t="shared" si="11"/>
        <v>0</v>
      </c>
      <c r="C146" s="316"/>
      <c r="E146" s="266">
        <f t="shared" si="12"/>
        <v>0</v>
      </c>
      <c r="F146" s="340"/>
      <c r="G146" s="315">
        <v>0</v>
      </c>
      <c r="H146" s="340"/>
      <c r="J146" s="340" t="s">
        <v>3556</v>
      </c>
    </row>
    <row r="147" spans="1:12" ht="11.4">
      <c r="A147" s="270" t="s">
        <v>1739</v>
      </c>
      <c r="B147" s="268">
        <f t="shared" si="11"/>
        <v>0</v>
      </c>
      <c r="E147" s="266">
        <f t="shared" si="12"/>
        <v>0</v>
      </c>
      <c r="F147" s="340"/>
      <c r="G147" s="268">
        <v>0</v>
      </c>
      <c r="H147" s="340"/>
      <c r="I147" s="434">
        <f>SUM(I143:I146)</f>
        <v>-400924</v>
      </c>
      <c r="J147" s="340"/>
    </row>
    <row r="148" spans="1:12">
      <c r="A148" s="324" t="s">
        <v>1740</v>
      </c>
      <c r="B148" s="315">
        <f t="shared" si="11"/>
        <v>53224</v>
      </c>
      <c r="C148" s="316">
        <f>-'FC Spr.z syt.finans.'!D22</f>
        <v>53224</v>
      </c>
      <c r="D148" s="306"/>
      <c r="E148" s="266">
        <f t="shared" si="12"/>
        <v>53224</v>
      </c>
      <c r="F148" s="340"/>
      <c r="G148" s="315">
        <v>0</v>
      </c>
      <c r="H148" s="340"/>
      <c r="I148" s="340">
        <f>I147-B142</f>
        <v>-9.0803951025009155E-9</v>
      </c>
      <c r="J148" s="340"/>
    </row>
    <row r="149" spans="1:12">
      <c r="A149" s="270" t="s">
        <v>1741</v>
      </c>
      <c r="B149" s="268">
        <f t="shared" si="11"/>
        <v>0</v>
      </c>
      <c r="E149" s="266">
        <f t="shared" si="12"/>
        <v>0</v>
      </c>
      <c r="F149" s="340"/>
      <c r="G149" s="268">
        <v>0</v>
      </c>
      <c r="H149" s="340"/>
      <c r="I149" s="340"/>
      <c r="J149" s="340"/>
    </row>
    <row r="150" spans="1:12">
      <c r="A150" s="324" t="s">
        <v>1742</v>
      </c>
      <c r="B150" s="315">
        <f t="shared" si="11"/>
        <v>31513</v>
      </c>
      <c r="C150" s="316">
        <f>'FC Spr.z syt.finans.'!D73</f>
        <v>31513</v>
      </c>
      <c r="D150" s="426"/>
      <c r="E150" s="266">
        <f t="shared" si="12"/>
        <v>31513</v>
      </c>
      <c r="F150" s="340"/>
      <c r="G150" s="315">
        <v>-733431</v>
      </c>
      <c r="H150" s="340"/>
      <c r="I150" s="340"/>
      <c r="J150" s="340"/>
    </row>
    <row r="151" spans="1:12">
      <c r="A151" s="270" t="s">
        <v>1743</v>
      </c>
      <c r="B151" s="268">
        <f t="shared" si="11"/>
        <v>0</v>
      </c>
      <c r="E151" s="266">
        <f t="shared" si="12"/>
        <v>0</v>
      </c>
      <c r="F151" s="340"/>
      <c r="G151" s="268">
        <v>0</v>
      </c>
      <c r="H151" s="340"/>
      <c r="I151" s="340"/>
      <c r="J151" s="340"/>
    </row>
    <row r="152" spans="1:12">
      <c r="A152" s="270" t="s">
        <v>1744</v>
      </c>
      <c r="B152" s="268">
        <f t="shared" si="11"/>
        <v>0</v>
      </c>
      <c r="E152" s="266">
        <f t="shared" si="12"/>
        <v>0</v>
      </c>
      <c r="F152" s="340"/>
      <c r="G152" s="268">
        <v>0</v>
      </c>
      <c r="H152" s="340"/>
      <c r="I152" s="340"/>
      <c r="J152" s="340"/>
    </row>
    <row r="153" spans="1:12" s="140" customFormat="1" ht="19.2" customHeight="1">
      <c r="A153" s="452" t="s">
        <v>1735</v>
      </c>
      <c r="B153" s="136">
        <f t="shared" si="11"/>
        <v>0</v>
      </c>
      <c r="C153" s="136"/>
      <c r="D153" s="284">
        <f>'wycena rezerw aktuarialnych'!D19</f>
        <v>0</v>
      </c>
      <c r="E153" s="266">
        <f t="shared" si="12"/>
        <v>0</v>
      </c>
      <c r="F153" s="1023" t="s">
        <v>2120</v>
      </c>
      <c r="G153" s="1024">
        <v>180534.92</v>
      </c>
      <c r="H153" s="1024">
        <v>180534.92</v>
      </c>
      <c r="I153" s="1024"/>
      <c r="J153" s="1024"/>
      <c r="K153" s="1024"/>
      <c r="L153" s="1024"/>
    </row>
    <row r="154" spans="1:12" ht="20.399999999999999">
      <c r="A154" s="270" t="s">
        <v>1745</v>
      </c>
      <c r="B154" s="268">
        <f t="shared" si="11"/>
        <v>0</v>
      </c>
      <c r="E154" s="266">
        <f t="shared" si="12"/>
        <v>0</v>
      </c>
      <c r="F154" s="340"/>
      <c r="G154" s="268">
        <v>0</v>
      </c>
      <c r="H154" s="340"/>
      <c r="I154" s="340"/>
      <c r="J154" s="340"/>
    </row>
    <row r="155" spans="1:12" ht="20.399999999999999">
      <c r="A155" s="270" t="s">
        <v>1746</v>
      </c>
      <c r="B155" s="268">
        <f t="shared" si="11"/>
        <v>0</v>
      </c>
      <c r="E155" s="266">
        <f t="shared" si="12"/>
        <v>0</v>
      </c>
      <c r="F155" s="340"/>
      <c r="G155" s="268">
        <v>0</v>
      </c>
      <c r="H155" s="340"/>
      <c r="I155" s="340"/>
      <c r="J155" s="340"/>
    </row>
    <row r="156" spans="1:12" ht="20.399999999999999">
      <c r="A156" s="270" t="s">
        <v>1747</v>
      </c>
      <c r="B156" s="268">
        <f t="shared" si="11"/>
        <v>0</v>
      </c>
      <c r="E156" s="266">
        <f t="shared" si="12"/>
        <v>0</v>
      </c>
      <c r="F156" s="340"/>
      <c r="G156" s="268">
        <v>0</v>
      </c>
      <c r="H156" s="340"/>
      <c r="I156" s="347" t="s">
        <v>2499</v>
      </c>
      <c r="J156" s="347"/>
    </row>
    <row r="157" spans="1:12">
      <c r="A157" s="270" t="s">
        <v>1748</v>
      </c>
      <c r="B157" s="268">
        <f t="shared" si="11"/>
        <v>0</v>
      </c>
      <c r="D157" s="346"/>
      <c r="E157" s="266">
        <f t="shared" si="12"/>
        <v>0</v>
      </c>
      <c r="F157" s="340"/>
      <c r="G157" s="268">
        <v>0</v>
      </c>
      <c r="H157" s="340"/>
      <c r="I157" s="340">
        <f>'FC Spr.z syt.finans.'!C73</f>
        <v>0</v>
      </c>
      <c r="J157" s="340" t="s">
        <v>2472</v>
      </c>
    </row>
    <row r="158" spans="1:12">
      <c r="A158" s="332"/>
      <c r="B158" s="268"/>
      <c r="D158" s="139"/>
      <c r="E158" s="266">
        <f t="shared" si="12"/>
        <v>0</v>
      </c>
      <c r="F158" s="340"/>
      <c r="G158" s="268"/>
      <c r="H158" s="340"/>
    </row>
    <row r="159" spans="1:12">
      <c r="A159" s="332"/>
      <c r="B159" s="268"/>
      <c r="D159" s="139"/>
      <c r="E159" s="266">
        <f t="shared" si="12"/>
        <v>0</v>
      </c>
      <c r="F159" s="340"/>
      <c r="G159" s="268"/>
      <c r="H159" s="340"/>
      <c r="I159" s="340">
        <f>'FC Spr.z syt.finans.'!B73</f>
        <v>31513</v>
      </c>
      <c r="J159" s="340" t="s">
        <v>2500</v>
      </c>
    </row>
    <row r="160" spans="1:12">
      <c r="A160" s="332"/>
      <c r="B160" s="268"/>
      <c r="D160" s="139"/>
      <c r="E160" s="266">
        <f t="shared" si="12"/>
        <v>0</v>
      </c>
      <c r="F160" s="340"/>
      <c r="G160" s="268"/>
      <c r="H160" s="340"/>
      <c r="I160" s="347">
        <f>I159-I157-I158</f>
        <v>31513</v>
      </c>
      <c r="J160" s="340"/>
    </row>
    <row r="161" spans="1:13">
      <c r="A161" s="332"/>
      <c r="B161" s="268"/>
      <c r="D161" s="139"/>
      <c r="E161" s="266">
        <f t="shared" si="12"/>
        <v>0</v>
      </c>
      <c r="F161" s="340"/>
      <c r="G161" s="268"/>
      <c r="H161" s="340"/>
      <c r="I161" s="340">
        <f>I160-C150</f>
        <v>0</v>
      </c>
      <c r="J161" s="340"/>
    </row>
    <row r="162" spans="1:13">
      <c r="A162" s="270" t="s">
        <v>1749</v>
      </c>
      <c r="B162" s="268">
        <f t="shared" si="11"/>
        <v>0</v>
      </c>
      <c r="D162" s="137">
        <f>D163+D164</f>
        <v>0</v>
      </c>
      <c r="E162" s="266">
        <f t="shared" si="12"/>
        <v>0</v>
      </c>
      <c r="F162" s="340"/>
      <c r="G162" s="268">
        <v>0</v>
      </c>
      <c r="H162" s="340">
        <v>0</v>
      </c>
    </row>
    <row r="163" spans="1:13">
      <c r="A163" s="332"/>
      <c r="B163" s="268"/>
      <c r="D163" s="139"/>
      <c r="E163" s="433"/>
      <c r="F163" s="340"/>
      <c r="G163" s="268"/>
      <c r="H163" s="340"/>
    </row>
    <row r="164" spans="1:13">
      <c r="A164" s="332"/>
      <c r="B164" s="268"/>
      <c r="D164" s="139"/>
      <c r="E164" s="433"/>
      <c r="F164" s="340"/>
      <c r="G164" s="268"/>
      <c r="H164" s="340"/>
    </row>
    <row r="165" spans="1:13">
      <c r="A165" s="457" t="s">
        <v>1582</v>
      </c>
      <c r="B165" s="331">
        <f t="shared" si="11"/>
        <v>0</v>
      </c>
      <c r="C165" s="314"/>
      <c r="D165" s="314"/>
      <c r="E165" s="314">
        <f t="shared" si="12"/>
        <v>0</v>
      </c>
      <c r="F165" s="136"/>
      <c r="G165" s="331">
        <v>0</v>
      </c>
      <c r="H165" s="136"/>
      <c r="I165" s="136"/>
      <c r="J165" s="136"/>
    </row>
    <row r="166" spans="1:13">
      <c r="A166" s="457" t="s">
        <v>1583</v>
      </c>
      <c r="B166" s="331">
        <f t="shared" si="11"/>
        <v>0</v>
      </c>
      <c r="C166" s="314"/>
      <c r="D166" s="314"/>
      <c r="E166" s="314">
        <f t="shared" si="12"/>
        <v>0</v>
      </c>
      <c r="F166" s="136"/>
      <c r="G166" s="331">
        <v>0</v>
      </c>
      <c r="H166" s="136"/>
      <c r="I166" s="136"/>
      <c r="J166" s="136"/>
    </row>
    <row r="167" spans="1:13">
      <c r="A167" s="442" t="s">
        <v>1755</v>
      </c>
      <c r="B167" s="344">
        <f>E167+B179+B176+B178</f>
        <v>-1.1725351214408875E-6</v>
      </c>
      <c r="C167" s="330">
        <f>-'FC Spr.z syt.finans.'!D5-'FC Spr.z syt.finans.'!D6-'FC Spr.z syt.finans.'!D7-'FC Spr.z syt.finans.'!D8-'FC Spr.z syt.finans.'!D15+'FC Spr.z syt.finans.'!D37+'FC Spr.z syt.finans.'!D45+'FC Spr.z syt.finans.'!D46-'FC Spr.z syt.finans.'!B46+'FC Spr.z syt.finans.'!D53+'FC Spr.z syt.finans.'!D67</f>
        <v>2552328.8499988485</v>
      </c>
      <c r="D167" s="344">
        <f>D168+D169+D170-D190+D263-D8-'FC Spr.z syt.finans.'!D55-'FC Spr.z syt.finans.'!D70+'FC Spr.z syt.finans.'!D15-D49-D250-D17-D251-D261</f>
        <v>-2552328.850000021</v>
      </c>
      <c r="E167" s="320">
        <f>D167+C167</f>
        <v>-1.1725351214408875E-6</v>
      </c>
      <c r="F167" s="349">
        <f>B167-D171</f>
        <v>-1.1725351214408875E-6</v>
      </c>
      <c r="G167" s="344">
        <v>-17617.389999868683</v>
      </c>
      <c r="H167" s="349">
        <v>5759938.3000000045</v>
      </c>
      <c r="I167" s="347" t="s">
        <v>2119</v>
      </c>
      <c r="J167" s="347"/>
      <c r="K167" s="138"/>
    </row>
    <row r="168" spans="1:13">
      <c r="A168" s="270" t="s">
        <v>1757</v>
      </c>
      <c r="B168" s="268">
        <f t="shared" si="11"/>
        <v>0</v>
      </c>
      <c r="E168" s="266">
        <f t="shared" si="12"/>
        <v>0</v>
      </c>
      <c r="F168" s="340"/>
      <c r="G168" s="268">
        <v>0</v>
      </c>
      <c r="H168" s="340"/>
      <c r="I168" s="340"/>
      <c r="J168" s="340"/>
    </row>
    <row r="169" spans="1:13">
      <c r="A169" s="270" t="s">
        <v>1756</v>
      </c>
      <c r="B169" s="268">
        <f t="shared" si="11"/>
        <v>0</v>
      </c>
      <c r="E169" s="266">
        <f t="shared" si="12"/>
        <v>0</v>
      </c>
      <c r="F169" s="340"/>
      <c r="G169" s="268">
        <v>0</v>
      </c>
      <c r="H169" s="340"/>
      <c r="I169" s="340"/>
      <c r="J169" s="340"/>
    </row>
    <row r="170" spans="1:13">
      <c r="A170" s="270" t="s">
        <v>1758</v>
      </c>
      <c r="B170" s="268"/>
      <c r="D170" s="137">
        <f>D171+D172+D173+D175+D181+D176+D174+D180+D178</f>
        <v>8223.3700000000008</v>
      </c>
      <c r="E170" s="266">
        <f t="shared" si="12"/>
        <v>8223.3700000000008</v>
      </c>
      <c r="F170" s="340"/>
      <c r="G170" s="268"/>
      <c r="H170" s="340">
        <v>793092.75999999989</v>
      </c>
      <c r="I170" s="340"/>
      <c r="J170" s="340"/>
    </row>
    <row r="171" spans="1:13">
      <c r="A171" s="332" t="s">
        <v>2111</v>
      </c>
      <c r="B171" s="994">
        <f>-D171</f>
        <v>0</v>
      </c>
      <c r="C171" s="141"/>
      <c r="D171" s="139"/>
      <c r="E171" s="266">
        <f t="shared" si="12"/>
        <v>0</v>
      </c>
      <c r="F171" s="340"/>
      <c r="G171" s="994">
        <v>0</v>
      </c>
      <c r="H171" s="340"/>
      <c r="I171" s="340"/>
      <c r="J171" s="340"/>
    </row>
    <row r="172" spans="1:13">
      <c r="A172" s="332" t="s">
        <v>2482</v>
      </c>
      <c r="B172" s="322"/>
      <c r="C172" s="141"/>
      <c r="D172" s="139"/>
      <c r="E172" s="266">
        <f t="shared" si="12"/>
        <v>0</v>
      </c>
      <c r="F172" s="340"/>
      <c r="G172" s="322"/>
      <c r="H172" s="340"/>
      <c r="I172" s="340"/>
      <c r="J172" s="340"/>
    </row>
    <row r="173" spans="1:13">
      <c r="A173" s="465" t="str">
        <f>A211</f>
        <v>wcześniejsze przyjęcie śr.trwałych niż zostało rozliczone przez kontroling - rozbicie komórka G195</v>
      </c>
      <c r="B173" s="322"/>
      <c r="C173" s="141"/>
      <c r="D173" s="467">
        <f>-D211</f>
        <v>0</v>
      </c>
      <c r="E173" s="266"/>
      <c r="F173" s="340"/>
      <c r="G173" s="322"/>
      <c r="H173" s="340">
        <v>0</v>
      </c>
      <c r="I173" s="340"/>
      <c r="J173" s="1063">
        <f>C1*2</f>
        <v>-2.3450702428817749E-6</v>
      </c>
    </row>
    <row r="174" spans="1:13">
      <c r="A174" s="465" t="s">
        <v>3126</v>
      </c>
      <c r="B174" s="322"/>
      <c r="C174" s="141"/>
      <c r="D174" s="467">
        <f>-D210</f>
        <v>0</v>
      </c>
      <c r="E174" s="266"/>
      <c r="F174" s="340"/>
      <c r="G174" s="322"/>
      <c r="H174" s="340">
        <v>9244.8099999999904</v>
      </c>
      <c r="I174" s="340"/>
      <c r="J174" s="1063">
        <f>C1/2</f>
        <v>-5.8626756072044373E-7</v>
      </c>
    </row>
    <row r="175" spans="1:13">
      <c r="A175" s="465" t="s">
        <v>2850</v>
      </c>
      <c r="B175" s="322"/>
      <c r="C175" s="141"/>
      <c r="D175" s="467">
        <f>-D153</f>
        <v>0</v>
      </c>
      <c r="E175" s="266"/>
      <c r="F175" s="340"/>
      <c r="G175" s="322"/>
      <c r="H175" s="340">
        <v>-180534.92</v>
      </c>
      <c r="I175" s="340"/>
      <c r="J175" s="340"/>
    </row>
    <row r="176" spans="1:13">
      <c r="A176" s="332" t="s">
        <v>3084</v>
      </c>
      <c r="B176" s="994"/>
      <c r="C176" s="141"/>
      <c r="D176" s="139">
        <v>8223.3700000000008</v>
      </c>
      <c r="E176" s="266"/>
      <c r="F176" s="340"/>
      <c r="G176" s="994">
        <v>-17617.39</v>
      </c>
      <c r="H176" s="340">
        <v>17617.39</v>
      </c>
      <c r="I176" s="340"/>
      <c r="J176" s="340"/>
      <c r="K176" s="140"/>
      <c r="L176" s="140"/>
      <c r="M176" s="140"/>
    </row>
    <row r="177" spans="1:13">
      <c r="A177" s="332"/>
      <c r="B177" s="994"/>
      <c r="C177" s="141"/>
      <c r="D177" s="139"/>
      <c r="E177" s="266"/>
      <c r="F177" s="340"/>
      <c r="G177" s="994"/>
      <c r="H177" s="340"/>
      <c r="I177" s="340"/>
      <c r="J177" s="340"/>
      <c r="K177" s="140"/>
      <c r="L177" s="140"/>
      <c r="M177" s="140"/>
    </row>
    <row r="178" spans="1:13">
      <c r="A178" s="332" t="s">
        <v>3643</v>
      </c>
      <c r="B178" s="994"/>
      <c r="C178" s="141"/>
      <c r="D178" s="133">
        <f>-(IFERROR(VLOOKUP(F178,obrotówka!$A$3:$J$1600,10,0),0))</f>
        <v>0</v>
      </c>
      <c r="E178" s="266"/>
      <c r="F178" s="340" t="s">
        <v>3287</v>
      </c>
      <c r="G178" s="994"/>
      <c r="H178" s="340">
        <v>-3418.29</v>
      </c>
      <c r="I178" s="340"/>
      <c r="J178" s="340"/>
    </row>
    <row r="179" spans="1:13">
      <c r="A179" s="465" t="s">
        <v>3615</v>
      </c>
      <c r="B179" s="1009">
        <f>-'RZiS, koszty rodz.'!B74</f>
        <v>0</v>
      </c>
      <c r="C179" s="141"/>
      <c r="D179" s="133"/>
      <c r="E179" s="266"/>
      <c r="F179" s="340"/>
      <c r="G179" s="1009">
        <v>0</v>
      </c>
      <c r="H179" s="340"/>
      <c r="I179" s="340"/>
      <c r="J179" s="340"/>
    </row>
    <row r="180" spans="1:13">
      <c r="A180" s="465" t="s">
        <v>3147</v>
      </c>
      <c r="B180" s="994"/>
      <c r="C180" s="141"/>
      <c r="D180" s="139"/>
      <c r="E180" s="266"/>
      <c r="F180" s="340"/>
      <c r="G180" s="994">
        <v>0</v>
      </c>
      <c r="H180" s="340"/>
      <c r="I180" s="340"/>
      <c r="J180" s="340"/>
    </row>
    <row r="181" spans="1:13">
      <c r="A181" s="465" t="s">
        <v>3083</v>
      </c>
      <c r="B181" s="322"/>
      <c r="C181" s="141"/>
      <c r="D181" s="467">
        <f>-D138-D139</f>
        <v>0</v>
      </c>
      <c r="E181" s="266"/>
      <c r="F181" s="340"/>
      <c r="G181" s="322"/>
      <c r="H181" s="340">
        <v>950183.77</v>
      </c>
      <c r="I181" s="340"/>
      <c r="J181" s="340"/>
    </row>
    <row r="182" spans="1:13">
      <c r="A182" s="458" t="s">
        <v>1585</v>
      </c>
      <c r="B182" s="325">
        <f>B167+B166+B165+B142+B133+B123+B112+B87+B63+B79+B47+B9+B5+B124+B8</f>
        <v>-623848.14000113122</v>
      </c>
      <c r="C182" s="325">
        <f>C167+C166+C165+C142+C133+C123+C112+C87+C63+C79+C47+C9+C5+C124</f>
        <v>602511.94999890146</v>
      </c>
      <c r="D182" s="325">
        <f>D167+D166+D165+D142+D133+D123+D112+D87+D63+D79+D47+D9+D5+D124-D52</f>
        <v>-3423681.2100000321</v>
      </c>
      <c r="E182" s="325">
        <f>D182+C182</f>
        <v>-2821169.2600011304</v>
      </c>
      <c r="F182" s="348">
        <f>B278</f>
        <v>-1.1192169040441513E-6</v>
      </c>
      <c r="G182" s="325">
        <v>9784245.2700004429</v>
      </c>
      <c r="H182" s="348">
        <v>5821533.0000000037</v>
      </c>
      <c r="I182" s="341">
        <f>F182-B167</f>
        <v>5.3318217396736145E-8</v>
      </c>
      <c r="J182" s="341"/>
    </row>
    <row r="183" spans="1:13">
      <c r="A183" s="448" t="s">
        <v>923</v>
      </c>
      <c r="B183" s="282"/>
      <c r="C183" s="282"/>
      <c r="D183" s="282"/>
      <c r="E183" s="282"/>
      <c r="F183" s="136"/>
      <c r="G183" s="282"/>
      <c r="H183" s="136"/>
      <c r="I183" s="136"/>
      <c r="J183" s="136"/>
    </row>
    <row r="184" spans="1:13">
      <c r="A184" s="459" t="s">
        <v>1586</v>
      </c>
      <c r="B184" s="287">
        <f>E184</f>
        <v>0</v>
      </c>
      <c r="C184" s="287"/>
      <c r="D184" s="287">
        <f>D185+D186</f>
        <v>0</v>
      </c>
      <c r="E184" s="289">
        <f>D184+C184</f>
        <v>0</v>
      </c>
      <c r="F184" s="136"/>
      <c r="G184" s="287">
        <v>0</v>
      </c>
      <c r="H184" s="136">
        <v>0</v>
      </c>
      <c r="I184" s="136"/>
      <c r="J184" s="136"/>
    </row>
    <row r="185" spans="1:13">
      <c r="A185" s="460" t="s">
        <v>2112</v>
      </c>
      <c r="B185" s="136"/>
      <c r="C185" s="136"/>
      <c r="D185" s="78">
        <f>-(IFERROR(VLOOKUP(F185,obrotówka!$A$3:$J$1600,10,0),0))</f>
        <v>0</v>
      </c>
      <c r="E185" s="266">
        <f t="shared" ref="E185:E258" si="13">D185+C185</f>
        <v>0</v>
      </c>
      <c r="F185" s="340" t="s">
        <v>806</v>
      </c>
      <c r="G185" s="136"/>
      <c r="H185" s="340">
        <v>0</v>
      </c>
      <c r="I185" s="340"/>
      <c r="J185" s="340"/>
    </row>
    <row r="186" spans="1:13">
      <c r="A186" s="460" t="s">
        <v>2113</v>
      </c>
      <c r="B186" s="136"/>
      <c r="C186" s="136"/>
      <c r="D186" s="284"/>
      <c r="E186" s="266">
        <f t="shared" si="13"/>
        <v>0</v>
      </c>
      <c r="F186" s="340"/>
      <c r="G186" s="136"/>
      <c r="H186" s="340"/>
      <c r="I186" s="340"/>
      <c r="J186" s="340"/>
    </row>
    <row r="187" spans="1:13">
      <c r="A187" s="461" t="s">
        <v>136</v>
      </c>
      <c r="B187" s="311"/>
      <c r="C187" s="311"/>
      <c r="D187" s="311"/>
      <c r="E187" s="266">
        <f t="shared" si="13"/>
        <v>0</v>
      </c>
      <c r="F187" s="340"/>
      <c r="G187" s="311"/>
      <c r="H187" s="340"/>
      <c r="I187" s="340"/>
      <c r="J187" s="340"/>
    </row>
    <row r="188" spans="1:13">
      <c r="A188" s="461" t="s">
        <v>1566</v>
      </c>
      <c r="B188" s="311"/>
      <c r="C188" s="311"/>
      <c r="D188" s="311"/>
      <c r="E188" s="266">
        <f t="shared" si="13"/>
        <v>0</v>
      </c>
      <c r="F188" s="340"/>
      <c r="G188" s="311"/>
      <c r="H188" s="340"/>
      <c r="I188" s="340"/>
      <c r="J188" s="340"/>
    </row>
    <row r="189" spans="1:13">
      <c r="A189" s="459" t="s">
        <v>1587</v>
      </c>
      <c r="B189" s="287">
        <f>E189</f>
        <v>-710258.26999999897</v>
      </c>
      <c r="C189" s="287"/>
      <c r="D189" s="287">
        <f>D190+D207+D199+D211+D210+D209+D208</f>
        <v>-710258.26999999897</v>
      </c>
      <c r="E189" s="323">
        <f>D189+C189</f>
        <v>-710258.26999999897</v>
      </c>
      <c r="F189" s="340"/>
      <c r="G189" s="287">
        <v>-1962291.0400000003</v>
      </c>
      <c r="H189" s="340">
        <v>-1962291.0400000003</v>
      </c>
      <c r="I189" s="340"/>
      <c r="J189" s="340"/>
    </row>
    <row r="190" spans="1:13">
      <c r="A190" s="460" t="s">
        <v>2098</v>
      </c>
      <c r="B190" s="136"/>
      <c r="C190" s="136"/>
      <c r="D190" s="134">
        <f>(IFERROR(VLOOKUP(F190,obrotówka!$A$3:$J$1600,10,0),0))+D192</f>
        <v>-820787.19999999902</v>
      </c>
      <c r="E190" s="266">
        <f t="shared" si="13"/>
        <v>-820787.19999999902</v>
      </c>
      <c r="F190" s="81" t="s">
        <v>66</v>
      </c>
      <c r="G190" s="136"/>
      <c r="H190" s="81">
        <v>-1861891.32</v>
      </c>
      <c r="I190" s="347">
        <f>'FC Spr.z syt.finans.'!D5+'FC Spr.z syt.finans.'!D6+'FC Spr.z syt.finans.'!D7+'FC Spr.z syt.finans.'!D8</f>
        <v>-1368310.5499998981</v>
      </c>
      <c r="J190" s="340" t="s">
        <v>3143</v>
      </c>
      <c r="K190" s="138" t="s">
        <v>1798</v>
      </c>
      <c r="M190" s="137"/>
    </row>
    <row r="191" spans="1:13">
      <c r="A191" s="452" t="s">
        <v>2091</v>
      </c>
      <c r="B191" s="136"/>
      <c r="C191" s="136"/>
      <c r="D191" s="78">
        <f>(IFERROR(VLOOKUP(F191,obrotówka!$A$3:$J$1600,7,0),0))</f>
        <v>1023388.48</v>
      </c>
      <c r="E191" s="266">
        <f t="shared" si="13"/>
        <v>1023388.48</v>
      </c>
      <c r="F191" s="81" t="s">
        <v>56</v>
      </c>
      <c r="G191" s="136"/>
      <c r="H191" s="81">
        <v>1877330.23</v>
      </c>
      <c r="I191" s="340">
        <f>-D8</f>
        <v>-2197321.12</v>
      </c>
      <c r="J191" s="340" t="s">
        <v>2529</v>
      </c>
    </row>
    <row r="192" spans="1:13">
      <c r="A192" s="452" t="s">
        <v>3740</v>
      </c>
      <c r="B192" s="136"/>
      <c r="C192" s="136"/>
      <c r="D192" s="78">
        <f>-(IFERROR(VLOOKUP(F192,obrotówka!$A$3:$K$1600,11,0),0))</f>
        <v>0</v>
      </c>
      <c r="E192" s="266">
        <f t="shared" si="13"/>
        <v>0</v>
      </c>
      <c r="F192" s="81" t="s">
        <v>3711</v>
      </c>
      <c r="G192" s="136"/>
      <c r="H192" s="81"/>
      <c r="I192" s="340"/>
      <c r="J192" s="340"/>
    </row>
    <row r="193" spans="1:13">
      <c r="A193" s="452" t="s">
        <v>2092</v>
      </c>
      <c r="B193" s="136"/>
      <c r="C193" s="136"/>
      <c r="D193" s="78">
        <f>-(IFERROR(VLOOKUP(F193,obrotówka!$A$3:$J$1600,3,0),0))</f>
        <v>-275622.679999999</v>
      </c>
      <c r="E193" s="266">
        <f t="shared" si="13"/>
        <v>-275622.679999999</v>
      </c>
      <c r="F193" s="81" t="s">
        <v>56</v>
      </c>
      <c r="G193" s="136"/>
      <c r="H193" s="81">
        <v>-7868.29</v>
      </c>
      <c r="I193" s="340">
        <f>-D49</f>
        <v>0</v>
      </c>
      <c r="J193" s="340" t="s">
        <v>2530</v>
      </c>
    </row>
    <row r="194" spans="1:13">
      <c r="A194" s="452" t="s">
        <v>2093</v>
      </c>
      <c r="B194" s="136"/>
      <c r="C194" s="136"/>
      <c r="D194" s="78">
        <f>(IFERROR(VLOOKUP(F194,obrotówka!$A$3:$J$1600,10,0),0))</f>
        <v>78184.919999999896</v>
      </c>
      <c r="E194" s="266">
        <f t="shared" si="13"/>
        <v>78184.919999999896</v>
      </c>
      <c r="F194" s="81" t="s">
        <v>56</v>
      </c>
      <c r="G194" s="136"/>
      <c r="H194" s="81">
        <v>8076</v>
      </c>
      <c r="I194" s="139">
        <f>D178</f>
        <v>0</v>
      </c>
      <c r="J194" s="135" t="s">
        <v>3619</v>
      </c>
    </row>
    <row r="195" spans="1:13">
      <c r="A195" s="452" t="s">
        <v>2094</v>
      </c>
      <c r="B195" s="136"/>
      <c r="C195" s="136"/>
      <c r="D195" s="78">
        <f>(IFERROR(VLOOKUP(F195,obrotówka!$A$3:$J$1600,7,0),0))</f>
        <v>0</v>
      </c>
      <c r="E195" s="266">
        <f t="shared" si="13"/>
        <v>0</v>
      </c>
      <c r="F195" s="81" t="s">
        <v>58</v>
      </c>
      <c r="G195" s="136"/>
      <c r="H195" s="81">
        <v>0</v>
      </c>
      <c r="I195" s="340">
        <f>-E189</f>
        <v>710258.26999999897</v>
      </c>
      <c r="J195" s="340" t="s">
        <v>2531</v>
      </c>
    </row>
    <row r="196" spans="1:13">
      <c r="A196" s="452" t="s">
        <v>2095</v>
      </c>
      <c r="B196" s="136"/>
      <c r="C196" s="136"/>
      <c r="D196" s="78">
        <f>-(IFERROR(VLOOKUP(F196,obrotówka!$A$3:$J$1600,3,0),0))</f>
        <v>0</v>
      </c>
      <c r="E196" s="266">
        <f t="shared" si="13"/>
        <v>0</v>
      </c>
      <c r="F196" s="81" t="s">
        <v>58</v>
      </c>
      <c r="G196" s="136"/>
      <c r="H196" s="81">
        <v>0</v>
      </c>
      <c r="I196" s="340">
        <f>E199</f>
        <v>101998.38</v>
      </c>
      <c r="J196" s="340" t="s">
        <v>3618</v>
      </c>
    </row>
    <row r="197" spans="1:13">
      <c r="A197" s="452" t="s">
        <v>2096</v>
      </c>
      <c r="B197" s="136"/>
      <c r="C197" s="136"/>
      <c r="D197" s="78">
        <f>(IFERROR(VLOOKUP(F197,obrotówka!$A$3:$J$1600,10,0),0))</f>
        <v>0</v>
      </c>
      <c r="E197" s="266">
        <f t="shared" si="13"/>
        <v>0</v>
      </c>
      <c r="F197" s="81" t="s">
        <v>58</v>
      </c>
      <c r="G197" s="136"/>
      <c r="H197" s="81">
        <v>0</v>
      </c>
      <c r="I197" s="139">
        <f>D176</f>
        <v>8223.3700000000008</v>
      </c>
      <c r="J197" s="340" t="s">
        <v>3617</v>
      </c>
    </row>
    <row r="198" spans="1:13">
      <c r="A198" s="452" t="s">
        <v>2097</v>
      </c>
      <c r="B198" s="136"/>
      <c r="C198" s="136"/>
      <c r="D198" s="78">
        <f>-(IFERROR(VLOOKUP(F198,obrotówka!$A$3:$J$1600,6,0),0))</f>
        <v>-5163.5200000000004</v>
      </c>
      <c r="E198" s="266">
        <f t="shared" si="13"/>
        <v>-5163.5200000000004</v>
      </c>
      <c r="F198" s="81" t="s">
        <v>66</v>
      </c>
      <c r="G198" s="136"/>
      <c r="H198" s="81">
        <v>-6401.81</v>
      </c>
      <c r="I198" s="139">
        <f>D171</f>
        <v>0</v>
      </c>
      <c r="J198" s="135" t="s">
        <v>3621</v>
      </c>
    </row>
    <row r="199" spans="1:13">
      <c r="A199" s="460" t="s">
        <v>1793</v>
      </c>
      <c r="B199" s="136"/>
      <c r="C199" s="136"/>
      <c r="D199" s="284">
        <f>SUM(D200:D206)</f>
        <v>101998.38</v>
      </c>
      <c r="E199" s="266">
        <f t="shared" si="13"/>
        <v>101998.38</v>
      </c>
      <c r="F199" s="340"/>
      <c r="G199" s="136"/>
      <c r="H199" s="340">
        <v>-108772.3</v>
      </c>
      <c r="I199" s="139">
        <f>D180</f>
        <v>0</v>
      </c>
      <c r="J199" s="340" t="s">
        <v>3622</v>
      </c>
    </row>
    <row r="200" spans="1:13">
      <c r="A200" s="452" t="s">
        <v>1936</v>
      </c>
      <c r="B200" s="136"/>
      <c r="C200" s="136"/>
      <c r="D200" s="78">
        <f>-ROUND((IFERROR(VLOOKUP(F200,obrotówka!$A$3:$K$1600,11,0),0))/1.23,2)</f>
        <v>101998.38</v>
      </c>
      <c r="E200" s="266">
        <f t="shared" si="13"/>
        <v>101998.38</v>
      </c>
      <c r="F200" s="81" t="s">
        <v>197</v>
      </c>
      <c r="G200" s="136"/>
      <c r="H200" s="81">
        <v>-98153.21</v>
      </c>
      <c r="I200" s="141">
        <f>D208</f>
        <v>8530.5499999999902</v>
      </c>
      <c r="J200" s="340" t="s">
        <v>3905</v>
      </c>
    </row>
    <row r="201" spans="1:13">
      <c r="A201" s="452" t="s">
        <v>1936</v>
      </c>
      <c r="B201" s="136"/>
      <c r="C201" s="136"/>
      <c r="D201" s="78">
        <f>-ROUND((IFERROR(VLOOKUP(F201,obrotówka!$A$3:$K$1600,11,0),0))/1.23,2)</f>
        <v>0</v>
      </c>
      <c r="E201" s="266">
        <f t="shared" si="13"/>
        <v>0</v>
      </c>
      <c r="F201" s="81" t="s">
        <v>159</v>
      </c>
      <c r="G201" s="136"/>
      <c r="H201" s="81">
        <v>0</v>
      </c>
      <c r="I201" s="340">
        <f>SUM(I191:I200)</f>
        <v>-1368310.550000001</v>
      </c>
    </row>
    <row r="202" spans="1:13">
      <c r="A202" s="452" t="s">
        <v>1937</v>
      </c>
      <c r="B202" s="136"/>
      <c r="C202" s="136"/>
      <c r="D202" s="78">
        <f>-(IFERROR(VLOOKUP(F202,obrotówka!$A$3:$K$1600,11),0))</f>
        <v>0</v>
      </c>
      <c r="E202" s="266">
        <f t="shared" si="13"/>
        <v>0</v>
      </c>
      <c r="F202" s="81" t="s">
        <v>312</v>
      </c>
      <c r="G202" s="136"/>
      <c r="H202" s="81">
        <v>0</v>
      </c>
      <c r="I202" s="347">
        <f>I201-I190</f>
        <v>-1.0291114449501038E-7</v>
      </c>
      <c r="J202" s="678">
        <f>I202+D171+D176-B178+D180-I197-I198-I199</f>
        <v>-1.0291114449501038E-7</v>
      </c>
      <c r="K202" s="1017" t="s">
        <v>3623</v>
      </c>
      <c r="L202" s="1017"/>
      <c r="M202" s="1017"/>
    </row>
    <row r="203" spans="1:13">
      <c r="A203" s="452" t="s">
        <v>3124</v>
      </c>
      <c r="B203" s="136"/>
      <c r="C203" s="136"/>
      <c r="D203" s="78"/>
      <c r="E203" s="266"/>
      <c r="F203" s="81"/>
      <c r="G203" s="136"/>
      <c r="H203" s="81"/>
      <c r="I203" s="135"/>
      <c r="J203" s="135"/>
    </row>
    <row r="204" spans="1:13">
      <c r="A204" s="452" t="s">
        <v>3302</v>
      </c>
      <c r="B204" s="136"/>
      <c r="C204" s="136"/>
      <c r="D204" s="78"/>
      <c r="E204" s="266"/>
      <c r="F204" s="81" t="s">
        <v>3287</v>
      </c>
      <c r="G204" s="136"/>
      <c r="H204" s="81"/>
      <c r="I204" s="340"/>
      <c r="J204" s="340"/>
    </row>
    <row r="205" spans="1:13">
      <c r="A205" s="452" t="s">
        <v>3727</v>
      </c>
      <c r="B205" s="136"/>
      <c r="C205" s="136"/>
      <c r="D205" s="78">
        <f>-(IFERROR(VLOOKUP(F205,obrotówka!$A$3:$K$1600,11,0),0))</f>
        <v>0</v>
      </c>
      <c r="E205" s="266">
        <f t="shared" si="13"/>
        <v>0</v>
      </c>
      <c r="F205" s="81" t="s">
        <v>3709</v>
      </c>
      <c r="G205" s="136"/>
      <c r="H205" s="81"/>
      <c r="I205" s="340"/>
      <c r="J205" s="340"/>
    </row>
    <row r="206" spans="1:13">
      <c r="A206" s="452" t="s">
        <v>1937</v>
      </c>
      <c r="B206" s="136"/>
      <c r="C206" s="136"/>
      <c r="D206" s="78">
        <f>-(IFERROR(VLOOKUP(F206,obrotówka!$A$3:$K$1600,11,0),0))</f>
        <v>0</v>
      </c>
      <c r="E206" s="266">
        <f t="shared" si="13"/>
        <v>0</v>
      </c>
      <c r="F206" s="81" t="s">
        <v>334</v>
      </c>
      <c r="G206" s="136"/>
      <c r="H206" s="81">
        <v>-10619.09</v>
      </c>
      <c r="I206" s="136"/>
      <c r="J206" s="136"/>
    </row>
    <row r="207" spans="1:13">
      <c r="A207" s="332" t="s">
        <v>3616</v>
      </c>
      <c r="B207" s="136"/>
      <c r="C207" s="136"/>
      <c r="D207" s="677"/>
      <c r="E207" s="266">
        <f t="shared" si="13"/>
        <v>0</v>
      </c>
      <c r="F207" s="136"/>
      <c r="G207" s="136"/>
      <c r="H207" s="136">
        <v>17617.39</v>
      </c>
      <c r="I207" s="327" t="s">
        <v>3620</v>
      </c>
      <c r="J207" s="327">
        <f>D194+J211</f>
        <v>78184.919999999896</v>
      </c>
    </row>
    <row r="208" spans="1:13">
      <c r="A208" s="1628" t="s">
        <v>3906</v>
      </c>
      <c r="B208" s="136"/>
      <c r="C208" s="136"/>
      <c r="D208" s="583">
        <f>-(IFERROR(VLOOKUP(F208,obrotówka!$A$3:$K$1600,11,0),0))</f>
        <v>8530.5499999999902</v>
      </c>
      <c r="E208" s="266"/>
      <c r="F208" s="136" t="s">
        <v>2512</v>
      </c>
      <c r="G208" s="136"/>
      <c r="H208" s="136"/>
      <c r="I208" s="327"/>
      <c r="J208" s="327"/>
    </row>
    <row r="209" spans="1:14">
      <c r="A209" s="456"/>
      <c r="B209" s="136"/>
      <c r="C209" s="136"/>
      <c r="D209" s="133"/>
      <c r="E209" s="266"/>
      <c r="F209" s="136" t="s">
        <v>3287</v>
      </c>
      <c r="G209" s="136"/>
      <c r="H209" s="136"/>
      <c r="I209" s="327"/>
      <c r="J209" s="327"/>
    </row>
    <row r="210" spans="1:14">
      <c r="A210" s="332" t="s">
        <v>3125</v>
      </c>
      <c r="B210" s="136"/>
      <c r="C210" s="136"/>
      <c r="D210" s="78">
        <f>(IFERROR(VLOOKUP(F210,obrotówka!$A$3:$K$1600,11,0),0))</f>
        <v>0</v>
      </c>
      <c r="E210" s="266"/>
      <c r="F210" s="284" t="s">
        <v>683</v>
      </c>
      <c r="G210" s="136"/>
      <c r="H210" s="284">
        <v>-9244.8099999999904</v>
      </c>
      <c r="I210" s="327"/>
      <c r="J210" s="327"/>
    </row>
    <row r="211" spans="1:14">
      <c r="A211" s="465" t="s">
        <v>2534</v>
      </c>
      <c r="B211" s="136"/>
      <c r="C211" s="136"/>
      <c r="D211" s="466"/>
      <c r="E211" s="266"/>
      <c r="F211" s="136"/>
      <c r="G211" s="136"/>
      <c r="H211" s="136">
        <v>0</v>
      </c>
      <c r="I211" s="327" t="s">
        <v>2532</v>
      </c>
      <c r="J211" s="443">
        <f>J212+J213</f>
        <v>0</v>
      </c>
      <c r="K211" s="138" t="s">
        <v>3085</v>
      </c>
      <c r="L211" s="138"/>
      <c r="M211" s="138"/>
      <c r="N211" s="138"/>
    </row>
    <row r="212" spans="1:14">
      <c r="A212" s="459" t="s">
        <v>1588</v>
      </c>
      <c r="B212" s="287">
        <f>E212</f>
        <v>0</v>
      </c>
      <c r="C212" s="136"/>
      <c r="D212" s="136"/>
      <c r="E212" s="266">
        <f t="shared" si="13"/>
        <v>0</v>
      </c>
      <c r="F212" s="136"/>
      <c r="G212" s="287">
        <v>0</v>
      </c>
      <c r="H212" s="136"/>
      <c r="I212" s="136"/>
      <c r="J212" s="327"/>
      <c r="K212" s="327"/>
    </row>
    <row r="213" spans="1:14">
      <c r="A213" s="270" t="s">
        <v>1588</v>
      </c>
      <c r="B213" s="268">
        <f t="shared" ref="B213:B227" si="14">E213</f>
        <v>0</v>
      </c>
      <c r="C213" s="136"/>
      <c r="D213" s="136"/>
      <c r="E213" s="266">
        <f t="shared" si="13"/>
        <v>0</v>
      </c>
      <c r="F213" s="136"/>
      <c r="G213" s="268">
        <v>0</v>
      </c>
      <c r="H213" s="136"/>
      <c r="I213" s="136"/>
      <c r="J213" s="284">
        <f>'bilans '!B42+'bilans '!B43+'bilans '!B44</f>
        <v>0</v>
      </c>
      <c r="K213" s="138" t="s">
        <v>3174</v>
      </c>
      <c r="L213" s="138"/>
    </row>
    <row r="214" spans="1:14">
      <c r="A214" s="270" t="s">
        <v>1589</v>
      </c>
      <c r="B214" s="268">
        <f t="shared" si="14"/>
        <v>0</v>
      </c>
      <c r="C214" s="282"/>
      <c r="D214" s="282"/>
      <c r="E214" s="266">
        <f t="shared" si="13"/>
        <v>0</v>
      </c>
      <c r="F214" s="136"/>
      <c r="G214" s="268">
        <v>0</v>
      </c>
      <c r="H214" s="136"/>
    </row>
    <row r="215" spans="1:14" ht="10.199999999999999" customHeight="1">
      <c r="A215" s="270" t="s">
        <v>1590</v>
      </c>
      <c r="B215" s="268">
        <f t="shared" si="14"/>
        <v>0</v>
      </c>
      <c r="C215" s="282"/>
      <c r="D215" s="282"/>
      <c r="E215" s="326">
        <f t="shared" si="13"/>
        <v>0</v>
      </c>
      <c r="F215" s="136"/>
      <c r="G215" s="268">
        <v>0</v>
      </c>
      <c r="H215" s="136"/>
      <c r="I215" s="1816" t="s">
        <v>2533</v>
      </c>
      <c r="J215" s="1816"/>
      <c r="K215" s="1816"/>
      <c r="L215" s="1816"/>
      <c r="M215" s="1816"/>
      <c r="N215" s="1816"/>
    </row>
    <row r="216" spans="1:14" ht="10.199999999999999" customHeight="1">
      <c r="A216" s="270" t="s">
        <v>1591</v>
      </c>
      <c r="B216" s="268">
        <f t="shared" si="14"/>
        <v>0</v>
      </c>
      <c r="C216" s="282"/>
      <c r="D216" s="282"/>
      <c r="E216" s="326">
        <f t="shared" si="13"/>
        <v>0</v>
      </c>
      <c r="F216" s="136"/>
      <c r="G216" s="268">
        <v>0</v>
      </c>
      <c r="H216" s="136"/>
      <c r="I216" s="1816"/>
      <c r="J216" s="1816"/>
      <c r="K216" s="1816"/>
      <c r="L216" s="1816"/>
      <c r="M216" s="1816"/>
      <c r="N216" s="1816"/>
    </row>
    <row r="217" spans="1:14" ht="10.199999999999999" customHeight="1">
      <c r="A217" s="270" t="s">
        <v>1592</v>
      </c>
      <c r="B217" s="268">
        <f t="shared" si="14"/>
        <v>0</v>
      </c>
      <c r="C217" s="282"/>
      <c r="D217" s="282"/>
      <c r="E217" s="326">
        <f t="shared" si="13"/>
        <v>0</v>
      </c>
      <c r="F217" s="136"/>
      <c r="G217" s="268">
        <v>0</v>
      </c>
      <c r="H217" s="136"/>
      <c r="I217" s="1816"/>
      <c r="J217" s="1816"/>
      <c r="K217" s="1816"/>
      <c r="L217" s="1816"/>
      <c r="M217" s="1816"/>
      <c r="N217" s="1816"/>
    </row>
    <row r="218" spans="1:14">
      <c r="A218" s="270" t="s">
        <v>1593</v>
      </c>
      <c r="B218" s="268">
        <f t="shared" si="14"/>
        <v>0</v>
      </c>
      <c r="C218" s="282"/>
      <c r="D218" s="282"/>
      <c r="E218" s="326">
        <f t="shared" si="13"/>
        <v>0</v>
      </c>
      <c r="F218" s="136"/>
      <c r="G218" s="268">
        <v>0</v>
      </c>
      <c r="H218" s="136"/>
      <c r="I218" s="136"/>
      <c r="J218" s="136"/>
    </row>
    <row r="219" spans="1:14">
      <c r="A219" s="270" t="s">
        <v>1594</v>
      </c>
      <c r="B219" s="268">
        <f t="shared" si="14"/>
        <v>0</v>
      </c>
      <c r="C219" s="282"/>
      <c r="D219" s="282"/>
      <c r="E219" s="326">
        <f t="shared" si="13"/>
        <v>0</v>
      </c>
      <c r="F219" s="136"/>
      <c r="G219" s="268">
        <v>0</v>
      </c>
      <c r="H219" s="136"/>
      <c r="I219" s="672" t="s">
        <v>3096</v>
      </c>
      <c r="J219" s="136"/>
    </row>
    <row r="220" spans="1:14">
      <c r="A220" s="270" t="s">
        <v>1595</v>
      </c>
      <c r="B220" s="268">
        <f t="shared" si="14"/>
        <v>0</v>
      </c>
      <c r="C220" s="282"/>
      <c r="D220" s="282"/>
      <c r="E220" s="326">
        <f t="shared" si="13"/>
        <v>0</v>
      </c>
      <c r="F220" s="136"/>
      <c r="G220" s="268">
        <v>0</v>
      </c>
      <c r="H220" s="136"/>
      <c r="I220" s="136" t="s">
        <v>3097</v>
      </c>
      <c r="J220" s="136"/>
    </row>
    <row r="221" spans="1:14">
      <c r="A221" s="270" t="s">
        <v>1596</v>
      </c>
      <c r="B221" s="268">
        <f t="shared" si="14"/>
        <v>0</v>
      </c>
      <c r="C221" s="282"/>
      <c r="D221" s="282"/>
      <c r="E221" s="326">
        <f t="shared" si="13"/>
        <v>0</v>
      </c>
      <c r="F221" s="136"/>
      <c r="G221" s="268">
        <v>0</v>
      </c>
      <c r="H221" s="136"/>
      <c r="I221" s="136" t="s">
        <v>3139</v>
      </c>
      <c r="J221" s="136"/>
    </row>
    <row r="222" spans="1:14">
      <c r="A222" s="270" t="s">
        <v>1598</v>
      </c>
      <c r="B222" s="268">
        <f t="shared" si="14"/>
        <v>0</v>
      </c>
      <c r="C222" s="282"/>
      <c r="D222" s="282"/>
      <c r="E222" s="326">
        <f t="shared" si="13"/>
        <v>0</v>
      </c>
      <c r="F222" s="136"/>
      <c r="G222" s="268">
        <v>0</v>
      </c>
      <c r="H222" s="136"/>
      <c r="I222" s="136" t="s">
        <v>3098</v>
      </c>
      <c r="J222" s="136"/>
    </row>
    <row r="223" spans="1:14">
      <c r="A223" s="270" t="s">
        <v>1599</v>
      </c>
      <c r="B223" s="268">
        <f t="shared" si="14"/>
        <v>0</v>
      </c>
      <c r="C223" s="282"/>
      <c r="D223" s="282"/>
      <c r="E223" s="326">
        <f t="shared" si="13"/>
        <v>0</v>
      </c>
      <c r="F223" s="136"/>
      <c r="G223" s="268">
        <v>0</v>
      </c>
      <c r="H223" s="136"/>
      <c r="I223" s="136" t="s">
        <v>3099</v>
      </c>
      <c r="J223" s="136"/>
    </row>
    <row r="224" spans="1:14">
      <c r="A224" s="270" t="s">
        <v>1600</v>
      </c>
      <c r="B224" s="268">
        <f t="shared" si="14"/>
        <v>0</v>
      </c>
      <c r="C224" s="282"/>
      <c r="D224" s="282"/>
      <c r="E224" s="326">
        <f t="shared" si="13"/>
        <v>0</v>
      </c>
      <c r="F224" s="136"/>
      <c r="G224" s="268">
        <v>0</v>
      </c>
      <c r="H224" s="136"/>
      <c r="I224" s="136" t="s">
        <v>3141</v>
      </c>
      <c r="J224" s="136"/>
    </row>
    <row r="225" spans="1:10">
      <c r="A225" s="270" t="s">
        <v>1602</v>
      </c>
      <c r="B225" s="268">
        <f t="shared" si="14"/>
        <v>0</v>
      </c>
      <c r="C225" s="282"/>
      <c r="D225" s="282"/>
      <c r="E225" s="326">
        <f t="shared" si="13"/>
        <v>0</v>
      </c>
      <c r="F225" s="136"/>
      <c r="G225" s="268">
        <v>0</v>
      </c>
      <c r="H225" s="136"/>
      <c r="I225" s="136" t="s">
        <v>3142</v>
      </c>
      <c r="J225" s="136"/>
    </row>
    <row r="226" spans="1:10">
      <c r="A226" s="270" t="s">
        <v>1603</v>
      </c>
      <c r="B226" s="268">
        <f t="shared" si="14"/>
        <v>0</v>
      </c>
      <c r="C226" s="282"/>
      <c r="D226" s="282"/>
      <c r="E226" s="326">
        <f t="shared" si="13"/>
        <v>0</v>
      </c>
      <c r="F226" s="136"/>
      <c r="G226" s="268">
        <v>0</v>
      </c>
      <c r="H226" s="136"/>
      <c r="I226" s="136" t="s">
        <v>3100</v>
      </c>
      <c r="J226" s="136"/>
    </row>
    <row r="227" spans="1:10">
      <c r="A227" s="270" t="s">
        <v>2002</v>
      </c>
      <c r="B227" s="268">
        <f t="shared" si="14"/>
        <v>0</v>
      </c>
      <c r="C227" s="282"/>
      <c r="D227" s="282"/>
      <c r="E227" s="326">
        <f t="shared" si="13"/>
        <v>0</v>
      </c>
      <c r="F227" s="136"/>
      <c r="G227" s="268">
        <v>0</v>
      </c>
      <c r="H227" s="136"/>
      <c r="I227" s="136" t="s">
        <v>3101</v>
      </c>
      <c r="J227" s="136"/>
    </row>
    <row r="228" spans="1:10">
      <c r="A228" s="462" t="s">
        <v>1597</v>
      </c>
      <c r="B228" s="333">
        <f>E228</f>
        <v>117266.21999999999</v>
      </c>
      <c r="C228" s="313"/>
      <c r="D228" s="335">
        <f>-D39</f>
        <v>117266.21999999999</v>
      </c>
      <c r="E228" s="326">
        <f t="shared" si="13"/>
        <v>117266.21999999999</v>
      </c>
      <c r="F228" s="136"/>
      <c r="G228" s="333">
        <v>11520.1</v>
      </c>
      <c r="H228" s="136">
        <v>11520.1</v>
      </c>
      <c r="I228" s="136" t="s">
        <v>3140</v>
      </c>
      <c r="J228" s="136"/>
    </row>
    <row r="229" spans="1:10">
      <c r="A229" s="448" t="s">
        <v>1598</v>
      </c>
      <c r="B229" s="288">
        <f>E229</f>
        <v>0</v>
      </c>
      <c r="C229" s="282"/>
      <c r="D229" s="282"/>
      <c r="E229" s="326">
        <f t="shared" si="13"/>
        <v>0</v>
      </c>
      <c r="F229" s="136"/>
      <c r="G229" s="288">
        <v>0</v>
      </c>
      <c r="H229" s="136"/>
      <c r="I229" s="136"/>
      <c r="J229" s="136"/>
    </row>
    <row r="230" spans="1:10">
      <c r="A230" s="448" t="s">
        <v>1599</v>
      </c>
      <c r="B230" s="288">
        <f>E230</f>
        <v>0</v>
      </c>
      <c r="C230" s="282"/>
      <c r="D230" s="282"/>
      <c r="E230" s="326">
        <f t="shared" si="13"/>
        <v>0</v>
      </c>
      <c r="F230" s="136"/>
      <c r="G230" s="288">
        <v>0</v>
      </c>
      <c r="H230" s="136"/>
      <c r="I230" s="136"/>
      <c r="J230" s="136"/>
    </row>
    <row r="231" spans="1:10">
      <c r="A231" s="448" t="s">
        <v>1600</v>
      </c>
      <c r="B231" s="288">
        <f>E231</f>
        <v>0</v>
      </c>
      <c r="C231" s="282"/>
      <c r="D231" s="282"/>
      <c r="E231" s="326">
        <f t="shared" si="13"/>
        <v>0</v>
      </c>
      <c r="F231" s="136"/>
      <c r="G231" s="288">
        <v>0</v>
      </c>
      <c r="H231" s="136"/>
      <c r="I231" s="136"/>
      <c r="J231" s="136"/>
    </row>
    <row r="232" spans="1:10">
      <c r="A232" s="462" t="s">
        <v>1601</v>
      </c>
      <c r="B232" s="333">
        <f>E232</f>
        <v>0</v>
      </c>
      <c r="C232" s="313"/>
      <c r="D232" s="137">
        <f>-(IF('FC Spr.z syt.finans.'!D26-'FC Spr.z syt.finans.'!D68-D237-D238&gt;0,D235-D233-D237-D238-D234,0))</f>
        <v>0</v>
      </c>
      <c r="E232" s="326">
        <f t="shared" si="13"/>
        <v>0</v>
      </c>
      <c r="F232" s="136"/>
      <c r="G232" s="333">
        <v>0</v>
      </c>
      <c r="H232" s="136">
        <v>0</v>
      </c>
      <c r="I232" s="136"/>
      <c r="J232" s="136"/>
    </row>
    <row r="233" spans="1:10">
      <c r="A233" s="463" t="s">
        <v>2099</v>
      </c>
      <c r="B233" s="334"/>
      <c r="C233" s="313"/>
      <c r="D233" s="78">
        <f>(IFERROR(VLOOKUP(F233,obrotówka!$A$3:$M$1600,12,0),0))</f>
        <v>3363244.02</v>
      </c>
      <c r="E233" s="326">
        <f t="shared" si="13"/>
        <v>3363244.02</v>
      </c>
      <c r="F233" s="290" t="s">
        <v>169</v>
      </c>
      <c r="G233" s="334"/>
      <c r="H233" s="290">
        <v>518791.08</v>
      </c>
      <c r="I233" s="136"/>
      <c r="J233" s="136"/>
    </row>
    <row r="234" spans="1:10">
      <c r="A234" s="463" t="s">
        <v>2100</v>
      </c>
      <c r="B234" s="334"/>
      <c r="C234" s="313"/>
      <c r="D234" s="78">
        <f>(IFERROR(VLOOKUP(F234,obrotówka!$A$3:$M$1600,13,0),0))</f>
        <v>0</v>
      </c>
      <c r="E234" s="326">
        <f t="shared" si="13"/>
        <v>0</v>
      </c>
      <c r="F234" s="290" t="s">
        <v>169</v>
      </c>
      <c r="G234" s="334"/>
      <c r="H234" s="290">
        <v>0</v>
      </c>
      <c r="I234" s="136"/>
      <c r="J234" s="136"/>
    </row>
    <row r="235" spans="1:10">
      <c r="A235" s="463" t="s">
        <v>2101</v>
      </c>
      <c r="B235" s="334"/>
      <c r="C235" s="313"/>
      <c r="D235" s="78">
        <f>(IFERROR(VLOOKUP(F235,obrotówka!$A$3:$M$1600,8,0),0))</f>
        <v>2501383.25999999</v>
      </c>
      <c r="E235" s="326">
        <f t="shared" si="13"/>
        <v>2501383.25999999</v>
      </c>
      <c r="F235" s="290" t="s">
        <v>169</v>
      </c>
      <c r="G235" s="334"/>
      <c r="H235" s="290">
        <v>0</v>
      </c>
      <c r="I235" s="136">
        <f>D233-D235+D237+D238</f>
        <v>898569.97000000998</v>
      </c>
      <c r="J235" s="136"/>
    </row>
    <row r="236" spans="1:10">
      <c r="A236" s="463" t="s">
        <v>2102</v>
      </c>
      <c r="B236" s="334"/>
      <c r="C236" s="313"/>
      <c r="D236" s="78">
        <f>(IFERROR(VLOOKUP(F236,obrotówka!$A$3:$M$1600,9,0),0))</f>
        <v>0</v>
      </c>
      <c r="E236" s="326">
        <f t="shared" si="13"/>
        <v>0</v>
      </c>
      <c r="F236" s="290" t="s">
        <v>169</v>
      </c>
      <c r="G236" s="334"/>
      <c r="H236" s="290">
        <v>-391789.08</v>
      </c>
      <c r="I236" s="136"/>
      <c r="J236" s="136"/>
    </row>
    <row r="237" spans="1:10">
      <c r="A237" s="464" t="s">
        <v>2115</v>
      </c>
      <c r="B237" s="334"/>
      <c r="C237" s="313"/>
      <c r="D237" s="134">
        <f>-D20</f>
        <v>13323.119999999981</v>
      </c>
      <c r="E237" s="326"/>
      <c r="F237" s="290"/>
      <c r="G237" s="334"/>
      <c r="H237" s="290">
        <v>57913.989999999896</v>
      </c>
      <c r="I237" s="136"/>
      <c r="J237" s="136"/>
    </row>
    <row r="238" spans="1:10">
      <c r="A238" s="464" t="s">
        <v>2116</v>
      </c>
      <c r="B238" s="334"/>
      <c r="C238" s="313"/>
      <c r="D238" s="134">
        <f>-D36</f>
        <v>23386.09</v>
      </c>
      <c r="E238" s="326"/>
      <c r="F238" s="290"/>
      <c r="G238" s="334"/>
      <c r="H238" s="290">
        <v>-235.99</v>
      </c>
      <c r="I238" s="136"/>
      <c r="J238" s="136"/>
    </row>
    <row r="239" spans="1:10">
      <c r="A239" s="270" t="s">
        <v>1604</v>
      </c>
      <c r="B239" s="268">
        <f>E239</f>
        <v>0</v>
      </c>
      <c r="E239" s="326">
        <f t="shared" si="13"/>
        <v>0</v>
      </c>
      <c r="F239" s="136"/>
      <c r="G239" s="268">
        <v>0</v>
      </c>
      <c r="H239" s="136"/>
      <c r="I239" s="136"/>
      <c r="J239" s="136"/>
    </row>
    <row r="240" spans="1:10">
      <c r="A240" s="270" t="s">
        <v>2003</v>
      </c>
      <c r="B240" s="268">
        <f>E240</f>
        <v>0</v>
      </c>
      <c r="E240" s="326">
        <f t="shared" si="13"/>
        <v>0</v>
      </c>
      <c r="F240" s="136"/>
      <c r="G240" s="268">
        <v>0</v>
      </c>
      <c r="H240" s="136"/>
      <c r="I240" s="136"/>
      <c r="J240" s="136"/>
    </row>
    <row r="241" spans="1:10">
      <c r="A241" s="270" t="s">
        <v>1605</v>
      </c>
      <c r="B241" s="268">
        <f>E241</f>
        <v>0</v>
      </c>
      <c r="E241" s="326">
        <f t="shared" si="13"/>
        <v>0</v>
      </c>
      <c r="F241" s="136"/>
      <c r="G241" s="268">
        <v>0</v>
      </c>
      <c r="H241" s="136"/>
      <c r="I241" s="136"/>
      <c r="J241" s="136"/>
    </row>
    <row r="242" spans="1:10">
      <c r="A242" s="458" t="s">
        <v>1606</v>
      </c>
      <c r="B242" s="325">
        <f>E242</f>
        <v>-592992.049999999</v>
      </c>
      <c r="C242" s="325">
        <f>C241+C240+C239+C232+C231+C230+C229+C228+C227+C226+C225+C224+C223+C222+C221+C220+C219+C218+C217+C216+C215+C214+C213+C212+C189+C184</f>
        <v>0</v>
      </c>
      <c r="D242" s="325">
        <f>D241+D240+D239+D232+D231+D230+D229+D228+D227+D226+D225+D224+D223+D222+D221+D220+D219+D218+D217+D216+D215+D214+D213+D212+D189+D184</f>
        <v>-592992.049999999</v>
      </c>
      <c r="E242" s="325">
        <f t="shared" si="13"/>
        <v>-592992.049999999</v>
      </c>
      <c r="F242" s="342"/>
      <c r="G242" s="325">
        <v>-1950770.9400000002</v>
      </c>
      <c r="H242" s="342">
        <v>-1950770.9400000002</v>
      </c>
      <c r="I242" s="342"/>
      <c r="J242" s="342"/>
    </row>
    <row r="243" spans="1:10">
      <c r="A243" s="448" t="s">
        <v>923</v>
      </c>
      <c r="B243" s="282"/>
      <c r="C243" s="282"/>
      <c r="D243" s="282"/>
      <c r="E243" s="282"/>
      <c r="F243" s="136"/>
      <c r="G243" s="282"/>
      <c r="H243" s="136"/>
      <c r="I243" s="136"/>
      <c r="J243" s="136"/>
    </row>
    <row r="244" spans="1:10" ht="10.8" customHeight="1">
      <c r="A244" s="448" t="s">
        <v>1607</v>
      </c>
      <c r="B244" s="288">
        <f>E244</f>
        <v>0</v>
      </c>
      <c r="C244" s="282"/>
      <c r="D244" s="282"/>
      <c r="E244" s="326">
        <f t="shared" si="13"/>
        <v>0</v>
      </c>
      <c r="F244" s="136"/>
      <c r="G244" s="288">
        <v>0</v>
      </c>
      <c r="H244" s="136"/>
      <c r="I244" s="1064" t="s">
        <v>3765</v>
      </c>
      <c r="J244" s="136"/>
    </row>
    <row r="245" spans="1:10">
      <c r="A245" s="459" t="s">
        <v>1608</v>
      </c>
      <c r="B245" s="289">
        <f>E245</f>
        <v>-247135.51000000007</v>
      </c>
      <c r="C245" s="136"/>
      <c r="D245" s="287">
        <f>D246+D247+D248</f>
        <v>-247135.51000000007</v>
      </c>
      <c r="E245" s="326">
        <f t="shared" si="13"/>
        <v>-247135.51000000007</v>
      </c>
      <c r="F245" s="136"/>
      <c r="G245" s="289">
        <v>-305477.25999999995</v>
      </c>
      <c r="H245" s="136">
        <v>-305477.25999999995</v>
      </c>
      <c r="I245" s="136">
        <f>B245-D248</f>
        <v>-243097.84000000008</v>
      </c>
      <c r="J245" s="136"/>
    </row>
    <row r="246" spans="1:10">
      <c r="A246" s="448" t="s">
        <v>1791</v>
      </c>
      <c r="B246" s="288"/>
      <c r="C246" s="282"/>
      <c r="D246" s="78">
        <f>-(IFERROR(VLOOKUP(F246,obrotówka!$A$3:$K$1600,6,0),0))+D29</f>
        <v>-225449.09</v>
      </c>
      <c r="E246" s="326">
        <f t="shared" si="13"/>
        <v>-225449.09</v>
      </c>
      <c r="F246" s="290" t="s">
        <v>917</v>
      </c>
      <c r="G246" s="288"/>
      <c r="H246" s="290">
        <v>-277653.33</v>
      </c>
      <c r="I246" s="284">
        <f>I245-D246-D247</f>
        <v>0</v>
      </c>
      <c r="J246" s="136"/>
    </row>
    <row r="247" spans="1:10">
      <c r="A247" s="448" t="s">
        <v>1791</v>
      </c>
      <c r="B247" s="288"/>
      <c r="C247" s="282"/>
      <c r="D247" s="308">
        <f>-(IFERROR(VLOOKUP(F247,obrotówka!$A$3:$K$1600,10,0),0))+D30</f>
        <v>-17648.750000000102</v>
      </c>
      <c r="E247" s="326">
        <f t="shared" si="13"/>
        <v>-17648.750000000102</v>
      </c>
      <c r="F247" s="290" t="s">
        <v>919</v>
      </c>
      <c r="G247" s="288"/>
      <c r="H247" s="290">
        <v>-12132.650000000001</v>
      </c>
      <c r="I247" s="136"/>
      <c r="J247" s="136"/>
    </row>
    <row r="248" spans="1:10">
      <c r="A248" s="452" t="s">
        <v>1792</v>
      </c>
      <c r="B248" s="327"/>
      <c r="C248" s="136"/>
      <c r="D248" s="284">
        <f>-(D100+D101)</f>
        <v>-4037.6699999999901</v>
      </c>
      <c r="E248" s="326">
        <f t="shared" si="13"/>
        <v>-4037.6699999999901</v>
      </c>
      <c r="F248" s="136"/>
      <c r="G248" s="327"/>
      <c r="H248" s="136">
        <v>-15691.279999999901</v>
      </c>
      <c r="I248" s="136"/>
      <c r="J248" s="136"/>
    </row>
    <row r="249" spans="1:10">
      <c r="A249" s="459" t="s">
        <v>2005</v>
      </c>
      <c r="B249" s="289">
        <f>E249</f>
        <v>-237426.53999999887</v>
      </c>
      <c r="C249" s="136"/>
      <c r="D249" s="287">
        <f>-D28</f>
        <v>-237426.53999999887</v>
      </c>
      <c r="E249" s="326">
        <f t="shared" si="13"/>
        <v>-237426.53999999887</v>
      </c>
      <c r="F249" s="136"/>
      <c r="G249" s="289">
        <v>-333595.91000000003</v>
      </c>
      <c r="H249" s="136">
        <v>-333595.91000000003</v>
      </c>
      <c r="I249" s="136" t="s">
        <v>3933</v>
      </c>
      <c r="J249" s="136"/>
    </row>
    <row r="250" spans="1:10">
      <c r="A250" s="336" t="s">
        <v>1609</v>
      </c>
      <c r="B250" s="323">
        <f t="shared" ref="B250:B258" si="15">E250</f>
        <v>0</v>
      </c>
      <c r="D250" s="308"/>
      <c r="E250" s="326">
        <f t="shared" si="13"/>
        <v>0</v>
      </c>
      <c r="F250" s="136" t="s">
        <v>2473</v>
      </c>
      <c r="G250" s="323">
        <v>12800000</v>
      </c>
      <c r="H250" s="136">
        <v>12800000</v>
      </c>
      <c r="I250" s="136">
        <f>-D31</f>
        <v>-241.11</v>
      </c>
      <c r="J250" s="136" t="s">
        <v>3934</v>
      </c>
    </row>
    <row r="251" spans="1:10">
      <c r="A251" s="336" t="s">
        <v>1611</v>
      </c>
      <c r="B251" s="323">
        <f t="shared" si="15"/>
        <v>0</v>
      </c>
      <c r="D251" s="346"/>
      <c r="E251" s="326">
        <f t="shared" si="13"/>
        <v>0</v>
      </c>
      <c r="F251" s="136" t="s">
        <v>2473</v>
      </c>
      <c r="G251" s="323">
        <v>-19300000</v>
      </c>
      <c r="H251" s="136">
        <v>-19300000</v>
      </c>
      <c r="I251" s="136">
        <f>D249-I250</f>
        <v>-237185.42999999889</v>
      </c>
      <c r="J251" s="136" t="s">
        <v>980</v>
      </c>
    </row>
    <row r="252" spans="1:10">
      <c r="A252" s="270" t="s">
        <v>1612</v>
      </c>
      <c r="B252" s="268">
        <f t="shared" si="15"/>
        <v>0</v>
      </c>
      <c r="E252" s="326">
        <f t="shared" si="13"/>
        <v>0</v>
      </c>
      <c r="F252" s="136"/>
      <c r="G252" s="268">
        <v>0</v>
      </c>
      <c r="H252" s="136"/>
      <c r="I252" s="136"/>
      <c r="J252" s="136"/>
    </row>
    <row r="253" spans="1:10">
      <c r="A253" s="270" t="s">
        <v>1613</v>
      </c>
      <c r="B253" s="268">
        <f t="shared" si="15"/>
        <v>0</v>
      </c>
      <c r="E253" s="326">
        <f t="shared" si="13"/>
        <v>0</v>
      </c>
      <c r="F253" s="136"/>
      <c r="G253" s="268">
        <v>0</v>
      </c>
      <c r="H253" s="136"/>
      <c r="I253" s="136"/>
      <c r="J253" s="136"/>
    </row>
    <row r="254" spans="1:10">
      <c r="A254" s="270" t="s">
        <v>1614</v>
      </c>
      <c r="B254" s="268">
        <f t="shared" si="15"/>
        <v>0</v>
      </c>
      <c r="E254" s="326">
        <f t="shared" si="13"/>
        <v>0</v>
      </c>
      <c r="F254" s="136"/>
      <c r="G254" s="268">
        <v>0</v>
      </c>
      <c r="H254" s="136"/>
      <c r="I254" s="136"/>
      <c r="J254" s="136"/>
    </row>
    <row r="255" spans="1:10">
      <c r="A255" s="336" t="s">
        <v>2006</v>
      </c>
      <c r="B255" s="323">
        <f t="shared" si="15"/>
        <v>0</v>
      </c>
      <c r="D255" s="137">
        <f>D256</f>
        <v>0</v>
      </c>
      <c r="E255" s="326">
        <f t="shared" si="13"/>
        <v>0</v>
      </c>
      <c r="F255" s="136"/>
      <c r="G255" s="323">
        <v>-677738.16999999888</v>
      </c>
      <c r="H255" s="136">
        <v>-677738.16999999888</v>
      </c>
      <c r="I255" s="136"/>
      <c r="J255" s="136"/>
    </row>
    <row r="256" spans="1:10">
      <c r="A256" s="270" t="s">
        <v>3697</v>
      </c>
      <c r="B256" s="268"/>
      <c r="D256" s="139">
        <f>-D19</f>
        <v>0</v>
      </c>
      <c r="E256" s="326">
        <f t="shared" si="13"/>
        <v>0</v>
      </c>
      <c r="F256" s="136"/>
      <c r="G256" s="268"/>
      <c r="H256" s="136">
        <v>-677738.16999999888</v>
      </c>
      <c r="I256" s="136"/>
      <c r="J256" s="136"/>
    </row>
    <row r="257" spans="1:10">
      <c r="A257" s="270" t="s">
        <v>1616</v>
      </c>
      <c r="B257" s="268">
        <f t="shared" si="15"/>
        <v>0</v>
      </c>
      <c r="E257" s="326">
        <f t="shared" si="13"/>
        <v>0</v>
      </c>
      <c r="F257" s="136"/>
      <c r="G257" s="268">
        <v>0</v>
      </c>
      <c r="H257" s="136"/>
      <c r="I257" s="136"/>
      <c r="J257" s="136"/>
    </row>
    <row r="258" spans="1:10">
      <c r="A258" s="270" t="s">
        <v>1617</v>
      </c>
      <c r="B258" s="268">
        <f t="shared" si="15"/>
        <v>0</v>
      </c>
      <c r="E258" s="326">
        <f t="shared" si="13"/>
        <v>0</v>
      </c>
      <c r="F258" s="136"/>
      <c r="G258" s="268">
        <v>0</v>
      </c>
      <c r="H258" s="136"/>
      <c r="I258" s="136"/>
      <c r="J258" s="136"/>
    </row>
    <row r="259" spans="1:10">
      <c r="A259" s="462" t="s">
        <v>1610</v>
      </c>
      <c r="B259" s="333">
        <f>E259</f>
        <v>898569.97000000998</v>
      </c>
      <c r="C259" s="312"/>
      <c r="D259" s="346">
        <f>IF('FC Spr.z syt.finans.'!D26-'FC Spr.z syt.finans.'!D68-D238-D239&lt;=0,D260-D263+D264+D265-D262+D261,0)</f>
        <v>898569.97000000998</v>
      </c>
      <c r="E259" s="326">
        <f>D259+C259</f>
        <v>898569.97000000998</v>
      </c>
      <c r="F259" s="286">
        <f>IF(D20+D36+'FC Spr.z syt.finans.'!D26&lt;0,D20+D36+'FC Spr.z syt.finans.'!D26,0)</f>
        <v>-898569.97000000998</v>
      </c>
      <c r="G259" s="333">
        <v>968258.15999999992</v>
      </c>
      <c r="H259" s="286">
        <v>968258.15999999992</v>
      </c>
      <c r="I259" s="136"/>
      <c r="J259" s="136"/>
    </row>
    <row r="260" spans="1:10">
      <c r="A260" s="463" t="s">
        <v>2099</v>
      </c>
      <c r="B260" s="334"/>
      <c r="C260" s="313"/>
      <c r="D260" s="134">
        <f>(IFERROR(VLOOKUP(F260,obrotówka!$A$3:$M$1600,12,0),0))</f>
        <v>3363244.02</v>
      </c>
      <c r="E260" s="326">
        <f t="shared" ref="E260:E265" si="16">D260+C260</f>
        <v>3363244.02</v>
      </c>
      <c r="F260" s="290" t="s">
        <v>169</v>
      </c>
      <c r="G260" s="334"/>
      <c r="H260" s="290">
        <v>518791.08</v>
      </c>
      <c r="I260" s="136"/>
      <c r="J260" s="136"/>
    </row>
    <row r="261" spans="1:10">
      <c r="A261" s="463" t="s">
        <v>2100</v>
      </c>
      <c r="B261" s="334"/>
      <c r="C261" s="313"/>
      <c r="D261" s="134">
        <f>(IFERROR(VLOOKUP(F261,obrotówka!$A$3:$M$1600,13,0),0))</f>
        <v>0</v>
      </c>
      <c r="E261" s="326">
        <f t="shared" si="16"/>
        <v>0</v>
      </c>
      <c r="F261" s="290" t="s">
        <v>169</v>
      </c>
      <c r="G261" s="334"/>
      <c r="H261" s="290">
        <v>0</v>
      </c>
      <c r="I261" s="136"/>
      <c r="J261" s="136"/>
    </row>
    <row r="262" spans="1:10">
      <c r="A262" s="463" t="s">
        <v>2101</v>
      </c>
      <c r="B262" s="334"/>
      <c r="C262" s="313"/>
      <c r="D262" s="134">
        <f>(IFERROR(VLOOKUP(F262,obrotówka!$A$3:$M$1600,8,0),0))</f>
        <v>2501383.25999999</v>
      </c>
      <c r="E262" s="326">
        <f t="shared" si="16"/>
        <v>2501383.25999999</v>
      </c>
      <c r="F262" s="290" t="s">
        <v>169</v>
      </c>
      <c r="G262" s="334"/>
      <c r="H262" s="290">
        <v>0</v>
      </c>
      <c r="I262" s="136"/>
      <c r="J262" s="136"/>
    </row>
    <row r="263" spans="1:10">
      <c r="A263" s="463" t="s">
        <v>2102</v>
      </c>
      <c r="B263" s="334"/>
      <c r="C263" s="313"/>
      <c r="D263" s="134">
        <f>(IFERROR(VLOOKUP(F263,obrotówka!$A$3:$M$1600,9,0),0))</f>
        <v>0</v>
      </c>
      <c r="E263" s="326">
        <f t="shared" si="16"/>
        <v>0</v>
      </c>
      <c r="F263" s="290" t="s">
        <v>169</v>
      </c>
      <c r="G263" s="334"/>
      <c r="H263" s="290">
        <v>-391789.08</v>
      </c>
      <c r="I263" s="136"/>
      <c r="J263" s="136"/>
    </row>
    <row r="264" spans="1:10">
      <c r="A264" s="463" t="s">
        <v>2115</v>
      </c>
      <c r="B264" s="334"/>
      <c r="C264" s="313"/>
      <c r="D264" s="134">
        <f>-D20</f>
        <v>13323.119999999981</v>
      </c>
      <c r="E264" s="326"/>
      <c r="F264" s="290"/>
      <c r="G264" s="334"/>
      <c r="H264" s="290">
        <v>57913.989999999896</v>
      </c>
      <c r="I264" s="136"/>
      <c r="J264" s="136"/>
    </row>
    <row r="265" spans="1:10">
      <c r="A265" s="463" t="s">
        <v>2116</v>
      </c>
      <c r="B265" s="334"/>
      <c r="C265" s="313"/>
      <c r="D265" s="335">
        <f>-D36</f>
        <v>23386.09</v>
      </c>
      <c r="E265" s="326">
        <f t="shared" si="16"/>
        <v>23386.09</v>
      </c>
      <c r="F265" s="136"/>
      <c r="G265" s="334"/>
      <c r="H265" s="136">
        <v>-235.99</v>
      </c>
      <c r="I265" s="136"/>
      <c r="J265" s="136"/>
    </row>
    <row r="266" spans="1:10">
      <c r="A266" s="462" t="s">
        <v>1615</v>
      </c>
      <c r="B266" s="333">
        <f>E266</f>
        <v>-17455.79</v>
      </c>
      <c r="C266" s="313"/>
      <c r="D266" s="312">
        <f>-D23</f>
        <v>-17455.79</v>
      </c>
      <c r="E266" s="326">
        <f>D266+C266</f>
        <v>-17455.79</v>
      </c>
      <c r="F266" s="136"/>
      <c r="G266" s="333">
        <v>-328213.54999999888</v>
      </c>
      <c r="H266" s="136">
        <v>-328213.54999999888</v>
      </c>
      <c r="I266" s="136"/>
      <c r="J266" s="136"/>
    </row>
    <row r="267" spans="1:10">
      <c r="A267" s="336" t="s">
        <v>1618</v>
      </c>
      <c r="B267" s="323">
        <f>E267</f>
        <v>0</v>
      </c>
      <c r="E267" s="326">
        <f>D267+C267</f>
        <v>0</v>
      </c>
      <c r="F267" s="136"/>
      <c r="G267" s="1065">
        <v>0</v>
      </c>
      <c r="H267" s="136"/>
      <c r="I267" s="136"/>
      <c r="J267" s="136"/>
    </row>
    <row r="268" spans="1:10">
      <c r="A268" s="336" t="s">
        <v>1619</v>
      </c>
      <c r="B268" s="323">
        <f>E268</f>
        <v>0</v>
      </c>
      <c r="E268" s="326">
        <f>D268+C268</f>
        <v>0</v>
      </c>
      <c r="F268" s="136"/>
      <c r="G268" s="1066">
        <v>0</v>
      </c>
      <c r="H268" s="136"/>
      <c r="I268" s="136"/>
      <c r="J268" s="136"/>
    </row>
    <row r="269" spans="1:10">
      <c r="A269" s="458" t="s">
        <v>1620</v>
      </c>
      <c r="B269" s="325">
        <f>E269</f>
        <v>396552.13000001101</v>
      </c>
      <c r="C269" s="325">
        <f>C268+C267+C266+C259+C258+C257+C255+C254+C253+C252+C251+C250+C249+C245+C244</f>
        <v>0</v>
      </c>
      <c r="D269" s="325">
        <f>D268+D267+D266+D259+D258+D257+D255+D254+D253+D252+D251+D250+D249+D245+D244</f>
        <v>396552.13000001101</v>
      </c>
      <c r="E269" s="325">
        <f>D269+C269</f>
        <v>396552.13000001101</v>
      </c>
      <c r="F269" s="1067"/>
      <c r="G269" s="1068">
        <v>-7176766.7299999986</v>
      </c>
      <c r="H269" s="1067">
        <v>-7176766.7299999986</v>
      </c>
      <c r="I269" s="1067"/>
      <c r="J269" s="1067"/>
    </row>
    <row r="270" spans="1:10">
      <c r="A270" s="448" t="s">
        <v>923</v>
      </c>
      <c r="B270" s="288"/>
      <c r="C270" s="288"/>
      <c r="D270" s="288"/>
      <c r="E270" s="288"/>
      <c r="F270" s="136"/>
      <c r="G270" s="282"/>
      <c r="H270" s="136"/>
      <c r="I270" s="136"/>
      <c r="J270" s="136"/>
    </row>
    <row r="271" spans="1:10">
      <c r="A271" s="459" t="s">
        <v>1621</v>
      </c>
      <c r="B271" s="289">
        <f>B269+B242+B182</f>
        <v>-820288.06000111927</v>
      </c>
      <c r="C271" s="289"/>
      <c r="D271" s="289"/>
      <c r="E271" s="289"/>
      <c r="F271" s="136"/>
      <c r="G271" s="287">
        <v>656707.6000004448</v>
      </c>
      <c r="H271" s="136"/>
      <c r="I271" s="136"/>
      <c r="J271" s="136"/>
    </row>
    <row r="272" spans="1:10">
      <c r="A272" s="452" t="s">
        <v>1622</v>
      </c>
      <c r="B272" s="136"/>
      <c r="C272" s="282"/>
      <c r="D272" s="282"/>
      <c r="E272" s="282"/>
      <c r="F272" s="136"/>
      <c r="G272" s="136"/>
      <c r="H272" s="136"/>
      <c r="I272" s="136"/>
      <c r="J272" s="136"/>
    </row>
    <row r="273" spans="1:10">
      <c r="A273" s="448" t="s">
        <v>1623</v>
      </c>
      <c r="B273" s="282">
        <f>'FC Spr.z syt.finans.'!C29</f>
        <v>1351196.7300000002</v>
      </c>
      <c r="C273" s="282"/>
      <c r="D273" s="282"/>
      <c r="E273" s="282"/>
      <c r="F273" s="136"/>
      <c r="G273" s="282">
        <v>4160154.92</v>
      </c>
      <c r="H273" s="136"/>
      <c r="I273" s="136"/>
      <c r="J273" s="136"/>
    </row>
    <row r="274" spans="1:10">
      <c r="A274" s="459" t="s">
        <v>1624</v>
      </c>
      <c r="B274" s="289">
        <f>'FC Spr.z syt.finans.'!B29</f>
        <v>530908.67000000016</v>
      </c>
      <c r="C274" s="289"/>
      <c r="D274" s="289"/>
      <c r="E274" s="289"/>
      <c r="F274" s="136"/>
      <c r="G274" s="287">
        <v>4816862.5199999884</v>
      </c>
      <c r="H274" s="136"/>
      <c r="I274" s="136"/>
      <c r="J274" s="136"/>
    </row>
    <row r="275" spans="1:10">
      <c r="A275" s="448" t="s">
        <v>1625</v>
      </c>
      <c r="B275" s="282"/>
      <c r="C275" s="282"/>
      <c r="D275" s="282"/>
      <c r="E275" s="282"/>
      <c r="F275" s="136"/>
      <c r="G275" s="282"/>
      <c r="H275" s="136"/>
      <c r="I275" s="136"/>
      <c r="J275" s="136"/>
    </row>
    <row r="276" spans="1:10">
      <c r="A276" s="448" t="s">
        <v>1626</v>
      </c>
      <c r="B276" s="282"/>
      <c r="C276" s="282"/>
      <c r="D276" s="282"/>
      <c r="E276" s="282"/>
      <c r="F276" s="136"/>
      <c r="G276" s="282"/>
      <c r="H276" s="136"/>
      <c r="I276" s="136"/>
      <c r="J276" s="136"/>
    </row>
    <row r="277" spans="1:10">
      <c r="B277" s="137">
        <f>B274-B273</f>
        <v>-820288.06</v>
      </c>
      <c r="G277" s="137">
        <v>656707.59999998845</v>
      </c>
    </row>
    <row r="278" spans="1:10">
      <c r="B278" s="139">
        <f>B271-B277</f>
        <v>-1.1192169040441513E-6</v>
      </c>
      <c r="G278" s="139">
        <v>4.5634806156158447E-7</v>
      </c>
    </row>
  </sheetData>
  <autoFilter ref="B1:D278"/>
  <mergeCells count="1">
    <mergeCell ref="I215:N217"/>
  </mergeCells>
  <pageMargins left="0.7" right="0.7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88"/>
  <sheetViews>
    <sheetView zoomScale="120" zoomScaleNormal="120" workbookViewId="0">
      <pane xSplit="2" ySplit="3" topLeftCell="C52" activePane="bottomRight" state="frozen"/>
      <selection pane="topRight" activeCell="C1" sqref="C1"/>
      <selection pane="bottomLeft" activeCell="A4" sqref="A4"/>
      <selection pane="bottomRight" activeCell="B71" sqref="B71"/>
    </sheetView>
  </sheetViews>
  <sheetFormatPr defaultColWidth="9.109375" defaultRowHeight="10.199999999999999"/>
  <cols>
    <col min="1" max="1" width="67.5546875" style="256" customWidth="1"/>
    <col min="2" max="3" width="14.6640625" style="137" customWidth="1"/>
    <col min="4" max="4" width="15" style="135" customWidth="1"/>
    <col min="5" max="5" width="15" style="135" hidden="1" customWidth="1"/>
    <col min="6" max="6" width="14.6640625" style="137" hidden="1" customWidth="1"/>
    <col min="7" max="7" width="12.77734375" style="135" customWidth="1"/>
    <col min="8" max="14" width="9.33203125" style="135" customWidth="1"/>
    <col min="15" max="16384" width="9.109375" style="135"/>
  </cols>
  <sheetData>
    <row r="1" spans="1:14">
      <c r="A1" s="255"/>
    </row>
    <row r="2" spans="1:14">
      <c r="B2" s="139">
        <f>B84</f>
        <v>-1.1920928955078125E-7</v>
      </c>
      <c r="C2" s="137">
        <v>1.0132789611816406E-6</v>
      </c>
      <c r="F2" s="137">
        <v>0</v>
      </c>
      <c r="G2" s="137"/>
    </row>
    <row r="3" spans="1:14" ht="21">
      <c r="A3" s="264" t="s">
        <v>1514</v>
      </c>
      <c r="B3" s="258">
        <f>'bilans '!B2</f>
        <v>45930</v>
      </c>
      <c r="C3" s="258">
        <v>45657</v>
      </c>
      <c r="D3" s="135" t="s">
        <v>1565</v>
      </c>
      <c r="F3" s="258">
        <v>44926</v>
      </c>
    </row>
    <row r="4" spans="1:14">
      <c r="A4" s="259"/>
      <c r="B4" s="260" t="s">
        <v>923</v>
      </c>
      <c r="C4" s="260" t="s">
        <v>923</v>
      </c>
      <c r="F4" s="260" t="s">
        <v>923</v>
      </c>
    </row>
    <row r="5" spans="1:14">
      <c r="A5" s="259" t="s">
        <v>1515</v>
      </c>
      <c r="B5" s="260">
        <f>'SF Spr.z syt.finans.'!C6</f>
        <v>22151879.409999989</v>
      </c>
      <c r="C5" s="260">
        <v>23191134.809999898</v>
      </c>
      <c r="D5" s="306">
        <f t="shared" ref="D5:D10" si="0">B5-C5</f>
        <v>-1039255.3999999091</v>
      </c>
      <c r="E5" s="306"/>
      <c r="F5" s="260">
        <v>25084885.059999898</v>
      </c>
      <c r="G5" s="468">
        <f>B5+B6+B7+B8</f>
        <v>28690264.260000005</v>
      </c>
      <c r="H5" s="673"/>
      <c r="I5" s="136"/>
      <c r="J5" s="136"/>
      <c r="K5" s="673"/>
      <c r="L5" s="673"/>
      <c r="M5" s="673"/>
      <c r="N5" s="673"/>
    </row>
    <row r="6" spans="1:14">
      <c r="A6" s="259" t="s">
        <v>1516</v>
      </c>
      <c r="B6" s="260">
        <f>'SF Spr.z syt.finans.'!C7</f>
        <v>156655.69</v>
      </c>
      <c r="C6" s="260">
        <v>164346.50000000102</v>
      </c>
      <c r="D6" s="306">
        <f t="shared" si="0"/>
        <v>-7690.8100000010163</v>
      </c>
      <c r="E6" s="306"/>
      <c r="F6" s="260">
        <v>184855.31000000102</v>
      </c>
      <c r="G6" s="137">
        <f>-'bilans '!B32-'bilans '!B66</f>
        <v>-78184.919999999925</v>
      </c>
      <c r="H6" s="673" t="s">
        <v>3559</v>
      </c>
      <c r="I6" s="136"/>
      <c r="J6" s="136"/>
      <c r="K6" s="673"/>
      <c r="L6" s="673"/>
      <c r="M6" s="673"/>
      <c r="N6" s="673"/>
    </row>
    <row r="7" spans="1:14">
      <c r="A7" s="259" t="s">
        <v>1517</v>
      </c>
      <c r="B7" s="260">
        <f>'SF Spr.z syt.finans.'!C8</f>
        <v>100630.32000001008</v>
      </c>
      <c r="C7" s="260">
        <v>116711.23999999999</v>
      </c>
      <c r="D7" s="306">
        <f t="shared" si="0"/>
        <v>-16080.919999989914</v>
      </c>
      <c r="E7" s="306"/>
      <c r="F7" s="260">
        <v>154960.96999999997</v>
      </c>
      <c r="H7" s="673"/>
      <c r="I7" s="673"/>
      <c r="J7" s="673"/>
      <c r="K7" s="673"/>
      <c r="L7" s="673"/>
      <c r="M7" s="673"/>
      <c r="N7" s="673"/>
    </row>
    <row r="8" spans="1:14">
      <c r="A8" s="256" t="s">
        <v>4066</v>
      </c>
      <c r="B8" s="260">
        <f>'SF Spr.z syt.finans.'!C9</f>
        <v>6281098.8400000026</v>
      </c>
      <c r="C8" s="260">
        <v>6586382.2600000007</v>
      </c>
      <c r="D8" s="306">
        <f t="shared" si="0"/>
        <v>-305283.41999999806</v>
      </c>
      <c r="E8" s="306"/>
      <c r="F8" s="260">
        <v>7139268.0499999998</v>
      </c>
      <c r="G8" s="137"/>
      <c r="H8" s="673"/>
      <c r="I8" s="136"/>
      <c r="J8" s="673"/>
      <c r="K8" s="673"/>
      <c r="L8" s="673"/>
      <c r="M8" s="673"/>
      <c r="N8" s="673"/>
    </row>
    <row r="9" spans="1:14">
      <c r="A9" s="259" t="s">
        <v>1518</v>
      </c>
      <c r="B9" s="260">
        <f>'SF Spr.z syt.finans.'!C10</f>
        <v>0</v>
      </c>
      <c r="C9" s="260">
        <v>388324.52</v>
      </c>
      <c r="D9" s="280">
        <f t="shared" si="0"/>
        <v>-388324.52</v>
      </c>
      <c r="E9" s="280"/>
      <c r="F9" s="260">
        <v>618105</v>
      </c>
      <c r="H9" s="673"/>
      <c r="I9" s="136"/>
      <c r="J9" s="673"/>
      <c r="K9" s="673"/>
      <c r="L9" s="673"/>
      <c r="M9" s="673"/>
      <c r="N9" s="673"/>
    </row>
    <row r="10" spans="1:14">
      <c r="A10" s="256" t="s">
        <v>1944</v>
      </c>
      <c r="B10" s="260">
        <f>'SF Spr.z syt.finans.'!C13</f>
        <v>200</v>
      </c>
      <c r="C10" s="260">
        <v>200</v>
      </c>
      <c r="D10" s="137">
        <f t="shared" si="0"/>
        <v>0</v>
      </c>
      <c r="E10" s="137"/>
      <c r="F10" s="260">
        <v>200</v>
      </c>
      <c r="H10" s="673"/>
      <c r="I10" s="136"/>
      <c r="J10" s="673"/>
      <c r="K10" s="673"/>
      <c r="L10" s="673"/>
      <c r="M10" s="673"/>
      <c r="N10" s="673"/>
    </row>
    <row r="11" spans="1:14" ht="20.399999999999999">
      <c r="A11" s="256" t="s">
        <v>1519</v>
      </c>
      <c r="B11" s="135"/>
      <c r="C11" s="135"/>
      <c r="D11" s="137">
        <f t="shared" ref="D11:D19" si="1">B11-C11</f>
        <v>0</v>
      </c>
      <c r="E11" s="137"/>
      <c r="F11" s="135"/>
      <c r="H11" s="673"/>
      <c r="I11" s="673"/>
      <c r="J11" s="673"/>
      <c r="K11" s="673"/>
      <c r="L11" s="673"/>
      <c r="M11" s="673"/>
      <c r="N11" s="673"/>
    </row>
    <row r="12" spans="1:14" ht="10.199999999999999" customHeight="1">
      <c r="A12" s="256" t="s">
        <v>1945</v>
      </c>
      <c r="B12" s="260"/>
      <c r="C12" s="260"/>
      <c r="D12" s="137">
        <f t="shared" si="1"/>
        <v>0</v>
      </c>
      <c r="E12" s="137"/>
      <c r="F12" s="260"/>
      <c r="H12" s="673"/>
      <c r="I12" s="673"/>
      <c r="J12" s="673"/>
      <c r="K12" s="673"/>
      <c r="L12" s="673"/>
      <c r="M12" s="673"/>
      <c r="N12" s="673"/>
    </row>
    <row r="13" spans="1:14">
      <c r="A13" s="259" t="s">
        <v>1520</v>
      </c>
      <c r="B13" s="260">
        <f>'bilans '!B78</f>
        <v>0</v>
      </c>
      <c r="C13" s="260">
        <v>8530.5499999999902</v>
      </c>
      <c r="D13" s="137">
        <f t="shared" si="1"/>
        <v>-8530.5499999999902</v>
      </c>
      <c r="E13" s="137"/>
      <c r="F13" s="260">
        <v>0</v>
      </c>
      <c r="H13" s="673"/>
      <c r="I13" s="673"/>
      <c r="J13" s="673"/>
      <c r="K13" s="673"/>
      <c r="L13" s="673"/>
      <c r="M13" s="673"/>
      <c r="N13" s="673"/>
    </row>
    <row r="14" spans="1:14">
      <c r="A14" s="256" t="s">
        <v>1946</v>
      </c>
      <c r="B14" s="260"/>
      <c r="C14" s="260"/>
      <c r="D14" s="137">
        <f t="shared" si="1"/>
        <v>0</v>
      </c>
      <c r="E14" s="137"/>
      <c r="F14" s="260"/>
      <c r="H14" s="673"/>
      <c r="I14" s="673"/>
      <c r="J14" s="673"/>
      <c r="K14" s="673"/>
      <c r="L14" s="673"/>
      <c r="M14" s="673"/>
      <c r="N14" s="673"/>
    </row>
    <row r="15" spans="1:14">
      <c r="A15" s="259" t="s">
        <v>1521</v>
      </c>
      <c r="B15" s="260">
        <f>'SF Spr.z syt.finans.'!C14</f>
        <v>5170187.7599999942</v>
      </c>
      <c r="C15" s="260">
        <v>6592987.7700000033</v>
      </c>
      <c r="D15" s="137">
        <f t="shared" si="1"/>
        <v>-1422800.0100000091</v>
      </c>
      <c r="E15" s="137"/>
      <c r="F15" s="260">
        <v>11013113.439999999</v>
      </c>
      <c r="H15" s="673"/>
      <c r="I15" s="673"/>
      <c r="J15" s="673"/>
      <c r="K15" s="673"/>
      <c r="L15" s="673"/>
      <c r="M15" s="673"/>
      <c r="N15" s="673"/>
    </row>
    <row r="16" spans="1:14">
      <c r="A16" s="259" t="s">
        <v>1522</v>
      </c>
      <c r="B16" s="260"/>
      <c r="C16" s="260"/>
      <c r="D16" s="137">
        <f t="shared" si="1"/>
        <v>0</v>
      </c>
      <c r="E16" s="137"/>
      <c r="F16" s="260"/>
      <c r="H16" s="673"/>
      <c r="I16" s="673"/>
      <c r="J16" s="673"/>
      <c r="K16" s="673"/>
      <c r="L16" s="673"/>
      <c r="M16" s="673"/>
      <c r="N16" s="673"/>
    </row>
    <row r="17" spans="1:14">
      <c r="A17" s="259" t="s">
        <v>1523</v>
      </c>
      <c r="B17" s="260"/>
      <c r="C17" s="260"/>
      <c r="D17" s="137">
        <f t="shared" si="1"/>
        <v>0</v>
      </c>
      <c r="E17" s="137"/>
      <c r="F17" s="260"/>
      <c r="H17" s="673"/>
      <c r="I17" s="673"/>
      <c r="J17" s="673"/>
      <c r="K17" s="673"/>
      <c r="L17" s="673"/>
      <c r="M17" s="673"/>
      <c r="N17" s="673"/>
    </row>
    <row r="18" spans="1:14">
      <c r="A18" s="257" t="s">
        <v>1524</v>
      </c>
      <c r="B18" s="261">
        <f>SUM(B5:B17)</f>
        <v>33860652.019999996</v>
      </c>
      <c r="C18" s="261">
        <v>37048617.649999902</v>
      </c>
      <c r="D18" s="137">
        <f t="shared" si="1"/>
        <v>-3187965.6299999058</v>
      </c>
      <c r="E18" s="137"/>
      <c r="F18" s="261">
        <v>44195387.829999901</v>
      </c>
      <c r="G18" s="137">
        <f>B18-'bilans '!B4</f>
        <v>0</v>
      </c>
      <c r="H18" s="673"/>
      <c r="I18" s="673"/>
      <c r="J18" s="673"/>
      <c r="K18" s="673"/>
      <c r="L18" s="673"/>
      <c r="M18" s="673"/>
      <c r="N18" s="673"/>
    </row>
    <row r="19" spans="1:14">
      <c r="A19" s="259" t="s">
        <v>923</v>
      </c>
      <c r="B19" s="260"/>
      <c r="C19" s="260"/>
      <c r="D19" s="137">
        <f t="shared" si="1"/>
        <v>0</v>
      </c>
      <c r="E19" s="137"/>
      <c r="F19" s="260"/>
      <c r="H19" s="673"/>
      <c r="I19" s="673"/>
      <c r="J19" s="673"/>
      <c r="K19" s="673"/>
      <c r="L19" s="673"/>
      <c r="M19" s="673"/>
      <c r="N19" s="673"/>
    </row>
    <row r="20" spans="1:14">
      <c r="A20" s="259" t="s">
        <v>1525</v>
      </c>
      <c r="B20" s="260">
        <f>'SF Spr.z syt.finans.'!C17</f>
        <v>7840534.6899999911</v>
      </c>
      <c r="C20" s="260">
        <v>1843364.92</v>
      </c>
      <c r="D20" s="280">
        <f t="shared" ref="D20:D45" si="2">B20-C20</f>
        <v>5997169.7699999912</v>
      </c>
      <c r="E20" s="280"/>
      <c r="F20" s="260">
        <v>2592337.9900000095</v>
      </c>
      <c r="H20" s="673"/>
      <c r="I20" s="673"/>
      <c r="J20" s="673"/>
      <c r="K20" s="673"/>
      <c r="L20" s="673"/>
      <c r="M20" s="673"/>
      <c r="N20" s="673"/>
    </row>
    <row r="21" spans="1:14">
      <c r="A21" s="256" t="s">
        <v>1947</v>
      </c>
      <c r="B21" s="260"/>
      <c r="C21" s="260"/>
      <c r="D21" s="137">
        <f t="shared" si="2"/>
        <v>0</v>
      </c>
      <c r="E21" s="137"/>
      <c r="F21" s="260"/>
      <c r="H21" s="673"/>
      <c r="I21" s="673"/>
      <c r="J21" s="673"/>
      <c r="K21" s="673"/>
      <c r="L21" s="673"/>
      <c r="M21" s="673"/>
      <c r="N21" s="673"/>
    </row>
    <row r="22" spans="1:14">
      <c r="A22" s="259" t="s">
        <v>1526</v>
      </c>
      <c r="B22" s="260">
        <f>'bilans '!B122</f>
        <v>0</v>
      </c>
      <c r="C22" s="260">
        <v>53224</v>
      </c>
      <c r="D22" s="280">
        <f t="shared" si="2"/>
        <v>-53224</v>
      </c>
      <c r="E22" s="280"/>
      <c r="F22" s="260"/>
      <c r="H22" s="673"/>
      <c r="I22" s="673"/>
      <c r="J22" s="673"/>
      <c r="K22" s="673"/>
      <c r="L22" s="673"/>
      <c r="M22" s="673"/>
      <c r="N22" s="673"/>
    </row>
    <row r="23" spans="1:14" ht="10.8" customHeight="1">
      <c r="A23" s="256" t="s">
        <v>1948</v>
      </c>
      <c r="B23" s="260"/>
      <c r="C23" s="260"/>
      <c r="D23" s="137">
        <f t="shared" si="2"/>
        <v>0</v>
      </c>
      <c r="E23" s="137"/>
      <c r="F23" s="260"/>
      <c r="H23" s="673"/>
      <c r="I23" s="673"/>
      <c r="J23" s="673"/>
      <c r="K23" s="673"/>
      <c r="L23" s="673"/>
      <c r="M23" s="673"/>
      <c r="N23" s="673"/>
    </row>
    <row r="24" spans="1:14">
      <c r="A24" s="259" t="s">
        <v>1527</v>
      </c>
      <c r="B24" s="302">
        <f>'bilans '!B124</f>
        <v>25022304.54999999</v>
      </c>
      <c r="C24" s="260">
        <v>26085018.280000001</v>
      </c>
      <c r="D24" s="280">
        <f t="shared" si="2"/>
        <v>-1062713.7300000116</v>
      </c>
      <c r="E24" s="280"/>
      <c r="F24" s="260">
        <v>33884376.639999993</v>
      </c>
      <c r="H24" s="673"/>
      <c r="I24" s="673"/>
      <c r="J24" s="673"/>
      <c r="K24" s="673"/>
      <c r="L24" s="673"/>
      <c r="M24" s="673"/>
      <c r="N24" s="673"/>
    </row>
    <row r="25" spans="1:14">
      <c r="A25" s="259" t="s">
        <v>2486</v>
      </c>
      <c r="B25" s="260">
        <f>'bilans '!B181</f>
        <v>2986485.3999999873</v>
      </c>
      <c r="C25" s="260">
        <v>3564608.2899999963</v>
      </c>
      <c r="D25" s="280">
        <f t="shared" si="2"/>
        <v>-578122.89000000898</v>
      </c>
      <c r="E25" s="280"/>
      <c r="F25" s="260">
        <v>629876.5799999974</v>
      </c>
      <c r="G25" s="137"/>
      <c r="H25" s="136">
        <f>B25-B26</f>
        <v>485102.13999999734</v>
      </c>
      <c r="I25" s="136">
        <f>C25-C26</f>
        <v>201364.26999999629</v>
      </c>
      <c r="J25" s="136">
        <f>H25-I25</f>
        <v>283737.87000000104</v>
      </c>
      <c r="K25" s="673"/>
      <c r="L25" s="673"/>
      <c r="M25" s="673"/>
      <c r="N25" s="673"/>
    </row>
    <row r="26" spans="1:14">
      <c r="A26" s="428" t="s">
        <v>2487</v>
      </c>
      <c r="B26" s="302">
        <f>'bilans '!B183</f>
        <v>2501383.25999999</v>
      </c>
      <c r="C26" s="302">
        <v>3363244.02</v>
      </c>
      <c r="D26" s="306">
        <f t="shared" si="2"/>
        <v>-861860.76000001002</v>
      </c>
      <c r="E26" s="306"/>
      <c r="F26" s="302">
        <v>518791.08</v>
      </c>
      <c r="H26" s="673"/>
      <c r="I26" s="673"/>
      <c r="J26" s="673"/>
      <c r="K26" s="673"/>
      <c r="L26" s="673"/>
      <c r="M26" s="673"/>
      <c r="N26" s="673"/>
    </row>
    <row r="27" spans="1:14">
      <c r="A27" s="256" t="s">
        <v>1949</v>
      </c>
      <c r="B27" s="260"/>
      <c r="C27" s="260"/>
      <c r="D27" s="137">
        <f t="shared" si="2"/>
        <v>0</v>
      </c>
      <c r="E27" s="137"/>
      <c r="F27" s="260"/>
      <c r="H27" s="673"/>
      <c r="I27" s="673"/>
      <c r="J27" s="673"/>
      <c r="K27" s="673"/>
      <c r="L27" s="673"/>
      <c r="M27" s="673"/>
      <c r="N27" s="673"/>
    </row>
    <row r="28" spans="1:14">
      <c r="A28" s="259" t="s">
        <v>1528</v>
      </c>
      <c r="B28" s="260">
        <f>'bilans '!B229</f>
        <v>2606199.5899999985</v>
      </c>
      <c r="C28" s="260">
        <v>1776090.8399999999</v>
      </c>
      <c r="D28" s="280">
        <f t="shared" si="2"/>
        <v>830108.7499999986</v>
      </c>
      <c r="E28" s="280"/>
      <c r="F28" s="260">
        <v>2695344.1699999971</v>
      </c>
      <c r="G28" s="753" t="s">
        <v>3808</v>
      </c>
      <c r="H28" s="673"/>
      <c r="I28" s="673"/>
      <c r="J28" s="673"/>
      <c r="K28" s="673"/>
      <c r="L28" s="673"/>
      <c r="M28" s="673"/>
      <c r="N28" s="673"/>
    </row>
    <row r="29" spans="1:14">
      <c r="A29" s="259" t="s">
        <v>1529</v>
      </c>
      <c r="B29" s="260">
        <f>'bilans '!B306</f>
        <v>530908.67000000016</v>
      </c>
      <c r="C29" s="260">
        <v>1351196.7300000002</v>
      </c>
      <c r="D29" s="137">
        <f t="shared" si="2"/>
        <v>-820288.06</v>
      </c>
      <c r="E29" s="137"/>
      <c r="F29" s="260">
        <v>4160154.92</v>
      </c>
      <c r="G29" s="137">
        <f>B9</f>
        <v>0</v>
      </c>
      <c r="H29" s="137">
        <f>C9</f>
        <v>388324.52</v>
      </c>
      <c r="I29" s="136"/>
      <c r="J29" s="136"/>
      <c r="K29" s="673"/>
      <c r="L29" s="673"/>
      <c r="M29" s="673"/>
      <c r="N29" s="673"/>
    </row>
    <row r="30" spans="1:14">
      <c r="A30" s="259" t="s">
        <v>1530</v>
      </c>
      <c r="B30" s="260">
        <v>0</v>
      </c>
      <c r="C30" s="260">
        <v>0</v>
      </c>
      <c r="D30" s="137">
        <f t="shared" si="2"/>
        <v>0</v>
      </c>
      <c r="E30" s="137"/>
      <c r="F30" s="260">
        <v>0</v>
      </c>
      <c r="G30" s="137"/>
      <c r="H30" s="137"/>
      <c r="I30" s="673"/>
      <c r="J30" s="136"/>
      <c r="K30" s="673"/>
      <c r="L30" s="673"/>
      <c r="M30" s="673"/>
      <c r="N30" s="673"/>
    </row>
    <row r="31" spans="1:14">
      <c r="A31" s="259" t="s">
        <v>1531</v>
      </c>
      <c r="B31" s="260"/>
      <c r="C31" s="260"/>
      <c r="D31" s="137">
        <f t="shared" si="2"/>
        <v>0</v>
      </c>
      <c r="E31" s="137"/>
      <c r="F31" s="260"/>
      <c r="G31" s="137">
        <f>B24</f>
        <v>25022304.54999999</v>
      </c>
      <c r="H31" s="137">
        <f>C24</f>
        <v>26085018.280000001</v>
      </c>
      <c r="I31" s="673"/>
      <c r="J31" s="673"/>
      <c r="K31" s="673"/>
      <c r="L31" s="673"/>
      <c r="M31" s="673"/>
      <c r="N31" s="673"/>
    </row>
    <row r="32" spans="1:14">
      <c r="A32" s="259" t="s">
        <v>1532</v>
      </c>
      <c r="B32" s="260"/>
      <c r="C32" s="260"/>
      <c r="D32" s="137">
        <f t="shared" si="2"/>
        <v>0</v>
      </c>
      <c r="E32" s="137"/>
      <c r="F32" s="260"/>
      <c r="G32" s="137">
        <f>B25</f>
        <v>2986485.3999999873</v>
      </c>
      <c r="H32" s="137">
        <f>C25</f>
        <v>3564608.2899999963</v>
      </c>
      <c r="I32" s="673"/>
      <c r="J32" s="673"/>
      <c r="K32" s="673"/>
      <c r="L32" s="673"/>
      <c r="M32" s="673"/>
      <c r="N32" s="673"/>
    </row>
    <row r="33" spans="1:16">
      <c r="A33" s="257" t="s">
        <v>1533</v>
      </c>
      <c r="B33" s="261">
        <f>SUM(B20:B32)-B26</f>
        <v>38986432.899999969</v>
      </c>
      <c r="C33" s="261">
        <v>34673503.059999987</v>
      </c>
      <c r="D33" s="137">
        <f t="shared" si="2"/>
        <v>4312929.8399999812</v>
      </c>
      <c r="E33" s="137"/>
      <c r="F33" s="261">
        <v>43962090.299999997</v>
      </c>
      <c r="G33" s="753">
        <f>G32+G31+G30+G29</f>
        <v>28008789.949999977</v>
      </c>
      <c r="H33" s="753">
        <f>H32+H31+H30+H29</f>
        <v>30037951.089999996</v>
      </c>
      <c r="I33" s="136"/>
      <c r="J33" s="673"/>
      <c r="K33" s="673"/>
      <c r="L33" s="673"/>
      <c r="M33" s="673"/>
      <c r="N33" s="673"/>
    </row>
    <row r="34" spans="1:16">
      <c r="A34" s="259" t="s">
        <v>923</v>
      </c>
      <c r="B34" s="260"/>
      <c r="C34" s="260"/>
      <c r="D34" s="137">
        <f t="shared" si="2"/>
        <v>0</v>
      </c>
      <c r="E34" s="137"/>
      <c r="F34" s="260"/>
      <c r="H34" s="673"/>
      <c r="I34" s="673"/>
      <c r="J34" s="673"/>
      <c r="K34" s="673"/>
      <c r="L34" s="673"/>
      <c r="M34" s="673"/>
      <c r="N34" s="673"/>
    </row>
    <row r="35" spans="1:16">
      <c r="A35" s="257" t="s">
        <v>1534</v>
      </c>
      <c r="B35" s="261">
        <f>B33+B18</f>
        <v>72847084.919999957</v>
      </c>
      <c r="C35" s="261">
        <v>71722120.709999889</v>
      </c>
      <c r="D35" s="137">
        <f t="shared" si="2"/>
        <v>1124964.2100000679</v>
      </c>
      <c r="E35" s="137"/>
      <c r="F35" s="261">
        <v>88157478.129999906</v>
      </c>
      <c r="H35" s="673"/>
      <c r="I35" s="673"/>
      <c r="J35" s="673"/>
      <c r="K35" s="673"/>
      <c r="L35" s="673"/>
      <c r="M35" s="673"/>
      <c r="N35" s="673"/>
    </row>
    <row r="36" spans="1:16">
      <c r="A36" s="259" t="s">
        <v>923</v>
      </c>
      <c r="B36" s="260"/>
      <c r="C36" s="260"/>
      <c r="D36" s="137">
        <f t="shared" si="2"/>
        <v>0</v>
      </c>
      <c r="E36" s="137"/>
      <c r="F36" s="260"/>
      <c r="H36" s="673"/>
      <c r="I36" s="673"/>
      <c r="J36" s="673"/>
      <c r="K36" s="673"/>
      <c r="L36" s="673"/>
      <c r="M36" s="673"/>
      <c r="N36" s="673"/>
    </row>
    <row r="37" spans="1:16">
      <c r="A37" s="259" t="s">
        <v>1535</v>
      </c>
      <c r="B37" s="260">
        <f>-'bilans '!B340</f>
        <v>34874500</v>
      </c>
      <c r="C37" s="260">
        <v>34874500</v>
      </c>
      <c r="D37" s="137">
        <f t="shared" si="2"/>
        <v>0</v>
      </c>
      <c r="E37" s="137"/>
      <c r="F37" s="260">
        <v>34874500</v>
      </c>
      <c r="H37" s="673"/>
      <c r="I37" s="673"/>
      <c r="J37" s="673"/>
      <c r="K37" s="673"/>
      <c r="L37" s="673"/>
      <c r="M37" s="673"/>
      <c r="N37" s="673"/>
    </row>
    <row r="38" spans="1:16">
      <c r="A38" s="259" t="s">
        <v>1536</v>
      </c>
      <c r="B38" s="260"/>
      <c r="C38" s="260"/>
      <c r="D38" s="137">
        <f t="shared" si="2"/>
        <v>0</v>
      </c>
      <c r="E38" s="137"/>
      <c r="F38" s="260"/>
      <c r="H38" s="673"/>
      <c r="I38" s="673"/>
      <c r="J38" s="673"/>
      <c r="K38" s="673"/>
      <c r="L38" s="673"/>
      <c r="M38" s="673"/>
      <c r="N38" s="673"/>
    </row>
    <row r="39" spans="1:16" ht="20.399999999999999">
      <c r="A39" s="259" t="s">
        <v>1537</v>
      </c>
      <c r="B39" s="260"/>
      <c r="C39" s="260"/>
      <c r="D39" s="137">
        <f t="shared" si="2"/>
        <v>0</v>
      </c>
      <c r="E39" s="137"/>
      <c r="F39" s="260"/>
      <c r="I39" s="673"/>
      <c r="J39" s="673"/>
      <c r="K39" s="673"/>
      <c r="L39" s="673"/>
      <c r="M39" s="673"/>
      <c r="N39" s="673"/>
      <c r="O39" s="673"/>
    </row>
    <row r="40" spans="1:16">
      <c r="A40" s="259" t="s">
        <v>1538</v>
      </c>
      <c r="B40" s="260"/>
      <c r="C40" s="260"/>
      <c r="D40" s="137">
        <f t="shared" si="2"/>
        <v>0</v>
      </c>
      <c r="E40" s="137"/>
      <c r="F40" s="260"/>
      <c r="I40" s="673"/>
      <c r="J40" s="673"/>
      <c r="K40" s="673"/>
      <c r="L40" s="673"/>
      <c r="M40" s="673"/>
      <c r="N40" s="673"/>
      <c r="O40" s="673"/>
    </row>
    <row r="41" spans="1:16">
      <c r="A41" s="259" t="s">
        <v>1539</v>
      </c>
      <c r="B41" s="260"/>
      <c r="C41" s="260"/>
      <c r="D41" s="137">
        <f t="shared" si="2"/>
        <v>0</v>
      </c>
      <c r="E41" s="137"/>
      <c r="F41" s="260"/>
      <c r="I41" s="673"/>
      <c r="J41" s="673"/>
      <c r="K41" s="673"/>
      <c r="L41" s="673"/>
      <c r="M41" s="673"/>
      <c r="N41" s="673"/>
      <c r="O41" s="673"/>
    </row>
    <row r="42" spans="1:16">
      <c r="A42" s="259" t="s">
        <v>1540</v>
      </c>
      <c r="B42" s="260">
        <f>-'bilans '!B342</f>
        <v>0</v>
      </c>
      <c r="C42" s="260">
        <v>0</v>
      </c>
      <c r="D42" s="137">
        <f t="shared" si="2"/>
        <v>0</v>
      </c>
      <c r="E42" s="137"/>
      <c r="F42" s="260">
        <v>0</v>
      </c>
      <c r="H42" s="673"/>
      <c r="I42" s="673"/>
      <c r="J42" s="673"/>
      <c r="K42" s="673"/>
      <c r="L42" s="673"/>
      <c r="M42" s="673"/>
      <c r="N42" s="673"/>
      <c r="O42" s="673"/>
      <c r="P42" s="673"/>
    </row>
    <row r="43" spans="1:16">
      <c r="A43" s="259" t="s">
        <v>1541</v>
      </c>
      <c r="B43" s="260"/>
      <c r="C43" s="260"/>
      <c r="D43" s="137">
        <f t="shared" si="2"/>
        <v>0</v>
      </c>
      <c r="E43" s="137"/>
      <c r="F43" s="260"/>
      <c r="H43" s="673"/>
      <c r="I43" s="673"/>
      <c r="J43" s="673"/>
      <c r="K43" s="673"/>
      <c r="L43" s="673"/>
      <c r="M43" s="673"/>
      <c r="N43" s="673"/>
      <c r="O43" s="673"/>
      <c r="P43" s="673"/>
    </row>
    <row r="44" spans="1:16">
      <c r="A44" s="259" t="s">
        <v>1542</v>
      </c>
      <c r="B44" s="260"/>
      <c r="C44" s="260"/>
      <c r="D44" s="137">
        <f t="shared" si="2"/>
        <v>0</v>
      </c>
      <c r="E44" s="137"/>
      <c r="F44" s="260"/>
      <c r="H44" s="673"/>
      <c r="I44" s="673"/>
      <c r="J44" s="673"/>
      <c r="K44" s="673"/>
      <c r="L44" s="673"/>
      <c r="M44" s="673"/>
      <c r="N44" s="673"/>
      <c r="O44" s="673"/>
      <c r="P44" s="673"/>
    </row>
    <row r="45" spans="1:16">
      <c r="A45" s="259" t="s">
        <v>1543</v>
      </c>
      <c r="B45" s="260">
        <f>-'bilans '!B344</f>
        <v>-23735320.049999993</v>
      </c>
      <c r="C45" s="260">
        <v>-23974462.109999891</v>
      </c>
      <c r="D45" s="306">
        <f t="shared" si="2"/>
        <v>239142.05999989808</v>
      </c>
      <c r="E45" s="306"/>
      <c r="F45" s="260">
        <v>-20314839.659999993</v>
      </c>
      <c r="H45" s="673"/>
      <c r="I45" s="673"/>
      <c r="J45" s="673"/>
      <c r="K45" s="673"/>
      <c r="L45" s="673"/>
      <c r="M45" s="673"/>
      <c r="N45" s="673"/>
      <c r="O45" s="673"/>
      <c r="P45" s="673"/>
    </row>
    <row r="46" spans="1:16">
      <c r="A46" s="259" t="s">
        <v>1544</v>
      </c>
      <c r="B46" s="302">
        <f>-'bilans '!B351</f>
        <v>7919232.7899999972</v>
      </c>
      <c r="C46" s="262">
        <v>239142.0600009663</v>
      </c>
      <c r="D46" s="306">
        <f t="shared" ref="D46:D75" si="3">B46-C46</f>
        <v>7680090.7299990309</v>
      </c>
      <c r="E46" s="306"/>
      <c r="F46" s="262">
        <v>-3721881.2400000333</v>
      </c>
      <c r="H46" s="673"/>
      <c r="I46" s="673"/>
      <c r="J46" s="673"/>
      <c r="K46" s="673"/>
      <c r="L46" s="673"/>
      <c r="M46" s="673"/>
      <c r="N46" s="673"/>
      <c r="O46" s="673"/>
      <c r="P46" s="673"/>
    </row>
    <row r="47" spans="1:16">
      <c r="A47" s="257" t="s">
        <v>1545</v>
      </c>
      <c r="B47" s="261">
        <f>SUM(B37:B46)</f>
        <v>19058412.740000002</v>
      </c>
      <c r="C47" s="261">
        <v>11139179.950001076</v>
      </c>
      <c r="D47" s="137">
        <f t="shared" si="3"/>
        <v>7919232.7899989262</v>
      </c>
      <c r="E47" s="137"/>
      <c r="F47" s="261">
        <v>10837779.099999974</v>
      </c>
      <c r="H47" s="673"/>
      <c r="I47" s="673"/>
      <c r="J47" s="673"/>
      <c r="K47" s="673"/>
      <c r="L47" s="673"/>
      <c r="M47" s="673"/>
      <c r="N47" s="673"/>
      <c r="O47" s="673"/>
      <c r="P47" s="673"/>
    </row>
    <row r="48" spans="1:16">
      <c r="A48" s="259" t="s">
        <v>923</v>
      </c>
      <c r="B48" s="260"/>
      <c r="C48" s="260"/>
      <c r="D48" s="137">
        <f t="shared" si="3"/>
        <v>0</v>
      </c>
      <c r="E48" s="137"/>
      <c r="F48" s="260"/>
      <c r="H48" s="673"/>
      <c r="I48" s="673"/>
      <c r="J48" s="673"/>
      <c r="K48" s="673"/>
      <c r="L48" s="673"/>
      <c r="M48" s="673"/>
      <c r="N48" s="673"/>
      <c r="O48" s="673"/>
      <c r="P48" s="673"/>
    </row>
    <row r="49" spans="1:16">
      <c r="A49" s="259" t="s">
        <v>1546</v>
      </c>
      <c r="B49" s="260"/>
      <c r="C49" s="260"/>
      <c r="D49" s="137">
        <f t="shared" si="3"/>
        <v>0</v>
      </c>
      <c r="E49" s="137"/>
      <c r="F49" s="260"/>
      <c r="H49" s="673"/>
      <c r="I49" s="673"/>
      <c r="J49" s="673"/>
      <c r="K49" s="673"/>
      <c r="L49" s="673"/>
      <c r="M49" s="673"/>
      <c r="N49" s="673"/>
      <c r="O49" s="673"/>
      <c r="P49" s="673"/>
    </row>
    <row r="50" spans="1:16">
      <c r="A50" s="259" t="s">
        <v>923</v>
      </c>
      <c r="B50" s="260"/>
      <c r="C50" s="260"/>
      <c r="D50" s="137">
        <f t="shared" si="3"/>
        <v>0</v>
      </c>
      <c r="E50" s="137"/>
      <c r="F50" s="260"/>
      <c r="H50" s="673"/>
      <c r="I50" s="673"/>
      <c r="J50" s="673"/>
      <c r="K50" s="673"/>
      <c r="L50" s="673"/>
      <c r="M50" s="673"/>
      <c r="N50" s="673"/>
      <c r="O50" s="673"/>
      <c r="P50" s="673"/>
    </row>
    <row r="51" spans="1:16">
      <c r="A51" s="257" t="s">
        <v>1547</v>
      </c>
      <c r="B51" s="261">
        <f>B47</f>
        <v>19058412.740000002</v>
      </c>
      <c r="C51" s="261">
        <v>11139179.950001076</v>
      </c>
      <c r="D51" s="137">
        <f t="shared" si="3"/>
        <v>7919232.7899989262</v>
      </c>
      <c r="E51" s="137"/>
      <c r="F51" s="261">
        <v>10837779.099999974</v>
      </c>
      <c r="H51" s="673"/>
      <c r="I51" s="673"/>
      <c r="J51" s="673"/>
      <c r="K51" s="673"/>
      <c r="L51" s="673"/>
      <c r="M51" s="673"/>
      <c r="N51" s="673"/>
      <c r="O51" s="673"/>
      <c r="P51" s="673"/>
    </row>
    <row r="52" spans="1:16">
      <c r="A52" s="259" t="s">
        <v>923</v>
      </c>
      <c r="B52" s="260"/>
      <c r="C52" s="260"/>
      <c r="D52" s="137">
        <f t="shared" si="3"/>
        <v>0</v>
      </c>
      <c r="E52" s="137"/>
      <c r="F52" s="260"/>
      <c r="H52" s="673"/>
      <c r="I52" s="673"/>
      <c r="J52" s="673"/>
      <c r="K52" s="673"/>
      <c r="L52" s="673"/>
      <c r="M52" s="673"/>
      <c r="N52" s="673"/>
      <c r="O52" s="673"/>
      <c r="P52" s="673"/>
    </row>
    <row r="53" spans="1:16">
      <c r="A53" s="430" t="s">
        <v>2483</v>
      </c>
      <c r="B53" s="262">
        <f>-'bilans '!B355</f>
        <v>6728383.5299999993</v>
      </c>
      <c r="C53" s="262">
        <v>6976735.3299999889</v>
      </c>
      <c r="D53" s="141">
        <f t="shared" si="3"/>
        <v>-248351.79999998957</v>
      </c>
      <c r="E53" s="141"/>
      <c r="F53" s="262">
        <v>7319163.2799999993</v>
      </c>
      <c r="G53" s="137"/>
      <c r="H53" s="673"/>
      <c r="I53" s="673"/>
      <c r="J53" s="673"/>
      <c r="K53" s="673"/>
      <c r="L53" s="673"/>
      <c r="M53" s="673"/>
      <c r="N53" s="673"/>
      <c r="O53" s="673"/>
      <c r="P53" s="673"/>
    </row>
    <row r="54" spans="1:16">
      <c r="A54" s="428" t="s">
        <v>2484</v>
      </c>
      <c r="B54" s="302">
        <v>0</v>
      </c>
      <c r="C54" s="302">
        <v>0</v>
      </c>
      <c r="D54" s="306">
        <f t="shared" si="3"/>
        <v>0</v>
      </c>
      <c r="E54" s="306"/>
      <c r="F54" s="302">
        <v>0</v>
      </c>
      <c r="H54" s="673"/>
      <c r="I54" s="673"/>
      <c r="J54" s="673"/>
      <c r="K54" s="673"/>
      <c r="L54" s="673"/>
      <c r="M54" s="673"/>
      <c r="N54" s="673"/>
      <c r="O54" s="673"/>
      <c r="P54" s="673"/>
    </row>
    <row r="55" spans="1:16">
      <c r="A55" s="428" t="s">
        <v>2485</v>
      </c>
      <c r="B55" s="302">
        <f>B53-B54</f>
        <v>6728383.5299999993</v>
      </c>
      <c r="C55" s="302">
        <v>6976735.3299999889</v>
      </c>
      <c r="D55" s="306">
        <f t="shared" si="3"/>
        <v>-248351.79999998957</v>
      </c>
      <c r="E55" s="306"/>
      <c r="F55" s="302">
        <v>7319163.2799999993</v>
      </c>
      <c r="G55" s="137"/>
      <c r="H55" s="673"/>
      <c r="I55" s="673"/>
      <c r="J55" s="673"/>
      <c r="K55" s="673"/>
      <c r="L55" s="673"/>
      <c r="M55" s="673"/>
      <c r="N55" s="673"/>
      <c r="O55" s="673"/>
      <c r="P55" s="673"/>
    </row>
    <row r="56" spans="1:16">
      <c r="A56" s="256" t="s">
        <v>1950</v>
      </c>
      <c r="B56" s="262">
        <f>-'bilans '!B377</f>
        <v>530641.56000000006</v>
      </c>
      <c r="C56" s="262">
        <v>825737.12</v>
      </c>
      <c r="D56" s="280">
        <f t="shared" si="3"/>
        <v>-295095.55999999994</v>
      </c>
      <c r="E56" s="280"/>
      <c r="F56" s="262">
        <v>908872.66</v>
      </c>
      <c r="G56" s="137"/>
      <c r="H56" s="673"/>
      <c r="I56" s="673"/>
      <c r="J56" s="673"/>
      <c r="K56" s="673"/>
      <c r="L56" s="673"/>
      <c r="M56" s="673"/>
      <c r="N56" s="673"/>
      <c r="O56" s="673"/>
      <c r="P56" s="673"/>
    </row>
    <row r="57" spans="1:16">
      <c r="A57" s="256" t="s">
        <v>1951</v>
      </c>
      <c r="B57" s="260"/>
      <c r="C57" s="260"/>
      <c r="D57" s="137">
        <f t="shared" si="3"/>
        <v>0</v>
      </c>
      <c r="E57" s="137"/>
      <c r="F57" s="260"/>
      <c r="H57" s="673"/>
      <c r="I57" s="673"/>
      <c r="J57" s="673"/>
      <c r="K57" s="673"/>
      <c r="L57" s="673"/>
      <c r="M57" s="673"/>
      <c r="N57" s="673"/>
      <c r="O57" s="673"/>
      <c r="P57" s="673"/>
    </row>
    <row r="58" spans="1:16">
      <c r="A58" s="259" t="s">
        <v>1548</v>
      </c>
      <c r="B58" s="260">
        <f>-'bilans '!B369</f>
        <v>14821394.29999999</v>
      </c>
      <c r="C58" s="260">
        <v>15437371.29999999</v>
      </c>
      <c r="D58" s="280">
        <f t="shared" si="3"/>
        <v>-615977</v>
      </c>
      <c r="E58" s="280"/>
      <c r="F58" s="260">
        <v>10587242</v>
      </c>
      <c r="H58" s="673"/>
      <c r="I58" s="673"/>
      <c r="J58" s="673"/>
      <c r="K58" s="673"/>
      <c r="L58" s="673"/>
      <c r="M58" s="673"/>
      <c r="N58" s="673"/>
      <c r="O58" s="673"/>
      <c r="P58" s="673"/>
    </row>
    <row r="59" spans="1:16">
      <c r="A59" s="259" t="s">
        <v>1549</v>
      </c>
      <c r="B59" s="260"/>
      <c r="C59" s="260"/>
      <c r="D59" s="137">
        <f t="shared" si="3"/>
        <v>0</v>
      </c>
      <c r="E59" s="137"/>
      <c r="F59" s="260"/>
      <c r="H59" s="673"/>
      <c r="I59" s="673"/>
      <c r="J59" s="673"/>
      <c r="K59" s="673"/>
      <c r="L59" s="673"/>
      <c r="M59" s="673"/>
      <c r="N59" s="673"/>
      <c r="O59" s="673"/>
      <c r="P59" s="673"/>
    </row>
    <row r="60" spans="1:16">
      <c r="A60" s="259" t="s">
        <v>1550</v>
      </c>
      <c r="B60" s="260"/>
      <c r="C60" s="260"/>
      <c r="D60" s="137">
        <f t="shared" si="3"/>
        <v>0</v>
      </c>
      <c r="E60" s="137"/>
      <c r="F60" s="260"/>
      <c r="G60" s="135" t="s">
        <v>3129</v>
      </c>
      <c r="H60" s="673"/>
      <c r="I60" s="673"/>
      <c r="J60" s="673"/>
      <c r="K60" s="673"/>
      <c r="L60" s="673"/>
      <c r="M60" s="673"/>
      <c r="N60" s="673"/>
      <c r="O60" s="673"/>
      <c r="P60" s="673"/>
    </row>
    <row r="61" spans="1:16">
      <c r="A61" s="256" t="s">
        <v>1952</v>
      </c>
      <c r="B61" s="260"/>
      <c r="C61" s="260"/>
      <c r="D61" s="137">
        <f t="shared" si="3"/>
        <v>0</v>
      </c>
      <c r="E61" s="137"/>
      <c r="F61" s="260"/>
      <c r="H61" s="673"/>
      <c r="I61" s="673"/>
      <c r="J61" s="673"/>
      <c r="K61" s="673"/>
      <c r="L61" s="673"/>
      <c r="M61" s="673"/>
      <c r="N61" s="673"/>
      <c r="O61" s="673"/>
      <c r="P61" s="673"/>
    </row>
    <row r="62" spans="1:16">
      <c r="A62" s="259" t="s">
        <v>1551</v>
      </c>
      <c r="B62" s="260"/>
      <c r="C62" s="260"/>
      <c r="D62" s="137">
        <f t="shared" si="3"/>
        <v>0</v>
      </c>
      <c r="E62" s="137"/>
      <c r="F62" s="260"/>
      <c r="H62" s="673"/>
      <c r="I62" s="673"/>
      <c r="J62" s="673"/>
      <c r="K62" s="673"/>
      <c r="L62" s="673"/>
      <c r="M62" s="673"/>
      <c r="N62" s="673"/>
      <c r="O62" s="673"/>
      <c r="P62" s="673"/>
    </row>
    <row r="63" spans="1:16">
      <c r="A63" s="257" t="s">
        <v>1552</v>
      </c>
      <c r="B63" s="261">
        <f>SUM(B53:B62)-B54-B55</f>
        <v>22080419.389999986</v>
      </c>
      <c r="C63" s="261">
        <v>23239843.749999978</v>
      </c>
      <c r="D63" s="137">
        <f t="shared" si="3"/>
        <v>-1159424.359999992</v>
      </c>
      <c r="E63" s="137"/>
      <c r="F63" s="261">
        <v>18815277.939999998</v>
      </c>
      <c r="H63" s="673"/>
      <c r="I63" s="673"/>
      <c r="J63" s="673"/>
      <c r="K63" s="673"/>
      <c r="L63" s="673"/>
      <c r="M63" s="673"/>
      <c r="N63" s="673"/>
      <c r="O63" s="673"/>
      <c r="P63" s="673"/>
    </row>
    <row r="64" spans="1:16">
      <c r="A64" s="259" t="s">
        <v>923</v>
      </c>
      <c r="B64" s="260"/>
      <c r="C64" s="260"/>
      <c r="D64" s="137">
        <f t="shared" si="3"/>
        <v>0</v>
      </c>
      <c r="E64" s="137"/>
      <c r="F64" s="260"/>
      <c r="H64" s="673"/>
      <c r="I64" s="673"/>
      <c r="J64" s="673"/>
      <c r="K64" s="673"/>
      <c r="L64" s="673"/>
      <c r="M64" s="673"/>
      <c r="N64" s="673"/>
      <c r="O64" s="673"/>
      <c r="P64" s="673"/>
    </row>
    <row r="65" spans="1:16">
      <c r="A65" s="259" t="s">
        <v>1553</v>
      </c>
      <c r="B65" s="260">
        <f>-'bilans '!B383</f>
        <v>12409750.059999898</v>
      </c>
      <c r="C65" s="260">
        <v>8582281.2699998897</v>
      </c>
      <c r="D65" s="137">
        <f t="shared" si="3"/>
        <v>3827468.7900000084</v>
      </c>
      <c r="E65" s="137"/>
      <c r="F65" s="260">
        <v>13740764.4899999</v>
      </c>
      <c r="G65" s="141"/>
      <c r="H65" s="673"/>
      <c r="I65" s="136">
        <f>C65+C71</f>
        <v>9841693.9099998791</v>
      </c>
      <c r="J65" s="673"/>
      <c r="K65" s="673"/>
      <c r="L65" s="673"/>
      <c r="M65" s="673"/>
      <c r="N65" s="673"/>
      <c r="O65" s="673"/>
      <c r="P65" s="673"/>
    </row>
    <row r="66" spans="1:16">
      <c r="A66" s="256" t="s">
        <v>1953</v>
      </c>
      <c r="B66" s="260"/>
      <c r="C66" s="260"/>
      <c r="D66" s="137">
        <f t="shared" si="3"/>
        <v>0</v>
      </c>
      <c r="E66" s="137"/>
      <c r="F66" s="260"/>
      <c r="G66" s="752" t="s">
        <v>2511</v>
      </c>
      <c r="H66" s="673"/>
      <c r="I66" s="673"/>
      <c r="J66" s="673"/>
      <c r="K66" s="673"/>
      <c r="L66" s="673"/>
      <c r="M66" s="673"/>
      <c r="N66" s="673"/>
      <c r="O66" s="673"/>
      <c r="P66" s="673"/>
    </row>
    <row r="67" spans="1:16">
      <c r="A67" s="430" t="s">
        <v>2488</v>
      </c>
      <c r="B67" s="262">
        <f>-'bilans '!B456</f>
        <v>465525.50000000006</v>
      </c>
      <c r="C67" s="262">
        <v>455955.41000000003</v>
      </c>
      <c r="D67" s="141">
        <f t="shared" si="3"/>
        <v>9570.0900000000256</v>
      </c>
      <c r="E67" s="141"/>
      <c r="F67" s="262">
        <v>6962430.2299999986</v>
      </c>
      <c r="G67" s="437">
        <f>B65</f>
        <v>12409750.059999898</v>
      </c>
      <c r="H67" s="673"/>
      <c r="I67" s="673"/>
      <c r="J67" s="673"/>
      <c r="K67" s="673"/>
      <c r="L67" s="673"/>
      <c r="M67" s="673"/>
      <c r="N67" s="673"/>
      <c r="O67" s="673"/>
      <c r="P67" s="673"/>
    </row>
    <row r="68" spans="1:16">
      <c r="A68" s="429" t="s">
        <v>2487</v>
      </c>
      <c r="B68" s="302">
        <f>-'bilans '!B459-'bilans '!B460</f>
        <v>0</v>
      </c>
      <c r="C68" s="302">
        <v>0</v>
      </c>
      <c r="D68" s="306">
        <f t="shared" si="3"/>
        <v>0</v>
      </c>
      <c r="E68" s="306"/>
      <c r="F68" s="302">
        <v>0</v>
      </c>
      <c r="G68" s="437">
        <f>B68</f>
        <v>0</v>
      </c>
      <c r="H68" s="136">
        <f>B65+B67+B71</f>
        <v>14229270.549999896</v>
      </c>
      <c r="I68" s="673"/>
      <c r="J68" s="136">
        <f>B68+C26</f>
        <v>3363244.02</v>
      </c>
      <c r="K68" s="673"/>
      <c r="L68" s="673"/>
      <c r="M68" s="673"/>
      <c r="N68" s="673"/>
      <c r="O68" s="673"/>
      <c r="P68" s="673"/>
    </row>
    <row r="69" spans="1:16">
      <c r="A69" s="429" t="s">
        <v>2489</v>
      </c>
      <c r="B69" s="302">
        <f>-'bilans '!B461-'bilans '!B462</f>
        <v>0</v>
      </c>
      <c r="C69" s="302">
        <v>0</v>
      </c>
      <c r="D69" s="306">
        <f t="shared" si="3"/>
        <v>0</v>
      </c>
      <c r="E69" s="306"/>
      <c r="F69" s="302">
        <v>6514827.9699999997</v>
      </c>
      <c r="G69" s="437">
        <f>B69</f>
        <v>0</v>
      </c>
      <c r="I69" s="673"/>
      <c r="J69" s="673"/>
      <c r="K69" s="673"/>
      <c r="L69" s="673"/>
      <c r="M69" s="673"/>
      <c r="N69" s="673"/>
      <c r="O69" s="673"/>
      <c r="P69" s="673"/>
    </row>
    <row r="70" spans="1:16">
      <c r="A70" s="429" t="s">
        <v>2485</v>
      </c>
      <c r="B70" s="302">
        <f>B67-B68-B69</f>
        <v>465525.50000000006</v>
      </c>
      <c r="C70" s="302">
        <v>455955.41000000003</v>
      </c>
      <c r="D70" s="306">
        <f t="shared" si="3"/>
        <v>9570.0900000000256</v>
      </c>
      <c r="E70" s="306"/>
      <c r="F70" s="302">
        <v>447602.25999999885</v>
      </c>
      <c r="G70" s="437">
        <f>B70</f>
        <v>465525.50000000006</v>
      </c>
      <c r="H70" s="673"/>
      <c r="I70" s="673"/>
      <c r="J70" s="673"/>
      <c r="K70" s="673"/>
      <c r="L70" s="673"/>
      <c r="M70" s="673"/>
      <c r="N70" s="673"/>
      <c r="O70" s="673"/>
      <c r="P70" s="673"/>
    </row>
    <row r="71" spans="1:16">
      <c r="A71" s="259" t="s">
        <v>1554</v>
      </c>
      <c r="B71" s="260">
        <f>-'bilans '!B481</f>
        <v>1353994.9899999988</v>
      </c>
      <c r="C71" s="260">
        <v>1259412.6399999901</v>
      </c>
      <c r="D71" s="280">
        <f t="shared" si="3"/>
        <v>94582.350000008708</v>
      </c>
      <c r="E71" s="280"/>
      <c r="F71" s="260">
        <v>1969940.379999999</v>
      </c>
      <c r="G71" s="437">
        <f>B55</f>
        <v>6728383.5299999993</v>
      </c>
      <c r="H71" s="136"/>
      <c r="I71" s="673"/>
      <c r="J71" s="673"/>
      <c r="K71" s="673"/>
      <c r="L71" s="673"/>
      <c r="M71" s="673"/>
      <c r="N71" s="673"/>
      <c r="O71" s="673"/>
      <c r="P71" s="673"/>
    </row>
    <row r="72" spans="1:16">
      <c r="A72" s="259" t="s">
        <v>1555</v>
      </c>
      <c r="B72" s="260">
        <f>-'bilans '!B513</f>
        <v>15198929.059999961</v>
      </c>
      <c r="C72" s="260">
        <v>24718722.919999961</v>
      </c>
      <c r="D72" s="280">
        <f t="shared" si="3"/>
        <v>-9519793.8599999994</v>
      </c>
      <c r="E72" s="280"/>
      <c r="F72" s="260">
        <v>23654219.449999988</v>
      </c>
      <c r="G72" s="137">
        <f>'FC Spr.z syt.finans.'!B56</f>
        <v>530641.56000000006</v>
      </c>
      <c r="H72" s="673"/>
      <c r="I72" s="673"/>
      <c r="J72" s="673"/>
      <c r="K72" s="673"/>
      <c r="L72" s="673"/>
      <c r="M72" s="673"/>
      <c r="N72" s="673"/>
      <c r="O72" s="673"/>
      <c r="P72" s="673"/>
    </row>
    <row r="73" spans="1:16">
      <c r="A73" s="259" t="s">
        <v>1556</v>
      </c>
      <c r="B73" s="260">
        <f>-'bilans '!B579</f>
        <v>31513</v>
      </c>
      <c r="C73" s="260">
        <v>0</v>
      </c>
      <c r="D73" s="137">
        <f t="shared" si="3"/>
        <v>31513</v>
      </c>
      <c r="E73" s="137"/>
      <c r="F73" s="260">
        <v>863286</v>
      </c>
      <c r="G73" s="137">
        <f>B71</f>
        <v>1353994.9899999988</v>
      </c>
      <c r="H73" s="673"/>
      <c r="I73" s="673"/>
      <c r="J73" s="673"/>
      <c r="K73" s="673"/>
      <c r="L73" s="673"/>
      <c r="M73" s="673"/>
      <c r="N73" s="673"/>
      <c r="O73" s="673"/>
      <c r="P73" s="673"/>
    </row>
    <row r="74" spans="1:16">
      <c r="A74" s="259" t="s">
        <v>1557</v>
      </c>
      <c r="B74" s="260">
        <f>-'bilans '!B583</f>
        <v>0</v>
      </c>
      <c r="C74" s="260">
        <v>106435.2</v>
      </c>
      <c r="D74" s="280">
        <f t="shared" si="3"/>
        <v>-106435.2</v>
      </c>
      <c r="E74" s="280"/>
      <c r="F74" s="260">
        <v>1870109.97</v>
      </c>
      <c r="H74" s="673"/>
      <c r="I74" s="673"/>
      <c r="J74" s="673"/>
      <c r="K74" s="673"/>
      <c r="L74" s="673"/>
      <c r="M74" s="673"/>
      <c r="N74" s="673"/>
      <c r="O74" s="673"/>
      <c r="P74" s="673"/>
    </row>
    <row r="75" spans="1:16">
      <c r="A75" s="259" t="s">
        <v>1558</v>
      </c>
      <c r="B75" s="260">
        <f>-'bilans '!B588</f>
        <v>2248540.1799999988</v>
      </c>
      <c r="C75" s="260">
        <v>2220289.5699999998</v>
      </c>
      <c r="D75" s="280">
        <f t="shared" si="3"/>
        <v>28250.609999998938</v>
      </c>
      <c r="E75" s="280"/>
      <c r="F75" s="260">
        <v>9443670.5699999891</v>
      </c>
      <c r="G75" s="753">
        <f>SUM(G67:G73)</f>
        <v>21488295.639999896</v>
      </c>
      <c r="H75" s="136"/>
      <c r="I75" s="673"/>
      <c r="J75" s="673"/>
      <c r="K75" s="673"/>
      <c r="L75" s="673"/>
      <c r="M75" s="673"/>
      <c r="N75" s="673"/>
      <c r="O75" s="673"/>
      <c r="P75" s="673"/>
    </row>
    <row r="76" spans="1:16" ht="20.399999999999999">
      <c r="A76" s="259" t="s">
        <v>1559</v>
      </c>
      <c r="B76" s="260"/>
      <c r="C76" s="260"/>
      <c r="D76" s="137">
        <f t="shared" ref="D76:D83" si="4">B76-C76</f>
        <v>0</v>
      </c>
      <c r="E76" s="137"/>
      <c r="F76" s="260"/>
      <c r="H76" s="136"/>
      <c r="I76" s="673"/>
      <c r="J76" s="673"/>
      <c r="K76" s="673"/>
      <c r="L76" s="673"/>
      <c r="M76" s="673"/>
      <c r="N76" s="673"/>
      <c r="O76" s="673"/>
      <c r="P76" s="673"/>
    </row>
    <row r="77" spans="1:16">
      <c r="A77" s="259" t="s">
        <v>1560</v>
      </c>
      <c r="B77" s="260"/>
      <c r="C77" s="260"/>
      <c r="D77" s="137">
        <f t="shared" si="4"/>
        <v>0</v>
      </c>
      <c r="E77" s="137"/>
      <c r="F77" s="260"/>
    </row>
    <row r="78" spans="1:16">
      <c r="A78" s="259" t="s">
        <v>1561</v>
      </c>
      <c r="B78" s="260"/>
      <c r="C78" s="260"/>
      <c r="D78" s="137">
        <f t="shared" si="4"/>
        <v>0</v>
      </c>
      <c r="E78" s="137"/>
      <c r="F78" s="260"/>
    </row>
    <row r="79" spans="1:16">
      <c r="A79" s="257" t="s">
        <v>1562</v>
      </c>
      <c r="B79" s="261">
        <f>SUM(B65:B78)-B68-B70-B69</f>
        <v>31708252.789999858</v>
      </c>
      <c r="C79" s="261">
        <v>37343097.009999849</v>
      </c>
      <c r="D79" s="137">
        <f t="shared" si="4"/>
        <v>-5634844.2199999914</v>
      </c>
      <c r="E79" s="137"/>
      <c r="F79" s="261">
        <v>58504421.089999877</v>
      </c>
    </row>
    <row r="80" spans="1:16">
      <c r="A80" s="259" t="s">
        <v>923</v>
      </c>
      <c r="B80" s="260"/>
      <c r="C80" s="260"/>
      <c r="D80" s="137">
        <f t="shared" si="4"/>
        <v>0</v>
      </c>
      <c r="E80" s="137"/>
      <c r="F80" s="260"/>
    </row>
    <row r="81" spans="1:6">
      <c r="A81" s="257" t="s">
        <v>1563</v>
      </c>
      <c r="B81" s="261">
        <f>B79+B63</f>
        <v>53788672.179999843</v>
      </c>
      <c r="C81" s="261">
        <v>60582940.759999827</v>
      </c>
      <c r="D81" s="137">
        <f t="shared" si="4"/>
        <v>-6794268.5799999833</v>
      </c>
      <c r="E81" s="137"/>
      <c r="F81" s="261">
        <v>77319699.029999882</v>
      </c>
    </row>
    <row r="82" spans="1:6">
      <c r="A82" s="259" t="s">
        <v>923</v>
      </c>
      <c r="B82" s="260"/>
      <c r="C82" s="260"/>
      <c r="D82" s="137">
        <f t="shared" si="4"/>
        <v>0</v>
      </c>
      <c r="E82" s="137"/>
      <c r="F82" s="260"/>
    </row>
    <row r="83" spans="1:6">
      <c r="A83" s="257" t="s">
        <v>1564</v>
      </c>
      <c r="B83" s="261">
        <f>B81+B51</f>
        <v>72847084.919999838</v>
      </c>
      <c r="C83" s="261">
        <v>71722120.710000902</v>
      </c>
      <c r="D83" s="137">
        <f t="shared" si="4"/>
        <v>1124964.2099989355</v>
      </c>
      <c r="E83" s="137"/>
      <c r="F83" s="261">
        <v>88157478.129999861</v>
      </c>
    </row>
    <row r="84" spans="1:6">
      <c r="B84" s="263">
        <f>B83-B35</f>
        <v>-1.1920928955078125E-7</v>
      </c>
      <c r="C84" s="263">
        <v>1.0132789611816406E-6</v>
      </c>
      <c r="F84" s="263">
        <v>0</v>
      </c>
    </row>
    <row r="85" spans="1:6">
      <c r="B85" s="139">
        <f>B83-'SF Spr.z syt.finans.'!C48</f>
        <v>0</v>
      </c>
      <c r="C85" s="139">
        <v>0</v>
      </c>
      <c r="F85" s="139">
        <v>0</v>
      </c>
    </row>
    <row r="88" spans="1:6">
      <c r="B88" s="135"/>
      <c r="C88" s="135"/>
      <c r="F88" s="135"/>
    </row>
  </sheetData>
  <autoFilter ref="B1:D88"/>
  <pageMargins left="0.51181102362204722" right="0" top="0.74803149606299213" bottom="0.74803149606299213" header="0.31496062992125984" footer="0.31496062992125984"/>
  <pageSetup paperSize="9" scale="99" fitToHeight="0" orientation="portrait" r:id="rId1"/>
  <rowBreaks count="1" manualBreakCount="1">
    <brk id="36" max="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152"/>
  <sheetViews>
    <sheetView zoomScale="120" zoomScaleNormal="120" workbookViewId="0">
      <pane xSplit="2" ySplit="4" topLeftCell="C125" activePane="bottomRight" state="frozen"/>
      <selection activeCell="D187" sqref="D187"/>
      <selection pane="topRight" activeCell="D187" sqref="D187"/>
      <selection pane="bottomLeft" activeCell="D187" sqref="D187"/>
      <selection pane="bottomRight" activeCell="C60" sqref="C60"/>
    </sheetView>
  </sheetViews>
  <sheetFormatPr defaultColWidth="8.88671875" defaultRowHeight="10.199999999999999"/>
  <cols>
    <col min="1" max="1" width="66.88671875" style="228" customWidth="1"/>
    <col min="2" max="3" width="17.6640625" style="228" customWidth="1"/>
    <col min="4" max="4" width="9.5546875" style="228" customWidth="1"/>
    <col min="5" max="5" width="9.21875" style="228" bestFit="1" customWidth="1"/>
    <col min="6" max="16384" width="8.88671875" style="228"/>
  </cols>
  <sheetData>
    <row r="2" spans="1:4" ht="15.6">
      <c r="A2" s="153" t="s">
        <v>1998</v>
      </c>
      <c r="B2" s="427">
        <f>'RZiS, koszty rodz.'!A1</f>
        <v>45930</v>
      </c>
      <c r="C2" s="427">
        <v>45657</v>
      </c>
    </row>
    <row r="3" spans="1:4">
      <c r="B3" s="228" t="s">
        <v>923</v>
      </c>
      <c r="C3" s="228" t="s">
        <v>923</v>
      </c>
    </row>
    <row r="4" spans="1:4">
      <c r="A4" s="265" t="s">
        <v>1627</v>
      </c>
      <c r="B4" s="266">
        <f>Przepływy!B5</f>
        <v>9827693.799999997</v>
      </c>
      <c r="C4" s="266">
        <v>5209476.450000966</v>
      </c>
    </row>
    <row r="5" spans="1:4">
      <c r="A5" s="267" t="s">
        <v>1628</v>
      </c>
      <c r="B5" s="268"/>
      <c r="C5" s="268"/>
    </row>
    <row r="6" spans="1:4">
      <c r="A6" s="228" t="s">
        <v>923</v>
      </c>
      <c r="B6" s="52"/>
      <c r="C6" s="52"/>
    </row>
    <row r="7" spans="1:4">
      <c r="A7" s="237" t="s">
        <v>1513</v>
      </c>
      <c r="B7" s="52"/>
      <c r="C7" s="52"/>
    </row>
    <row r="8" spans="1:4">
      <c r="A8" s="265" t="s">
        <v>1629</v>
      </c>
      <c r="B8" s="266"/>
      <c r="C8" s="266"/>
      <c r="D8" s="269" t="s">
        <v>1783</v>
      </c>
    </row>
    <row r="9" spans="1:4">
      <c r="A9" s="265" t="s">
        <v>1630</v>
      </c>
      <c r="B9" s="266">
        <f>Przepływy!B8</f>
        <v>2197321.12</v>
      </c>
      <c r="C9" s="266">
        <v>3483606.1899999995</v>
      </c>
      <c r="D9" s="52">
        <f>B9-Przepływy!B8</f>
        <v>0</v>
      </c>
    </row>
    <row r="10" spans="1:4">
      <c r="A10" s="265" t="s">
        <v>1631</v>
      </c>
      <c r="B10" s="266">
        <f>SUM(B11:B33)</f>
        <v>100906.8999999989</v>
      </c>
      <c r="C10" s="266">
        <v>540793.21999999904</v>
      </c>
      <c r="D10" s="52">
        <f>B10-Przepływy!B9</f>
        <v>0</v>
      </c>
    </row>
    <row r="11" spans="1:4">
      <c r="A11" s="267" t="s">
        <v>1632</v>
      </c>
      <c r="B11" s="268"/>
      <c r="C11" s="268"/>
    </row>
    <row r="12" spans="1:4">
      <c r="A12" s="267" t="s">
        <v>1633</v>
      </c>
      <c r="B12" s="268"/>
      <c r="C12" s="268"/>
    </row>
    <row r="13" spans="1:4">
      <c r="A13" s="267" t="s">
        <v>1634</v>
      </c>
      <c r="B13" s="268"/>
      <c r="C13" s="268"/>
    </row>
    <row r="14" spans="1:4">
      <c r="A14" s="267" t="s">
        <v>1635</v>
      </c>
      <c r="B14" s="268"/>
      <c r="C14" s="268"/>
    </row>
    <row r="15" spans="1:4">
      <c r="A15" s="267" t="s">
        <v>1636</v>
      </c>
      <c r="B15" s="268"/>
      <c r="C15" s="268"/>
    </row>
    <row r="16" spans="1:4">
      <c r="A16" s="267" t="s">
        <v>1637</v>
      </c>
      <c r="B16" s="268"/>
      <c r="C16" s="268"/>
    </row>
    <row r="17" spans="1:3">
      <c r="A17" s="267" t="s">
        <v>1638</v>
      </c>
      <c r="B17" s="268">
        <f>Przepływy!B16</f>
        <v>0</v>
      </c>
      <c r="C17" s="268">
        <v>0</v>
      </c>
    </row>
    <row r="18" spans="1:3">
      <c r="A18" s="267" t="s">
        <v>1639</v>
      </c>
      <c r="B18" s="268">
        <f>Przepływy!B18</f>
        <v>0</v>
      </c>
      <c r="C18" s="268">
        <v>8828.5</v>
      </c>
    </row>
    <row r="19" spans="1:3">
      <c r="A19" s="267" t="s">
        <v>1640</v>
      </c>
      <c r="B19" s="268">
        <f>Przepływy!B20</f>
        <v>-13323.119999999981</v>
      </c>
      <c r="C19" s="268">
        <v>-67879.509999999907</v>
      </c>
    </row>
    <row r="20" spans="1:3">
      <c r="A20" s="267" t="s">
        <v>1986</v>
      </c>
      <c r="B20" s="268">
        <f>Przepływy!B23</f>
        <v>17455.79</v>
      </c>
      <c r="C20" s="268">
        <v>293399.12999999989</v>
      </c>
    </row>
    <row r="21" spans="1:3">
      <c r="A21" s="267" t="s">
        <v>1987</v>
      </c>
      <c r="B21" s="268">
        <f>Przepływy!B26</f>
        <v>0</v>
      </c>
      <c r="C21" s="268">
        <v>0</v>
      </c>
    </row>
    <row r="22" spans="1:3">
      <c r="A22" s="267" t="s">
        <v>1988</v>
      </c>
      <c r="B22" s="268">
        <f>Przepływy!B28</f>
        <v>237426.53999999887</v>
      </c>
      <c r="C22" s="268">
        <v>324113.53999999899</v>
      </c>
    </row>
    <row r="23" spans="1:3">
      <c r="A23" s="267" t="s">
        <v>1643</v>
      </c>
      <c r="B23" s="268"/>
      <c r="C23" s="268"/>
    </row>
    <row r="24" spans="1:3">
      <c r="A24" s="267" t="s">
        <v>1644</v>
      </c>
      <c r="B24" s="268"/>
      <c r="C24" s="268"/>
    </row>
    <row r="25" spans="1:3">
      <c r="A25" s="267" t="s">
        <v>1645</v>
      </c>
      <c r="B25" s="268"/>
      <c r="C25" s="268"/>
    </row>
    <row r="26" spans="1:3">
      <c r="A26" s="267" t="s">
        <v>1646</v>
      </c>
      <c r="B26" s="268"/>
      <c r="C26" s="268"/>
    </row>
    <row r="27" spans="1:3">
      <c r="A27" s="267" t="s">
        <v>1647</v>
      </c>
      <c r="B27" s="268">
        <f>Przepływy!B36</f>
        <v>-23386.09</v>
      </c>
      <c r="C27" s="268">
        <v>-1903.1899999999989</v>
      </c>
    </row>
    <row r="28" spans="1:3">
      <c r="A28" s="267" t="s">
        <v>1989</v>
      </c>
      <c r="B28" s="268">
        <f>Przepływy!B39</f>
        <v>-117266.21999999999</v>
      </c>
      <c r="C28" s="268">
        <v>-15765.25</v>
      </c>
    </row>
    <row r="29" spans="1:3">
      <c r="A29" s="267" t="s">
        <v>1650</v>
      </c>
      <c r="B29" s="268"/>
      <c r="C29" s="268"/>
    </row>
    <row r="30" spans="1:3">
      <c r="A30" s="267" t="s">
        <v>1651</v>
      </c>
      <c r="B30" s="268"/>
      <c r="C30" s="268"/>
    </row>
    <row r="31" spans="1:3">
      <c r="A31" s="267" t="s">
        <v>1652</v>
      </c>
      <c r="B31" s="268"/>
      <c r="C31" s="268"/>
    </row>
    <row r="32" spans="1:3">
      <c r="A32" s="267" t="s">
        <v>1649</v>
      </c>
      <c r="B32" s="268"/>
      <c r="C32" s="268"/>
    </row>
    <row r="33" spans="1:4">
      <c r="A33" s="267" t="s">
        <v>1653</v>
      </c>
      <c r="B33" s="268">
        <f>Przepływy!B46</f>
        <v>0</v>
      </c>
      <c r="C33" s="268">
        <v>0</v>
      </c>
    </row>
    <row r="34" spans="1:4">
      <c r="A34" s="265" t="s">
        <v>1654</v>
      </c>
      <c r="B34" s="266">
        <f>SUM(B35:B49)</f>
        <v>0</v>
      </c>
      <c r="C34" s="266">
        <v>12026.45</v>
      </c>
      <c r="D34" s="291">
        <f>B34-Przepływy!B47</f>
        <v>0</v>
      </c>
    </row>
    <row r="35" spans="1:4">
      <c r="A35" s="267" t="s">
        <v>1655</v>
      </c>
      <c r="B35" s="268">
        <f>Przepływy!D48</f>
        <v>0</v>
      </c>
      <c r="C35" s="268">
        <v>0</v>
      </c>
    </row>
    <row r="36" spans="1:4">
      <c r="A36" s="267" t="s">
        <v>1656</v>
      </c>
      <c r="B36" s="268">
        <f>Przepływy!D49</f>
        <v>0</v>
      </c>
      <c r="C36" s="268">
        <v>12026.45</v>
      </c>
    </row>
    <row r="37" spans="1:4">
      <c r="A37" s="267" t="s">
        <v>1657</v>
      </c>
      <c r="B37" s="268"/>
      <c r="C37" s="268"/>
    </row>
    <row r="38" spans="1:4">
      <c r="A38" s="267" t="s">
        <v>1658</v>
      </c>
      <c r="B38" s="268"/>
      <c r="C38" s="268"/>
    </row>
    <row r="39" spans="1:4">
      <c r="A39" s="267" t="s">
        <v>1659</v>
      </c>
      <c r="B39" s="268">
        <f>Przepływy!B52</f>
        <v>0</v>
      </c>
      <c r="C39" s="268">
        <v>0</v>
      </c>
    </row>
    <row r="40" spans="1:4">
      <c r="A40" s="267" t="s">
        <v>1660</v>
      </c>
      <c r="B40" s="268"/>
      <c r="C40" s="268"/>
    </row>
    <row r="41" spans="1:4">
      <c r="A41" s="267" t="s">
        <v>1661</v>
      </c>
      <c r="B41" s="268"/>
      <c r="C41" s="268"/>
    </row>
    <row r="42" spans="1:4">
      <c r="A42" s="267" t="s">
        <v>1662</v>
      </c>
      <c r="B42" s="268"/>
      <c r="C42" s="268"/>
    </row>
    <row r="43" spans="1:4">
      <c r="A43" s="267" t="s">
        <v>1663</v>
      </c>
      <c r="B43" s="268"/>
      <c r="C43" s="268"/>
    </row>
    <row r="44" spans="1:4">
      <c r="A44" s="267" t="s">
        <v>1664</v>
      </c>
      <c r="B44" s="268"/>
      <c r="C44" s="268"/>
    </row>
    <row r="45" spans="1:4">
      <c r="A45" s="267" t="s">
        <v>1665</v>
      </c>
      <c r="B45" s="268"/>
      <c r="C45" s="268"/>
    </row>
    <row r="46" spans="1:4">
      <c r="A46" s="267" t="s">
        <v>1666</v>
      </c>
      <c r="B46" s="268"/>
      <c r="C46" s="268"/>
    </row>
    <row r="47" spans="1:4">
      <c r="A47" s="267" t="s">
        <v>1667</v>
      </c>
      <c r="B47" s="268"/>
      <c r="C47" s="268"/>
    </row>
    <row r="48" spans="1:4">
      <c r="A48" s="267" t="s">
        <v>1668</v>
      </c>
      <c r="B48" s="268"/>
      <c r="C48" s="268"/>
    </row>
    <row r="49" spans="1:5">
      <c r="A49" s="267" t="s">
        <v>1669</v>
      </c>
      <c r="B49" s="268"/>
      <c r="C49" s="268"/>
    </row>
    <row r="50" spans="1:5">
      <c r="A50" s="265" t="s">
        <v>1670</v>
      </c>
      <c r="B50" s="266">
        <f>SUM(B51:B65)</f>
        <v>1167300.3800000106</v>
      </c>
      <c r="C50" s="266">
        <v>1095251.1799998959</v>
      </c>
      <c r="D50" s="291">
        <f>B50-Przepływy!B63</f>
        <v>0</v>
      </c>
    </row>
    <row r="51" spans="1:5">
      <c r="A51" s="267" t="s">
        <v>1671</v>
      </c>
      <c r="B51" s="268">
        <f>Przepływy!B64</f>
        <v>578122.89000000898</v>
      </c>
      <c r="C51" s="268">
        <v>-3563647.129999999</v>
      </c>
    </row>
    <row r="52" spans="1:5">
      <c r="A52" s="267" t="s">
        <v>1672</v>
      </c>
      <c r="B52" s="268"/>
      <c r="C52" s="268"/>
    </row>
    <row r="53" spans="1:5">
      <c r="A53" s="267" t="s">
        <v>1673</v>
      </c>
      <c r="B53" s="268"/>
      <c r="C53" s="268"/>
    </row>
    <row r="54" spans="1:5">
      <c r="A54" s="267" t="s">
        <v>1674</v>
      </c>
      <c r="B54" s="268"/>
      <c r="C54" s="268"/>
    </row>
    <row r="55" spans="1:5">
      <c r="A55" s="267" t="s">
        <v>1675</v>
      </c>
      <c r="B55" s="268">
        <f>Przepływy!B68</f>
        <v>388324.52</v>
      </c>
      <c r="C55" s="268">
        <v>201011.96999999892</v>
      </c>
    </row>
    <row r="56" spans="1:5">
      <c r="A56" s="267" t="s">
        <v>1676</v>
      </c>
      <c r="B56" s="268"/>
      <c r="C56" s="268"/>
    </row>
    <row r="57" spans="1:5">
      <c r="A57" s="267" t="s">
        <v>1677</v>
      </c>
      <c r="B57" s="268"/>
      <c r="C57" s="268"/>
    </row>
    <row r="58" spans="1:5">
      <c r="A58" s="267" t="s">
        <v>1678</v>
      </c>
      <c r="B58" s="268"/>
      <c r="C58" s="268"/>
    </row>
    <row r="59" spans="1:5">
      <c r="A59" s="267" t="s">
        <v>1679</v>
      </c>
      <c r="B59" s="268">
        <f>Przepływy!B72</f>
        <v>1062713.7300000116</v>
      </c>
      <c r="C59" s="268">
        <v>1094642.319999896</v>
      </c>
    </row>
    <row r="60" spans="1:5">
      <c r="A60" s="267" t="s">
        <v>1680</v>
      </c>
      <c r="B60" s="268"/>
      <c r="C60" s="268"/>
      <c r="D60" s="298"/>
      <c r="E60" s="298"/>
    </row>
    <row r="61" spans="1:5">
      <c r="A61" s="267" t="s">
        <v>1681</v>
      </c>
      <c r="B61" s="268">
        <f>Przepływy!B74</f>
        <v>0</v>
      </c>
      <c r="C61" s="268">
        <v>0</v>
      </c>
      <c r="D61" s="298"/>
      <c r="E61" s="298"/>
    </row>
    <row r="62" spans="1:5">
      <c r="A62" s="267" t="s">
        <v>1682</v>
      </c>
      <c r="B62" s="268"/>
      <c r="C62" s="268"/>
      <c r="D62" s="298"/>
      <c r="E62" s="298"/>
    </row>
    <row r="63" spans="1:5">
      <c r="A63" s="267" t="s">
        <v>1990</v>
      </c>
      <c r="B63" s="268"/>
      <c r="C63" s="268"/>
      <c r="D63" s="298"/>
      <c r="E63" s="298"/>
    </row>
    <row r="64" spans="1:5">
      <c r="A64" s="267" t="s">
        <v>1991</v>
      </c>
      <c r="B64" s="268">
        <f>Przepływy!B77</f>
        <v>-861860.76000001002</v>
      </c>
      <c r="C64" s="268">
        <v>3363244.02</v>
      </c>
      <c r="D64" s="298"/>
      <c r="E64" s="298"/>
    </row>
    <row r="65" spans="1:5">
      <c r="A65" s="267" t="s">
        <v>1683</v>
      </c>
      <c r="B65" s="268"/>
      <c r="C65" s="268"/>
      <c r="D65" s="291"/>
      <c r="E65" s="228" t="s">
        <v>3116</v>
      </c>
    </row>
    <row r="66" spans="1:5">
      <c r="A66" s="265" t="s">
        <v>1685</v>
      </c>
      <c r="B66" s="266">
        <f>SUM(B67:B73)</f>
        <v>-5997169.7699999912</v>
      </c>
      <c r="C66" s="266">
        <v>426343.21999998903</v>
      </c>
      <c r="D66" s="291">
        <f>B66-Przepływy!B79</f>
        <v>0</v>
      </c>
    </row>
    <row r="67" spans="1:5">
      <c r="A67" s="267" t="s">
        <v>1686</v>
      </c>
      <c r="B67" s="268">
        <f>Przepływy!B80</f>
        <v>-5997169.7699999912</v>
      </c>
      <c r="C67" s="268">
        <v>426343.21999998903</v>
      </c>
      <c r="D67" s="298"/>
      <c r="E67" s="298"/>
    </row>
    <row r="68" spans="1:5">
      <c r="A68" s="267" t="s">
        <v>1687</v>
      </c>
      <c r="B68" s="268"/>
      <c r="C68" s="268"/>
      <c r="D68" s="298"/>
      <c r="E68" s="298"/>
    </row>
    <row r="69" spans="1:5">
      <c r="A69" s="267" t="s">
        <v>1688</v>
      </c>
      <c r="B69" s="268"/>
      <c r="C69" s="268"/>
      <c r="D69" s="298"/>
      <c r="E69" s="298"/>
    </row>
    <row r="70" spans="1:5">
      <c r="A70" s="267" t="s">
        <v>1992</v>
      </c>
      <c r="B70" s="268"/>
      <c r="C70" s="268"/>
      <c r="D70" s="298"/>
      <c r="E70" s="298"/>
    </row>
    <row r="71" spans="1:5">
      <c r="A71" s="267" t="s">
        <v>1689</v>
      </c>
      <c r="B71" s="268"/>
      <c r="C71" s="268"/>
      <c r="D71" s="298"/>
      <c r="E71" s="298"/>
    </row>
    <row r="72" spans="1:5">
      <c r="A72" s="267" t="s">
        <v>1690</v>
      </c>
      <c r="B72" s="268"/>
      <c r="C72" s="268"/>
      <c r="D72" s="298"/>
      <c r="E72" s="298"/>
    </row>
    <row r="73" spans="1:5">
      <c r="A73" s="267" t="s">
        <v>1691</v>
      </c>
      <c r="B73" s="268"/>
      <c r="C73" s="268"/>
      <c r="D73" s="298"/>
      <c r="E73" s="298"/>
    </row>
    <row r="74" spans="1:5">
      <c r="A74" s="305" t="s">
        <v>1692</v>
      </c>
      <c r="B74" s="266">
        <f>SUM(B75:B89)</f>
        <v>-5994706.2299999828</v>
      </c>
      <c r="C74" s="266">
        <v>-5717243.3300001118</v>
      </c>
      <c r="D74" s="291">
        <f>B74-Przepływy!B87</f>
        <v>0</v>
      </c>
      <c r="E74" s="298"/>
    </row>
    <row r="75" spans="1:5">
      <c r="A75" s="267" t="s">
        <v>1693</v>
      </c>
      <c r="B75" s="268">
        <f>Przepływy!B88</f>
        <v>-295095.55999999994</v>
      </c>
      <c r="C75" s="268">
        <v>-296058.18000000005</v>
      </c>
      <c r="D75" s="291"/>
      <c r="E75" s="298"/>
    </row>
    <row r="76" spans="1:5">
      <c r="A76" s="267" t="s">
        <v>1694</v>
      </c>
      <c r="B76" s="268">
        <f>Przepływy!B89</f>
        <v>3827468.7900000084</v>
      </c>
      <c r="C76" s="268">
        <v>-7235986.3900001012</v>
      </c>
      <c r="D76" s="298"/>
      <c r="E76" s="298"/>
    </row>
    <row r="77" spans="1:5">
      <c r="A77" s="267" t="s">
        <v>1695</v>
      </c>
      <c r="B77" s="268">
        <f>Przepływy!B90</f>
        <v>94582.350000008708</v>
      </c>
      <c r="C77" s="268">
        <v>121778.07999999006</v>
      </c>
      <c r="D77" s="298"/>
      <c r="E77" s="298"/>
    </row>
    <row r="78" spans="1:5">
      <c r="A78" s="267" t="s">
        <v>1696</v>
      </c>
      <c r="B78" s="268">
        <f>Przepływy!B91</f>
        <v>-9519793.8599999994</v>
      </c>
      <c r="C78" s="268">
        <v>1593167.0199999996</v>
      </c>
      <c r="D78" s="298"/>
      <c r="E78" s="298"/>
    </row>
    <row r="79" spans="1:5">
      <c r="A79" s="267" t="s">
        <v>1993</v>
      </c>
      <c r="B79" s="268">
        <f>Przepływy!B92</f>
        <v>0</v>
      </c>
      <c r="C79" s="268">
        <v>0</v>
      </c>
      <c r="D79" s="298"/>
      <c r="E79" s="298"/>
    </row>
    <row r="80" spans="1:5">
      <c r="A80" s="267" t="s">
        <v>1697</v>
      </c>
      <c r="B80" s="268">
        <f>Przepływy!B93</f>
        <v>0</v>
      </c>
      <c r="C80" s="268">
        <v>0</v>
      </c>
      <c r="D80" s="298"/>
      <c r="E80" s="298"/>
    </row>
    <row r="81" spans="1:5">
      <c r="A81" s="267" t="s">
        <v>1698</v>
      </c>
      <c r="B81" s="268"/>
      <c r="C81" s="268"/>
      <c r="D81" s="298"/>
      <c r="E81" s="298"/>
    </row>
    <row r="82" spans="1:5">
      <c r="A82" s="267" t="s">
        <v>1699</v>
      </c>
      <c r="B82" s="268">
        <f>Przepływy!B95</f>
        <v>130.42999999994117</v>
      </c>
      <c r="C82" s="268">
        <v>8687.090000000233</v>
      </c>
      <c r="D82" s="298"/>
      <c r="E82" s="298"/>
    </row>
    <row r="83" spans="1:5">
      <c r="A83" s="267" t="s">
        <v>1700</v>
      </c>
      <c r="B83" s="268"/>
      <c r="C83" s="268"/>
      <c r="D83" s="298"/>
      <c r="E83" s="298"/>
    </row>
    <row r="84" spans="1:5">
      <c r="A84" s="267" t="s">
        <v>1701</v>
      </c>
      <c r="B84" s="268">
        <f>Przepływy!B104</f>
        <v>-101998.38</v>
      </c>
      <c r="C84" s="268">
        <v>91169.05</v>
      </c>
      <c r="D84" s="291"/>
      <c r="E84" s="298"/>
    </row>
    <row r="85" spans="1:5">
      <c r="A85" s="267" t="s">
        <v>1702</v>
      </c>
      <c r="B85" s="268"/>
      <c r="C85" s="268"/>
    </row>
    <row r="86" spans="1:5" ht="20.399999999999999">
      <c r="A86" s="270" t="s">
        <v>1703</v>
      </c>
      <c r="B86" s="268"/>
      <c r="C86" s="268"/>
    </row>
    <row r="87" spans="1:5" ht="20.399999999999999">
      <c r="A87" s="270" t="s">
        <v>1704</v>
      </c>
      <c r="B87" s="268"/>
      <c r="C87" s="268"/>
      <c r="D87" s="298"/>
      <c r="E87" s="298"/>
    </row>
    <row r="88" spans="1:5">
      <c r="A88" s="267" t="s">
        <v>1994</v>
      </c>
      <c r="B88" s="268">
        <f>Przepływy!B108</f>
        <v>0</v>
      </c>
      <c r="C88" s="268">
        <v>0</v>
      </c>
      <c r="D88" s="298"/>
      <c r="E88" s="298"/>
    </row>
    <row r="89" spans="1:5">
      <c r="A89" s="271" t="s">
        <v>2000</v>
      </c>
      <c r="B89" s="268">
        <f>Przepływy!B109</f>
        <v>0</v>
      </c>
      <c r="C89" s="268">
        <v>0</v>
      </c>
      <c r="D89" s="291"/>
      <c r="E89" s="298" t="s">
        <v>3116</v>
      </c>
    </row>
    <row r="90" spans="1:5">
      <c r="A90" s="265" t="s">
        <v>1706</v>
      </c>
      <c r="B90" s="266">
        <f>SUM(B91:B99)</f>
        <v>-830108.7499999986</v>
      </c>
      <c r="C90" s="266">
        <v>1421061.4800000002</v>
      </c>
      <c r="D90" s="291">
        <f>B90-Przepływy!B112</f>
        <v>0</v>
      </c>
      <c r="E90" s="298"/>
    </row>
    <row r="91" spans="1:5">
      <c r="A91" s="267" t="s">
        <v>1707</v>
      </c>
      <c r="B91" s="268">
        <f>-'FC Spr.z syt.finans.'!D13</f>
        <v>8530.5499999999902</v>
      </c>
      <c r="C91" s="268">
        <v>-8530.5499999999902</v>
      </c>
      <c r="D91" s="298"/>
      <c r="E91" s="298"/>
    </row>
    <row r="92" spans="1:5">
      <c r="A92" s="267" t="s">
        <v>1708</v>
      </c>
      <c r="B92" s="268">
        <f>Przepływy!B114</f>
        <v>-8530.5499999999902</v>
      </c>
      <c r="C92" s="268"/>
      <c r="D92" s="298"/>
      <c r="E92" s="298"/>
    </row>
    <row r="93" spans="1:5">
      <c r="A93" s="267" t="s">
        <v>1709</v>
      </c>
      <c r="B93" s="268"/>
      <c r="C93" s="268"/>
      <c r="D93" s="298"/>
      <c r="E93" s="298"/>
    </row>
    <row r="94" spans="1:5">
      <c r="A94" s="267" t="s">
        <v>1710</v>
      </c>
      <c r="B94" s="268">
        <f>Przepływy!B116</f>
        <v>-830108.7499999986</v>
      </c>
      <c r="C94" s="268">
        <v>1429592.0300000003</v>
      </c>
      <c r="D94" s="298"/>
      <c r="E94" s="298"/>
    </row>
    <row r="95" spans="1:5">
      <c r="A95" s="267" t="s">
        <v>1711</v>
      </c>
      <c r="B95" s="268"/>
      <c r="C95" s="268"/>
      <c r="D95" s="298"/>
      <c r="E95" s="298"/>
    </row>
    <row r="96" spans="1:5">
      <c r="A96" s="267" t="s">
        <v>1712</v>
      </c>
      <c r="B96" s="268"/>
      <c r="C96" s="268"/>
      <c r="D96" s="298"/>
      <c r="E96" s="298"/>
    </row>
    <row r="97" spans="1:5">
      <c r="A97" s="267" t="s">
        <v>1713</v>
      </c>
      <c r="B97" s="268"/>
      <c r="C97" s="268"/>
      <c r="D97" s="298"/>
      <c r="E97" s="298"/>
    </row>
    <row r="98" spans="1:5">
      <c r="A98" s="267" t="s">
        <v>1995</v>
      </c>
      <c r="B98" s="268">
        <f>Przepływy!B120</f>
        <v>0</v>
      </c>
      <c r="C98" s="268">
        <v>0</v>
      </c>
      <c r="D98" s="298"/>
      <c r="E98" s="298"/>
    </row>
    <row r="99" spans="1:5">
      <c r="A99" s="267" t="s">
        <v>1714</v>
      </c>
      <c r="B99" s="268">
        <f>Przepływy!B121</f>
        <v>0</v>
      </c>
      <c r="C99" s="268">
        <v>0</v>
      </c>
      <c r="D99" s="291"/>
      <c r="E99" s="298" t="s">
        <v>3116</v>
      </c>
    </row>
    <row r="100" spans="1:5">
      <c r="A100" s="265" t="s">
        <v>1715</v>
      </c>
      <c r="B100" s="266"/>
      <c r="C100" s="266"/>
      <c r="D100" s="298"/>
      <c r="E100" s="298"/>
    </row>
    <row r="101" spans="1:5">
      <c r="A101" s="265" t="s">
        <v>1716</v>
      </c>
      <c r="B101" s="266">
        <f>SUM(B102:B109)</f>
        <v>-106435.2</v>
      </c>
      <c r="C101" s="266">
        <v>-442222.73000000004</v>
      </c>
      <c r="D101" s="291">
        <f>B101-Przepływy!B124</f>
        <v>0</v>
      </c>
      <c r="E101" s="298"/>
    </row>
    <row r="102" spans="1:5">
      <c r="A102" s="267" t="s">
        <v>1717</v>
      </c>
      <c r="B102" s="268"/>
      <c r="C102" s="268"/>
      <c r="D102" s="298"/>
      <c r="E102" s="298"/>
    </row>
    <row r="103" spans="1:5" ht="20.399999999999999">
      <c r="A103" s="270" t="s">
        <v>1718</v>
      </c>
      <c r="B103" s="268"/>
      <c r="C103" s="268"/>
      <c r="D103" s="298"/>
    </row>
    <row r="104" spans="1:5">
      <c r="A104" s="270" t="s">
        <v>1719</v>
      </c>
      <c r="B104" s="268">
        <f>Przepływy!B127</f>
        <v>-106435.2</v>
      </c>
      <c r="C104" s="268">
        <v>-442222.73000000004</v>
      </c>
      <c r="D104" s="298"/>
    </row>
    <row r="105" spans="1:5" ht="20.399999999999999">
      <c r="A105" s="270" t="s">
        <v>1720</v>
      </c>
      <c r="B105" s="268"/>
      <c r="C105" s="268"/>
      <c r="D105" s="298"/>
    </row>
    <row r="106" spans="1:5">
      <c r="A106" s="267" t="s">
        <v>1721</v>
      </c>
      <c r="B106" s="268"/>
      <c r="C106" s="268"/>
      <c r="D106" s="298"/>
    </row>
    <row r="107" spans="1:5">
      <c r="A107" s="267" t="s">
        <v>1722</v>
      </c>
      <c r="B107" s="268"/>
      <c r="C107" s="268"/>
      <c r="D107" s="298"/>
    </row>
    <row r="108" spans="1:5">
      <c r="A108" s="267" t="s">
        <v>1996</v>
      </c>
      <c r="B108" s="268"/>
      <c r="C108" s="268"/>
      <c r="D108" s="298"/>
    </row>
    <row r="109" spans="1:5">
      <c r="A109" s="267" t="s">
        <v>1723</v>
      </c>
      <c r="B109" s="268"/>
      <c r="C109" s="268"/>
      <c r="D109" s="291"/>
      <c r="E109" s="228" t="s">
        <v>3116</v>
      </c>
    </row>
    <row r="110" spans="1:5">
      <c r="A110" s="265" t="s">
        <v>1724</v>
      </c>
      <c r="B110" s="266">
        <f>SUM(B111:B118)</f>
        <v>-587726.39000000106</v>
      </c>
      <c r="C110" s="266">
        <v>-1874397.2300000002</v>
      </c>
      <c r="D110" s="291">
        <f>B110-Przepływy!B133</f>
        <v>0</v>
      </c>
    </row>
    <row r="111" spans="1:5">
      <c r="A111" s="267" t="s">
        <v>1725</v>
      </c>
      <c r="B111" s="268">
        <f>Przepływy!B134</f>
        <v>-615977</v>
      </c>
      <c r="C111" s="268">
        <v>-1122138</v>
      </c>
      <c r="D111" s="298"/>
    </row>
    <row r="112" spans="1:5">
      <c r="A112" s="267" t="s">
        <v>1726</v>
      </c>
      <c r="B112" s="268"/>
      <c r="C112" s="268"/>
      <c r="D112" s="298"/>
    </row>
    <row r="113" spans="1:5">
      <c r="A113" s="267" t="s">
        <v>1727</v>
      </c>
      <c r="B113" s="268">
        <f>Przepływy!B136</f>
        <v>28250.609999998938</v>
      </c>
      <c r="C113" s="268">
        <v>-932934.03000000026</v>
      </c>
      <c r="D113" s="298"/>
    </row>
    <row r="114" spans="1:5">
      <c r="A114" s="267" t="s">
        <v>1728</v>
      </c>
      <c r="B114" s="268"/>
      <c r="C114" s="268"/>
      <c r="D114" s="298"/>
    </row>
    <row r="115" spans="1:5">
      <c r="A115" s="267" t="s">
        <v>1997</v>
      </c>
      <c r="B115" s="268"/>
      <c r="C115" s="268"/>
      <c r="D115" s="298"/>
    </row>
    <row r="116" spans="1:5">
      <c r="A116" s="267" t="s">
        <v>1730</v>
      </c>
      <c r="B116" s="268">
        <f>Przepływy!B139</f>
        <v>0</v>
      </c>
      <c r="C116" s="268">
        <v>180674.80000000002</v>
      </c>
      <c r="D116" s="298"/>
    </row>
    <row r="117" spans="1:5">
      <c r="A117" s="267" t="s">
        <v>1731</v>
      </c>
      <c r="B117" s="268"/>
      <c r="C117" s="268"/>
      <c r="D117" s="298"/>
    </row>
    <row r="118" spans="1:5">
      <c r="A118" s="267" t="s">
        <v>1732</v>
      </c>
      <c r="B118" s="268"/>
      <c r="C118" s="268"/>
      <c r="D118" s="291"/>
      <c r="E118" s="228" t="s">
        <v>3116</v>
      </c>
    </row>
    <row r="119" spans="1:5">
      <c r="A119" s="265" t="s">
        <v>1733</v>
      </c>
      <c r="B119" s="266">
        <f>SUM(B120:B135)</f>
        <v>-400923.99999999092</v>
      </c>
      <c r="C119" s="266">
        <v>-1183817.0000000168</v>
      </c>
      <c r="D119" s="291">
        <f>B119-Przepływy!B142</f>
        <v>0</v>
      </c>
    </row>
    <row r="120" spans="1:5">
      <c r="A120" s="267" t="s">
        <v>1734</v>
      </c>
      <c r="B120" s="268">
        <f>Przepływy!B143</f>
        <v>-1908461.01</v>
      </c>
      <c r="C120" s="268">
        <v>-4970334.3899999997</v>
      </c>
      <c r="D120" s="298"/>
    </row>
    <row r="121" spans="1:5">
      <c r="A121" s="267" t="s">
        <v>1736</v>
      </c>
      <c r="B121" s="268">
        <f>Przepływy!B144</f>
        <v>1422800.0100000091</v>
      </c>
      <c r="C121" s="268">
        <v>4003924.5999999829</v>
      </c>
      <c r="D121" s="298"/>
    </row>
    <row r="122" spans="1:5">
      <c r="A122" s="267" t="s">
        <v>1737</v>
      </c>
      <c r="B122" s="268"/>
      <c r="C122" s="268"/>
      <c r="D122" s="298"/>
    </row>
    <row r="123" spans="1:5">
      <c r="A123" s="267" t="s">
        <v>1738</v>
      </c>
      <c r="B123" s="268"/>
      <c r="C123" s="268"/>
      <c r="D123" s="298"/>
    </row>
    <row r="124" spans="1:5">
      <c r="A124" s="267" t="s">
        <v>1739</v>
      </c>
      <c r="B124" s="268"/>
      <c r="C124" s="268"/>
      <c r="D124" s="298"/>
    </row>
    <row r="125" spans="1:5">
      <c r="A125" s="267" t="s">
        <v>1740</v>
      </c>
      <c r="B125" s="268">
        <f>Przepływy!B148</f>
        <v>53224</v>
      </c>
      <c r="C125" s="268">
        <v>-53224</v>
      </c>
    </row>
    <row r="126" spans="1:5">
      <c r="A126" s="267" t="s">
        <v>1741</v>
      </c>
      <c r="B126" s="268"/>
      <c r="C126" s="268"/>
    </row>
    <row r="127" spans="1:5">
      <c r="A127" s="267" t="s">
        <v>1742</v>
      </c>
      <c r="B127" s="268">
        <f>Przepływy!B150</f>
        <v>31513</v>
      </c>
      <c r="C127" s="268">
        <v>-129855</v>
      </c>
    </row>
    <row r="128" spans="1:5">
      <c r="A128" s="267" t="s">
        <v>1743</v>
      </c>
      <c r="B128" s="268"/>
      <c r="C128" s="268"/>
    </row>
    <row r="129" spans="1:5">
      <c r="A129" s="267" t="s">
        <v>1744</v>
      </c>
      <c r="B129" s="268"/>
      <c r="C129" s="268"/>
    </row>
    <row r="130" spans="1:5">
      <c r="A130" s="267" t="s">
        <v>1735</v>
      </c>
      <c r="B130" s="268">
        <f>Przepływy!B153</f>
        <v>0</v>
      </c>
      <c r="C130" s="268">
        <v>-34328.21</v>
      </c>
    </row>
    <row r="131" spans="1:5">
      <c r="A131" s="267" t="s">
        <v>1745</v>
      </c>
      <c r="B131" s="268"/>
      <c r="C131" s="268"/>
    </row>
    <row r="132" spans="1:5">
      <c r="A132" s="267" t="s">
        <v>1746</v>
      </c>
      <c r="B132" s="268"/>
      <c r="C132" s="268"/>
    </row>
    <row r="133" spans="1:5">
      <c r="A133" s="267" t="s">
        <v>1747</v>
      </c>
      <c r="B133" s="268"/>
      <c r="C133" s="268"/>
    </row>
    <row r="134" spans="1:5">
      <c r="A134" s="267" t="s">
        <v>1748</v>
      </c>
      <c r="B134" s="268">
        <f>Przepływy!B157</f>
        <v>0</v>
      </c>
      <c r="C134" s="268">
        <v>0</v>
      </c>
    </row>
    <row r="135" spans="1:5">
      <c r="A135" s="267" t="s">
        <v>1749</v>
      </c>
      <c r="B135" s="268">
        <f>Przepływy!B162</f>
        <v>0</v>
      </c>
      <c r="C135" s="268">
        <v>0</v>
      </c>
      <c r="D135" s="52"/>
      <c r="E135" s="228" t="s">
        <v>3116</v>
      </c>
    </row>
    <row r="136" spans="1:5">
      <c r="A136" s="265" t="s">
        <v>1750</v>
      </c>
      <c r="B136" s="266">
        <f>SUM(B137:B139)</f>
        <v>0</v>
      </c>
      <c r="C136" s="266">
        <v>0</v>
      </c>
    </row>
    <row r="137" spans="1:5">
      <c r="A137" s="267" t="s">
        <v>1751</v>
      </c>
      <c r="B137" s="268"/>
      <c r="C137" s="268"/>
    </row>
    <row r="138" spans="1:5">
      <c r="A138" s="267" t="s">
        <v>1752</v>
      </c>
      <c r="B138" s="268"/>
      <c r="C138" s="268"/>
    </row>
    <row r="139" spans="1:5">
      <c r="A139" s="267" t="s">
        <v>1753</v>
      </c>
      <c r="B139" s="268"/>
      <c r="C139" s="268"/>
    </row>
    <row r="140" spans="1:5">
      <c r="A140" s="265" t="s">
        <v>1754</v>
      </c>
      <c r="B140" s="266"/>
      <c r="C140" s="266"/>
    </row>
    <row r="141" spans="1:5">
      <c r="A141" s="265" t="s">
        <v>1755</v>
      </c>
      <c r="B141" s="266">
        <f>SUM(B142:B145)</f>
        <v>-1.1725351214408875E-6</v>
      </c>
      <c r="C141" s="266">
        <v>-1.1548399925231934E-7</v>
      </c>
      <c r="D141" s="52">
        <f>B141-Przepływy!B167</f>
        <v>0</v>
      </c>
    </row>
    <row r="142" spans="1:5">
      <c r="A142" s="267" t="s">
        <v>1757</v>
      </c>
      <c r="B142" s="268"/>
      <c r="C142" s="268"/>
    </row>
    <row r="143" spans="1:5">
      <c r="A143" s="267" t="s">
        <v>1756</v>
      </c>
      <c r="B143" s="268"/>
      <c r="C143" s="268"/>
    </row>
    <row r="144" spans="1:5">
      <c r="A144" s="267" t="s">
        <v>1758</v>
      </c>
      <c r="B144" s="268">
        <f>Przepływy!B167</f>
        <v>-1.1725351214408875E-6</v>
      </c>
      <c r="C144" s="268">
        <v>-1.1548399925231934E-7</v>
      </c>
    </row>
    <row r="145" spans="1:4">
      <c r="A145" s="267" t="s">
        <v>923</v>
      </c>
      <c r="B145" s="268"/>
      <c r="C145" s="268"/>
    </row>
    <row r="146" spans="1:4">
      <c r="A146" s="272" t="s">
        <v>1759</v>
      </c>
      <c r="B146" s="273">
        <f>B136+B119+B110+B101+B90+B74+B66+B50+B34+B10+B9+B4+B141+B140+B100</f>
        <v>-623848.14000113215</v>
      </c>
      <c r="C146" s="273">
        <v>2970877.9000006048</v>
      </c>
      <c r="D146" s="52"/>
    </row>
    <row r="147" spans="1:4">
      <c r="B147" s="201">
        <f>B146-Przepływy!B182</f>
        <v>-9.3132257461547852E-10</v>
      </c>
      <c r="C147" s="52">
        <v>0</v>
      </c>
    </row>
    <row r="148" spans="1:4">
      <c r="B148" s="52"/>
      <c r="C148" s="52"/>
    </row>
    <row r="149" spans="1:4">
      <c r="B149" s="52"/>
      <c r="C149" s="52"/>
    </row>
    <row r="150" spans="1:4">
      <c r="B150" s="52"/>
      <c r="C150" s="52"/>
    </row>
    <row r="151" spans="1:4">
      <c r="B151" s="52"/>
      <c r="C151" s="52"/>
    </row>
    <row r="152" spans="1:4">
      <c r="B152" s="52"/>
      <c r="C152" s="5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39</vt:i4>
      </vt:variant>
      <vt:variant>
        <vt:lpstr>Zakresy nazwane</vt:lpstr>
      </vt:variant>
      <vt:variant>
        <vt:i4>63</vt:i4>
      </vt:variant>
    </vt:vector>
  </HeadingPairs>
  <TitlesOfParts>
    <vt:vector size="102" baseType="lpstr">
      <vt:lpstr>obrotówka</vt:lpstr>
      <vt:lpstr>bilans </vt:lpstr>
      <vt:lpstr>noty do bilansu</vt:lpstr>
      <vt:lpstr>środki trwałe - amortyzacja </vt:lpstr>
      <vt:lpstr>RZiS, koszty rodz.</vt:lpstr>
      <vt:lpstr>noty do RZiS</vt:lpstr>
      <vt:lpstr>Przepływy</vt:lpstr>
      <vt:lpstr>FC Spr.z syt.finans.</vt:lpstr>
      <vt:lpstr>CF dział.operac.</vt:lpstr>
      <vt:lpstr>FC Spr.z przepł.pien.</vt:lpstr>
      <vt:lpstr>bilans, RZiS,przepływy,kapitały</vt:lpstr>
      <vt:lpstr>noty do przepływów</vt:lpstr>
      <vt:lpstr>noty pozostałe</vt:lpstr>
      <vt:lpstr>wycena rezerw aktuarialnych</vt:lpstr>
      <vt:lpstr>SF Spr.z całk.doch.</vt:lpstr>
      <vt:lpstr>SF-A-060 Nal.z tyt.dostaw i usł</vt:lpstr>
      <vt:lpstr>SF-Z-020 Zobow.z tyt.dost.i usł</vt:lpstr>
      <vt:lpstr>SF-A-090 Instr.poch... śr.pieni</vt:lpstr>
      <vt:lpstr>SF-A-150 Pozostałe aktywa krótk</vt:lpstr>
      <vt:lpstr>STS</vt:lpstr>
      <vt:lpstr>IF 090 oprocentow.kredyty i poż</vt:lpstr>
      <vt:lpstr>SF-A-050 Pożyczki i należn.</vt:lpstr>
      <vt:lpstr>SF-Inne nal.finans</vt:lpstr>
      <vt:lpstr>SF Inne zobowiązania finans</vt:lpstr>
      <vt:lpstr>FC Kapitały</vt:lpstr>
      <vt:lpstr>SF-Zapasy</vt:lpstr>
      <vt:lpstr>SF-Z-070 Pozost.zob.niefinans</vt:lpstr>
      <vt:lpstr>CF-IC Cash f. w rozbiciu</vt:lpstr>
      <vt:lpstr>SF-A-011 - Zmiany śr.trw.w bud.</vt:lpstr>
      <vt:lpstr>SF-A-014 - Prawa do uż.aktywów</vt:lpstr>
      <vt:lpstr>SF-A-031 - Zmiany WN</vt:lpstr>
      <vt:lpstr>FC Spraw.z całk.doch</vt:lpstr>
      <vt:lpstr>SF Spr.z syt.finans.</vt:lpstr>
      <vt:lpstr>SF-Z-040-M Stan rezerw KRDŁ</vt:lpstr>
      <vt:lpstr>SF-A-110 - Pozostałe aktywa dłu</vt:lpstr>
      <vt:lpstr>SF Kapitały</vt:lpstr>
      <vt:lpstr>SF dział.operac.</vt:lpstr>
      <vt:lpstr>SF Spr.z przepł.pien.</vt:lpstr>
      <vt:lpstr>SF-A-010</vt:lpstr>
      <vt:lpstr>'bilans, RZiS,przepływy,kapitały'!_Toc385242671</vt:lpstr>
      <vt:lpstr>'SF Spr.z całk.doch.'!_Toc385242671</vt:lpstr>
      <vt:lpstr>'bilans, RZiS,przepływy,kapitały'!_Toc385242675</vt:lpstr>
      <vt:lpstr>'SF Kapitały'!_Toc385242675</vt:lpstr>
      <vt:lpstr>'bilans, RZiS,przepływy,kapitały'!_Toc385242677</vt:lpstr>
      <vt:lpstr>'bilans, RZiS,przepływy,kapitały'!_Toc400538930</vt:lpstr>
      <vt:lpstr>'SF Kapitały'!_Toc400538930</vt:lpstr>
      <vt:lpstr>'noty do bilansu'!_Toc400538943</vt:lpstr>
      <vt:lpstr>'noty do bilansu'!_Toc400538947</vt:lpstr>
      <vt:lpstr>'noty do bilansu'!_Toc400538950</vt:lpstr>
      <vt:lpstr>'noty do bilansu'!_Toc400538956</vt:lpstr>
      <vt:lpstr>'noty do RZiS'!_Toc403576706</vt:lpstr>
      <vt:lpstr>'noty do RZiS'!_Toc411347581</vt:lpstr>
      <vt:lpstr>'SF dział.operac.'!_Toc438462143</vt:lpstr>
      <vt:lpstr>'noty do bilansu'!_Toc470095050</vt:lpstr>
      <vt:lpstr>'SF dział.operac.'!_Toc474736158</vt:lpstr>
      <vt:lpstr>'noty do przepływów'!_Toc474736161</vt:lpstr>
      <vt:lpstr>'SF dział.operac.'!_Toc474736161</vt:lpstr>
      <vt:lpstr>'noty do bilansu'!_Toc503530830</vt:lpstr>
      <vt:lpstr>'noty do bilansu'!_Toc505718798</vt:lpstr>
      <vt:lpstr>'noty pozostałe'!_Toc505718836</vt:lpstr>
      <vt:lpstr>'noty do bilansu'!_Toc507772219</vt:lpstr>
      <vt:lpstr>'noty do bilansu'!_Toc536732988</vt:lpstr>
      <vt:lpstr>'noty do RZiS'!_Toc62555823</vt:lpstr>
      <vt:lpstr>'bilans, RZiS,przepływy,kapitały'!_Toc63683624</vt:lpstr>
      <vt:lpstr>'SF Spr.z syt.finans.'!_Toc63683624</vt:lpstr>
      <vt:lpstr>'noty do RZiS'!_Toc63683642</vt:lpstr>
      <vt:lpstr>'noty do RZiS'!_Toc63683643</vt:lpstr>
      <vt:lpstr>'noty do RZiS'!_Toc63683644</vt:lpstr>
      <vt:lpstr>'noty do bilansu'!_Toc63683651</vt:lpstr>
      <vt:lpstr>'noty do bilansu'!_Toc63683659</vt:lpstr>
      <vt:lpstr>'noty do bilansu'!_Toc63683663</vt:lpstr>
      <vt:lpstr>'noty do bilansu'!_Toc63683664</vt:lpstr>
      <vt:lpstr>'noty do bilansu'!_Toc63683665</vt:lpstr>
      <vt:lpstr>'noty do bilansu'!_Toc63683666</vt:lpstr>
      <vt:lpstr>'noty do bilansu'!_Toc63683667</vt:lpstr>
      <vt:lpstr>'noty do bilansu'!_Toc63683668</vt:lpstr>
      <vt:lpstr>'noty do bilansu'!_Toc63683669</vt:lpstr>
      <vt:lpstr>'noty do bilansu'!_Toc63683672</vt:lpstr>
      <vt:lpstr>'noty do bilansu'!_Toc63683674</vt:lpstr>
      <vt:lpstr>'noty do bilansu'!_Toc63683677</vt:lpstr>
      <vt:lpstr>'noty do bilansu'!_Toc63683679</vt:lpstr>
      <vt:lpstr>'noty do bilansu'!_Toc63683682</vt:lpstr>
      <vt:lpstr>'noty pozostałe'!_Toc63683694</vt:lpstr>
      <vt:lpstr>'noty pozostałe'!_Toc63683695</vt:lpstr>
      <vt:lpstr>'noty pozostałe'!_Toc63683699</vt:lpstr>
      <vt:lpstr>'noty pozostałe'!_Toc63683700</vt:lpstr>
      <vt:lpstr>DATA10</vt:lpstr>
      <vt:lpstr>DATA3</vt:lpstr>
      <vt:lpstr>DATA4</vt:lpstr>
      <vt:lpstr>DATA5</vt:lpstr>
      <vt:lpstr>DATA6</vt:lpstr>
      <vt:lpstr>DATA7</vt:lpstr>
      <vt:lpstr>DATA8</vt:lpstr>
      <vt:lpstr>DATA9</vt:lpstr>
      <vt:lpstr>'FC Spr.z syt.finans.'!Obszar_wydruku</vt:lpstr>
      <vt:lpstr>Przepływy!Obszar_wydruku</vt:lpstr>
      <vt:lpstr>'RZiS, koszty rodz.'!Obszar_wydruku</vt:lpstr>
      <vt:lpstr>'wycena rezerw aktuarialnych'!Obszar_wydruku</vt:lpstr>
      <vt:lpstr>'bilans '!TEST0</vt:lpstr>
      <vt:lpstr>TEST0</vt:lpstr>
      <vt:lpstr>TESTHKEY</vt:lpstr>
      <vt:lpstr>'FC Spr.z syt.finans.'!Tytuły_wydruku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Raplis Agnieszka</dc:creator>
  <cp:lastModifiedBy>Raplis Agnieszka</cp:lastModifiedBy>
  <cp:lastPrinted>2021-04-16T14:21:48Z</cp:lastPrinted>
  <dcterms:created xsi:type="dcterms:W3CDTF">2021-02-13T20:59:17Z</dcterms:created>
  <dcterms:modified xsi:type="dcterms:W3CDTF">2025-10-23T06:25:01Z</dcterms:modified>
</cp:coreProperties>
</file>